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E92" i="22"/>
  <c r="D92" i="22"/>
  <c r="D93" i="22" s="1"/>
  <c r="C92" i="22"/>
  <c r="E91" i="22"/>
  <c r="E93" i="22"/>
  <c r="D91" i="22"/>
  <c r="C91" i="22"/>
  <c r="C93" i="22" s="1"/>
  <c r="E87" i="22"/>
  <c r="D87" i="22"/>
  <c r="C87" i="22"/>
  <c r="E86" i="22"/>
  <c r="D86" i="22"/>
  <c r="C86" i="22"/>
  <c r="C88" i="22"/>
  <c r="E83" i="22"/>
  <c r="D83" i="22"/>
  <c r="C83" i="22"/>
  <c r="C101" i="22" s="1"/>
  <c r="C103" i="22" s="1"/>
  <c r="E76" i="22"/>
  <c r="D76" i="22"/>
  <c r="C76" i="22"/>
  <c r="E75" i="22"/>
  <c r="D75" i="22"/>
  <c r="D77" i="22" s="1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 s="1"/>
  <c r="E21" i="22"/>
  <c r="D21" i="22"/>
  <c r="C21" i="22"/>
  <c r="E12" i="22"/>
  <c r="E33" i="22"/>
  <c r="D12" i="22"/>
  <c r="D33" i="22"/>
  <c r="C12" i="22"/>
  <c r="C33" i="22" s="1"/>
  <c r="D21" i="21"/>
  <c r="E21" i="21"/>
  <c r="C21" i="21"/>
  <c r="D19" i="21"/>
  <c r="E19" i="21"/>
  <c r="F19" i="21" s="1"/>
  <c r="C19" i="21"/>
  <c r="E17" i="21"/>
  <c r="F17" i="21" s="1"/>
  <c r="E15" i="21"/>
  <c r="F15" i="21" s="1"/>
  <c r="D45" i="20"/>
  <c r="E45" i="20"/>
  <c r="F45" i="20" s="1"/>
  <c r="C45" i="20"/>
  <c r="D44" i="20"/>
  <c r="C44" i="20"/>
  <c r="D43" i="20"/>
  <c r="C43" i="20"/>
  <c r="D36" i="20"/>
  <c r="D40" i="20" s="1"/>
  <c r="C36" i="20"/>
  <c r="F35" i="20"/>
  <c r="E35" i="20"/>
  <c r="E34" i="20"/>
  <c r="F34" i="20" s="1"/>
  <c r="F33" i="20"/>
  <c r="E33" i="20"/>
  <c r="E36" i="20"/>
  <c r="F30" i="20"/>
  <c r="E30" i="20"/>
  <c r="E29" i="20"/>
  <c r="F29" i="20" s="1"/>
  <c r="F28" i="20"/>
  <c r="E28" i="20"/>
  <c r="F27" i="20"/>
  <c r="E27" i="20"/>
  <c r="D25" i="20"/>
  <c r="D39" i="20" s="1"/>
  <c r="D41" i="20" s="1"/>
  <c r="C25" i="20"/>
  <c r="C39" i="20"/>
  <c r="F24" i="20"/>
  <c r="E24" i="20"/>
  <c r="F23" i="20"/>
  <c r="E23" i="20"/>
  <c r="F22" i="20"/>
  <c r="E22" i="20"/>
  <c r="E25" i="20" s="1"/>
  <c r="F25" i="20" s="1"/>
  <c r="D19" i="20"/>
  <c r="C19" i="20"/>
  <c r="C20" i="20"/>
  <c r="F18" i="20"/>
  <c r="E18" i="20"/>
  <c r="D16" i="20"/>
  <c r="C16" i="20"/>
  <c r="E15" i="20"/>
  <c r="F15" i="20" s="1"/>
  <c r="F13" i="20"/>
  <c r="E13" i="20"/>
  <c r="F12" i="20"/>
  <c r="E12" i="20"/>
  <c r="C139" i="19"/>
  <c r="C143" i="19" s="1"/>
  <c r="C115" i="19"/>
  <c r="C105" i="19"/>
  <c r="C137" i="19" s="1"/>
  <c r="C96" i="19"/>
  <c r="C95" i="19"/>
  <c r="C89" i="19"/>
  <c r="C88" i="19"/>
  <c r="C83" i="19"/>
  <c r="C77" i="19"/>
  <c r="C78" i="19"/>
  <c r="C63" i="19"/>
  <c r="C59" i="19"/>
  <c r="C60" i="19" s="1"/>
  <c r="C48" i="19"/>
  <c r="C36" i="19"/>
  <c r="C38" i="19" s="1"/>
  <c r="C127" i="19" s="1"/>
  <c r="C129" i="19" s="1"/>
  <c r="C133" i="19" s="1"/>
  <c r="C32" i="19"/>
  <c r="C33" i="19"/>
  <c r="C21" i="19"/>
  <c r="C37" i="19"/>
  <c r="E328" i="18"/>
  <c r="E325" i="18"/>
  <c r="D324" i="18"/>
  <c r="D326" i="18"/>
  <c r="E326" i="18" s="1"/>
  <c r="C324" i="18"/>
  <c r="C326" i="18"/>
  <c r="C330" i="18" s="1"/>
  <c r="E318" i="18"/>
  <c r="E315" i="18"/>
  <c r="D314" i="18"/>
  <c r="D316" i="18"/>
  <c r="C314" i="18"/>
  <c r="C316" i="18" s="1"/>
  <c r="C320" i="18"/>
  <c r="E308" i="18"/>
  <c r="E305" i="18"/>
  <c r="D301" i="18"/>
  <c r="C301" i="18"/>
  <c r="D293" i="18"/>
  <c r="E293" i="18" s="1"/>
  <c r="C293" i="18"/>
  <c r="D292" i="18"/>
  <c r="C292" i="18"/>
  <c r="E292" i="18"/>
  <c r="D291" i="18"/>
  <c r="E291" i="18"/>
  <c r="C291" i="18"/>
  <c r="D290" i="18"/>
  <c r="C290" i="18"/>
  <c r="E290" i="18" s="1"/>
  <c r="D288" i="18"/>
  <c r="C288" i="18"/>
  <c r="E288" i="18"/>
  <c r="D287" i="18"/>
  <c r="E287" i="18" s="1"/>
  <c r="C287" i="18"/>
  <c r="D282" i="18"/>
  <c r="E282" i="18" s="1"/>
  <c r="C282" i="18"/>
  <c r="D281" i="18"/>
  <c r="C281" i="18"/>
  <c r="E281" i="18" s="1"/>
  <c r="D280" i="18"/>
  <c r="C280" i="18"/>
  <c r="E280" i="18"/>
  <c r="D279" i="18"/>
  <c r="E279" i="18" s="1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 s="1"/>
  <c r="C265" i="18"/>
  <c r="C302" i="18" s="1"/>
  <c r="D262" i="18"/>
  <c r="C262" i="18"/>
  <c r="E262" i="18"/>
  <c r="D251" i="18"/>
  <c r="E251" i="18" s="1"/>
  <c r="C251" i="18"/>
  <c r="D233" i="18"/>
  <c r="C233" i="18"/>
  <c r="D232" i="18"/>
  <c r="C232" i="18"/>
  <c r="E232" i="18" s="1"/>
  <c r="D231" i="18"/>
  <c r="C231" i="18"/>
  <c r="D230" i="18"/>
  <c r="E230" i="18" s="1"/>
  <c r="C230" i="18"/>
  <c r="D228" i="18"/>
  <c r="C228" i="18"/>
  <c r="D227" i="18"/>
  <c r="C227" i="18"/>
  <c r="E227" i="18"/>
  <c r="D221" i="18"/>
  <c r="D245" i="18" s="1"/>
  <c r="C221" i="18"/>
  <c r="C245" i="18"/>
  <c r="D220" i="18"/>
  <c r="D244" i="18"/>
  <c r="C220" i="18"/>
  <c r="C244" i="18"/>
  <c r="D219" i="18"/>
  <c r="D243" i="18" s="1"/>
  <c r="E243" i="18" s="1"/>
  <c r="C219" i="18"/>
  <c r="C243" i="18"/>
  <c r="D218" i="18"/>
  <c r="D217" i="18" s="1"/>
  <c r="C218" i="18"/>
  <c r="C242" i="18"/>
  <c r="D216" i="18"/>
  <c r="D240" i="18"/>
  <c r="C216" i="18"/>
  <c r="D215" i="18"/>
  <c r="C215" i="18"/>
  <c r="C239" i="18" s="1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E186" i="18"/>
  <c r="E185" i="18"/>
  <c r="D179" i="18"/>
  <c r="C179" i="18"/>
  <c r="E179" i="18" s="1"/>
  <c r="D178" i="18"/>
  <c r="E178" i="18" s="1"/>
  <c r="C178" i="18"/>
  <c r="D177" i="18"/>
  <c r="E177" i="18" s="1"/>
  <c r="C177" i="18"/>
  <c r="D176" i="18"/>
  <c r="C176" i="18"/>
  <c r="E176" i="18"/>
  <c r="D174" i="18"/>
  <c r="C174" i="18"/>
  <c r="E174" i="18"/>
  <c r="D173" i="18"/>
  <c r="E173" i="18" s="1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 s="1"/>
  <c r="C162" i="18"/>
  <c r="D161" i="18"/>
  <c r="C161" i="18"/>
  <c r="E161" i="18"/>
  <c r="E155" i="18"/>
  <c r="E154" i="18"/>
  <c r="E153" i="18"/>
  <c r="E152" i="18"/>
  <c r="D151" i="18"/>
  <c r="D156" i="18"/>
  <c r="C151" i="18"/>
  <c r="C156" i="18" s="1"/>
  <c r="E150" i="18"/>
  <c r="E149" i="18"/>
  <c r="D144" i="18"/>
  <c r="E143" i="18"/>
  <c r="E142" i="18"/>
  <c r="E141" i="18"/>
  <c r="E140" i="18"/>
  <c r="D139" i="18"/>
  <c r="D175" i="18"/>
  <c r="C139" i="18"/>
  <c r="C163" i="18" s="1"/>
  <c r="E138" i="18"/>
  <c r="E137" i="18"/>
  <c r="D75" i="18"/>
  <c r="E75" i="18" s="1"/>
  <c r="C75" i="18"/>
  <c r="D74" i="18"/>
  <c r="E74" i="18" s="1"/>
  <c r="C74" i="18"/>
  <c r="D73" i="18"/>
  <c r="C73" i="18"/>
  <c r="E73" i="18"/>
  <c r="D72" i="18"/>
  <c r="C72" i="18"/>
  <c r="D70" i="18"/>
  <c r="C70" i="18"/>
  <c r="D69" i="18"/>
  <c r="C69" i="18"/>
  <c r="E64" i="18"/>
  <c r="E63" i="18"/>
  <c r="E62" i="18"/>
  <c r="E61" i="18"/>
  <c r="D60" i="18"/>
  <c r="D289" i="18" s="1"/>
  <c r="C60" i="18"/>
  <c r="E59" i="18"/>
  <c r="E58" i="18"/>
  <c r="D54" i="18"/>
  <c r="D55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/>
  <c r="D40" i="18"/>
  <c r="C40" i="18"/>
  <c r="D39" i="18"/>
  <c r="E39" i="18" s="1"/>
  <c r="C39" i="18"/>
  <c r="D38" i="18"/>
  <c r="E38" i="18"/>
  <c r="C38" i="18"/>
  <c r="D37" i="18"/>
  <c r="D43" i="18"/>
  <c r="C37" i="18"/>
  <c r="C43" i="18" s="1"/>
  <c r="D36" i="18"/>
  <c r="D44" i="18"/>
  <c r="C36" i="18"/>
  <c r="C33" i="18"/>
  <c r="D32" i="18"/>
  <c r="D33" i="18" s="1"/>
  <c r="C32" i="18"/>
  <c r="E31" i="18"/>
  <c r="E30" i="18"/>
  <c r="E29" i="18"/>
  <c r="E28" i="18"/>
  <c r="E27" i="18"/>
  <c r="E26" i="18"/>
  <c r="E25" i="18"/>
  <c r="D21" i="18"/>
  <c r="D22" i="18" s="1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E299" i="17" s="1"/>
  <c r="F299" i="17" s="1"/>
  <c r="C299" i="17"/>
  <c r="D298" i="17"/>
  <c r="C298" i="17"/>
  <c r="D297" i="17"/>
  <c r="C297" i="17"/>
  <c r="D296" i="17"/>
  <c r="C296" i="17"/>
  <c r="D295" i="17"/>
  <c r="E295" i="17" s="1"/>
  <c r="C295" i="17"/>
  <c r="D294" i="17"/>
  <c r="C294" i="17"/>
  <c r="D250" i="17"/>
  <c r="D306" i="17"/>
  <c r="C250" i="17"/>
  <c r="C306" i="17"/>
  <c r="E306" i="17" s="1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D239" i="17"/>
  <c r="C237" i="17"/>
  <c r="E234" i="17"/>
  <c r="F234" i="17" s="1"/>
  <c r="F233" i="17"/>
  <c r="E233" i="17"/>
  <c r="D230" i="17"/>
  <c r="E230" i="17"/>
  <c r="C230" i="17"/>
  <c r="D229" i="17"/>
  <c r="F229" i="17"/>
  <c r="C229" i="17"/>
  <c r="E229" i="17" s="1"/>
  <c r="E228" i="17"/>
  <c r="F228" i="17" s="1"/>
  <c r="D226" i="17"/>
  <c r="D227" i="17"/>
  <c r="E227" i="17" s="1"/>
  <c r="F227" i="17" s="1"/>
  <c r="C226" i="17"/>
  <c r="C227" i="17"/>
  <c r="F225" i="17"/>
  <c r="E225" i="17"/>
  <c r="F224" i="17"/>
  <c r="E224" i="17"/>
  <c r="D223" i="17"/>
  <c r="C223" i="17"/>
  <c r="F222" i="17"/>
  <c r="E222" i="17"/>
  <c r="F221" i="17"/>
  <c r="E221" i="17"/>
  <c r="D204" i="17"/>
  <c r="D285" i="17" s="1"/>
  <c r="C204" i="17"/>
  <c r="D203" i="17"/>
  <c r="C203" i="17"/>
  <c r="D198" i="17"/>
  <c r="C198" i="17"/>
  <c r="D191" i="17"/>
  <c r="D200" i="17"/>
  <c r="C191" i="17"/>
  <c r="C280" i="17"/>
  <c r="D189" i="17"/>
  <c r="C189" i="17"/>
  <c r="D188" i="17"/>
  <c r="C188" i="17"/>
  <c r="C277" i="17"/>
  <c r="D180" i="17"/>
  <c r="C180" i="17"/>
  <c r="D179" i="17"/>
  <c r="E179" i="17"/>
  <c r="C179" i="17"/>
  <c r="C181" i="17" s="1"/>
  <c r="D171" i="17"/>
  <c r="E171" i="17"/>
  <c r="F171" i="17" s="1"/>
  <c r="C171" i="17"/>
  <c r="C172" i="17"/>
  <c r="C173" i="17" s="1"/>
  <c r="D170" i="17"/>
  <c r="C170" i="17"/>
  <c r="E170" i="17" s="1"/>
  <c r="F169" i="17"/>
  <c r="E169" i="17"/>
  <c r="E168" i="17"/>
  <c r="F168" i="17" s="1"/>
  <c r="D165" i="17"/>
  <c r="C165" i="17"/>
  <c r="E165" i="17" s="1"/>
  <c r="D164" i="17"/>
  <c r="E164" i="17" s="1"/>
  <c r="C164" i="17"/>
  <c r="E163" i="17"/>
  <c r="F163" i="17" s="1"/>
  <c r="D158" i="17"/>
  <c r="C158" i="17"/>
  <c r="F157" i="17"/>
  <c r="E157" i="17"/>
  <c r="F156" i="17"/>
  <c r="E156" i="17"/>
  <c r="D155" i="17"/>
  <c r="E155" i="17"/>
  <c r="F155" i="17"/>
  <c r="C155" i="17"/>
  <c r="F154" i="17"/>
  <c r="E154" i="17"/>
  <c r="F153" i="17"/>
  <c r="E153" i="17"/>
  <c r="D145" i="17"/>
  <c r="E145" i="17"/>
  <c r="F145" i="17"/>
  <c r="C145" i="17"/>
  <c r="D144" i="17"/>
  <c r="E144" i="17" s="1"/>
  <c r="F144" i="17" s="1"/>
  <c r="C144" i="17"/>
  <c r="C146" i="17"/>
  <c r="D136" i="17"/>
  <c r="E136" i="17" s="1"/>
  <c r="C136" i="17"/>
  <c r="D135" i="17"/>
  <c r="E135" i="17" s="1"/>
  <c r="C135" i="17"/>
  <c r="F134" i="17"/>
  <c r="E134" i="17"/>
  <c r="F133" i="17"/>
  <c r="E133" i="17"/>
  <c r="D130" i="17"/>
  <c r="E130" i="17" s="1"/>
  <c r="C130" i="17"/>
  <c r="D129" i="17"/>
  <c r="E129" i="17" s="1"/>
  <c r="F129" i="17" s="1"/>
  <c r="C129" i="17"/>
  <c r="F128" i="17"/>
  <c r="E128" i="17"/>
  <c r="D123" i="17"/>
  <c r="D192" i="17"/>
  <c r="C123" i="17"/>
  <c r="E122" i="17"/>
  <c r="F122" i="17" s="1"/>
  <c r="E121" i="17"/>
  <c r="F121" i="17" s="1"/>
  <c r="D120" i="17"/>
  <c r="F120" i="17"/>
  <c r="C120" i="17"/>
  <c r="E120" i="17" s="1"/>
  <c r="E119" i="17"/>
  <c r="F119" i="17" s="1"/>
  <c r="E118" i="17"/>
  <c r="F118" i="17" s="1"/>
  <c r="D110" i="17"/>
  <c r="F110" i="17"/>
  <c r="C110" i="17"/>
  <c r="E110" i="17" s="1"/>
  <c r="D109" i="17"/>
  <c r="E109" i="17"/>
  <c r="C109" i="17"/>
  <c r="D101" i="17"/>
  <c r="E101" i="17"/>
  <c r="F101" i="17" s="1"/>
  <c r="C101" i="17"/>
  <c r="C102" i="17"/>
  <c r="D100" i="17"/>
  <c r="C100" i="17"/>
  <c r="E100" i="17" s="1"/>
  <c r="E99" i="17"/>
  <c r="F99" i="17" s="1"/>
  <c r="E98" i="17"/>
  <c r="F98" i="17" s="1"/>
  <c r="D95" i="17"/>
  <c r="C95" i="17"/>
  <c r="E95" i="17" s="1"/>
  <c r="D94" i="17"/>
  <c r="C94" i="17"/>
  <c r="E93" i="17"/>
  <c r="F93" i="17" s="1"/>
  <c r="D88" i="17"/>
  <c r="C88" i="17"/>
  <c r="F87" i="17"/>
  <c r="E87" i="17"/>
  <c r="F86" i="17"/>
  <c r="E86" i="17"/>
  <c r="D85" i="17"/>
  <c r="E85" i="17"/>
  <c r="F85" i="17"/>
  <c r="C85" i="17"/>
  <c r="F84" i="17"/>
  <c r="E84" i="17"/>
  <c r="F83" i="17"/>
  <c r="E83" i="17"/>
  <c r="D76" i="17"/>
  <c r="D77" i="17"/>
  <c r="E77" i="17"/>
  <c r="C76" i="17"/>
  <c r="C77" i="17"/>
  <c r="E74" i="17"/>
  <c r="F74" i="17" s="1"/>
  <c r="E73" i="17"/>
  <c r="F73" i="17"/>
  <c r="D67" i="17"/>
  <c r="C67" i="17"/>
  <c r="D66" i="17"/>
  <c r="D68" i="17"/>
  <c r="C66" i="17"/>
  <c r="D59" i="17"/>
  <c r="D60" i="17" s="1"/>
  <c r="C59" i="17"/>
  <c r="D58" i="17"/>
  <c r="E58" i="17" s="1"/>
  <c r="F58" i="17" s="1"/>
  <c r="C58" i="17"/>
  <c r="E57" i="17"/>
  <c r="F57" i="17"/>
  <c r="E56" i="17"/>
  <c r="F56" i="17" s="1"/>
  <c r="D53" i="17"/>
  <c r="C53" i="17"/>
  <c r="D52" i="17"/>
  <c r="C52" i="17"/>
  <c r="E51" i="17"/>
  <c r="F51" i="17"/>
  <c r="D47" i="17"/>
  <c r="D48" i="17" s="1"/>
  <c r="E48" i="17" s="1"/>
  <c r="C47" i="17"/>
  <c r="E46" i="17"/>
  <c r="F46" i="17"/>
  <c r="E45" i="17"/>
  <c r="F45" i="17" s="1"/>
  <c r="D44" i="17"/>
  <c r="E44" i="17" s="1"/>
  <c r="F44" i="17" s="1"/>
  <c r="C44" i="17"/>
  <c r="E43" i="17"/>
  <c r="F43" i="17"/>
  <c r="E42" i="17"/>
  <c r="F42" i="17"/>
  <c r="D36" i="17"/>
  <c r="C36" i="17"/>
  <c r="D35" i="17"/>
  <c r="C35" i="17"/>
  <c r="D30" i="17"/>
  <c r="D31" i="17"/>
  <c r="C30" i="17"/>
  <c r="D29" i="17"/>
  <c r="C29" i="17"/>
  <c r="E28" i="17"/>
  <c r="F28" i="17" s="1"/>
  <c r="E27" i="17"/>
  <c r="F27" i="17"/>
  <c r="D24" i="17"/>
  <c r="C24" i="17"/>
  <c r="D23" i="17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/>
  <c r="E15" i="17"/>
  <c r="F15" i="17"/>
  <c r="D23" i="16"/>
  <c r="E23" i="16" s="1"/>
  <c r="F23" i="16"/>
  <c r="C23" i="16"/>
  <c r="E22" i="16"/>
  <c r="F22" i="16" s="1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E98" i="15"/>
  <c r="F98" i="15" s="1"/>
  <c r="E97" i="15"/>
  <c r="F97" i="15" s="1"/>
  <c r="E96" i="15"/>
  <c r="F96" i="15"/>
  <c r="E95" i="15"/>
  <c r="F95" i="15" s="1"/>
  <c r="D92" i="15"/>
  <c r="E92" i="15" s="1"/>
  <c r="F92" i="15" s="1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E85" i="15"/>
  <c r="F85" i="15" s="1"/>
  <c r="F84" i="15"/>
  <c r="E84" i="15"/>
  <c r="F83" i="15"/>
  <c r="E83" i="15"/>
  <c r="F82" i="15"/>
  <c r="E82" i="15"/>
  <c r="E81" i="15"/>
  <c r="F81" i="15" s="1"/>
  <c r="F80" i="15"/>
  <c r="E80" i="15"/>
  <c r="E79" i="15"/>
  <c r="F79" i="15" s="1"/>
  <c r="D75" i="15"/>
  <c r="C75" i="15"/>
  <c r="E74" i="15"/>
  <c r="F74" i="15" s="1"/>
  <c r="E73" i="15"/>
  <c r="F73" i="15" s="1"/>
  <c r="D70" i="15"/>
  <c r="C70" i="15"/>
  <c r="E69" i="15"/>
  <c r="F69" i="15"/>
  <c r="E68" i="15"/>
  <c r="F68" i="15" s="1"/>
  <c r="D65" i="15"/>
  <c r="C65" i="15"/>
  <c r="E64" i="15"/>
  <c r="F64" i="15" s="1"/>
  <c r="E63" i="15"/>
  <c r="F63" i="15"/>
  <c r="D60" i="15"/>
  <c r="C60" i="15"/>
  <c r="E59" i="15"/>
  <c r="E58" i="15"/>
  <c r="F58" i="15"/>
  <c r="D55" i="15"/>
  <c r="C55" i="15"/>
  <c r="F54" i="15"/>
  <c r="E54" i="15"/>
  <c r="E53" i="15"/>
  <c r="F53" i="15" s="1"/>
  <c r="D50" i="15"/>
  <c r="C50" i="15"/>
  <c r="E49" i="15"/>
  <c r="F49" i="15"/>
  <c r="E48" i="15"/>
  <c r="F48" i="15" s="1"/>
  <c r="D45" i="15"/>
  <c r="C45" i="15"/>
  <c r="E44" i="15"/>
  <c r="F44" i="15"/>
  <c r="E43" i="15"/>
  <c r="F43" i="15"/>
  <c r="D37" i="15"/>
  <c r="C37" i="15"/>
  <c r="F36" i="15"/>
  <c r="E36" i="15"/>
  <c r="E35" i="15"/>
  <c r="F35" i="15"/>
  <c r="E34" i="15"/>
  <c r="F34" i="15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E22" i="15"/>
  <c r="F22" i="15" s="1"/>
  <c r="E21" i="15"/>
  <c r="F21" i="15"/>
  <c r="E20" i="15"/>
  <c r="F20" i="15" s="1"/>
  <c r="E19" i="15"/>
  <c r="F19" i="15"/>
  <c r="D16" i="15"/>
  <c r="C16" i="15"/>
  <c r="E16" i="15" s="1"/>
  <c r="E15" i="15"/>
  <c r="F15" i="15"/>
  <c r="E14" i="15"/>
  <c r="F14" i="15" s="1"/>
  <c r="E13" i="15"/>
  <c r="F13" i="15"/>
  <c r="E12" i="15"/>
  <c r="F12" i="15"/>
  <c r="I37" i="14"/>
  <c r="H37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 s="1"/>
  <c r="F17" i="14"/>
  <c r="F33" i="14"/>
  <c r="E17" i="14"/>
  <c r="E31" i="14" s="1"/>
  <c r="D17" i="14"/>
  <c r="D33" i="14"/>
  <c r="D36" i="14"/>
  <c r="D38" i="14"/>
  <c r="D40" i="14" s="1"/>
  <c r="C17" i="14"/>
  <c r="C33" i="14"/>
  <c r="C36" i="14" s="1"/>
  <c r="C38" i="14" s="1"/>
  <c r="C40" i="14" s="1"/>
  <c r="I16" i="14"/>
  <c r="H16" i="14"/>
  <c r="I15" i="14"/>
  <c r="H15" i="14"/>
  <c r="I13" i="14"/>
  <c r="H13" i="14"/>
  <c r="I11" i="14"/>
  <c r="H11" i="14"/>
  <c r="E79" i="13"/>
  <c r="D79" i="13"/>
  <c r="D80" i="13" s="1"/>
  <c r="D77" i="13" s="1"/>
  <c r="C79" i="13"/>
  <c r="E78" i="13"/>
  <c r="E80" i="13"/>
  <c r="E77" i="13" s="1"/>
  <c r="D78" i="13"/>
  <c r="C78" i="13"/>
  <c r="C80" i="13" s="1"/>
  <c r="C77" i="13" s="1"/>
  <c r="E75" i="13"/>
  <c r="E73" i="13"/>
  <c r="D73" i="13"/>
  <c r="D75" i="13"/>
  <c r="C73" i="13"/>
  <c r="C75" i="13" s="1"/>
  <c r="E71" i="13"/>
  <c r="D71" i="13"/>
  <c r="C71" i="13"/>
  <c r="E66" i="13"/>
  <c r="E65" i="13" s="1"/>
  <c r="D66" i="13"/>
  <c r="C66" i="13"/>
  <c r="C65" i="13"/>
  <c r="D65" i="13"/>
  <c r="E60" i="13"/>
  <c r="D60" i="13"/>
  <c r="C60" i="13"/>
  <c r="C61" i="13"/>
  <c r="C57" i="13" s="1"/>
  <c r="E58" i="13"/>
  <c r="D58" i="13"/>
  <c r="C58" i="13"/>
  <c r="E55" i="13"/>
  <c r="D55" i="13"/>
  <c r="C55" i="13"/>
  <c r="C50" i="13" s="1"/>
  <c r="E54" i="13"/>
  <c r="D54" i="13"/>
  <c r="C54" i="13"/>
  <c r="C48" i="13"/>
  <c r="C42" i="13" s="1"/>
  <c r="E46" i="13"/>
  <c r="D46" i="13"/>
  <c r="D59" i="13" s="1"/>
  <c r="D61" i="13" s="1"/>
  <c r="D57" i="13" s="1"/>
  <c r="C46" i="13"/>
  <c r="C59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C25" i="13"/>
  <c r="C27" i="13" s="1"/>
  <c r="C21" i="13" s="1"/>
  <c r="C15" i="13"/>
  <c r="C24" i="13" s="1"/>
  <c r="E13" i="13"/>
  <c r="E25" i="13" s="1"/>
  <c r="D13" i="13"/>
  <c r="D25" i="13"/>
  <c r="D27" i="13"/>
  <c r="C13" i="13"/>
  <c r="D47" i="12"/>
  <c r="E47" i="12" s="1"/>
  <c r="C47" i="12"/>
  <c r="F47" i="12" s="1"/>
  <c r="E46" i="12"/>
  <c r="F46" i="12" s="1"/>
  <c r="F45" i="12"/>
  <c r="E45" i="12"/>
  <c r="D40" i="12"/>
  <c r="E40" i="12" s="1"/>
  <c r="C40" i="12"/>
  <c r="F40" i="12" s="1"/>
  <c r="E39" i="12"/>
  <c r="F39" i="12" s="1"/>
  <c r="F38" i="12"/>
  <c r="E38" i="12"/>
  <c r="F37" i="12"/>
  <c r="E37" i="12"/>
  <c r="D32" i="12"/>
  <c r="C32" i="12"/>
  <c r="F31" i="12"/>
  <c r="E31" i="12"/>
  <c r="F30" i="12"/>
  <c r="E30" i="12"/>
  <c r="E29" i="12"/>
  <c r="F29" i="12" s="1"/>
  <c r="F28" i="12"/>
  <c r="E28" i="12"/>
  <c r="F27" i="12"/>
  <c r="E27" i="12"/>
  <c r="F26" i="12"/>
  <c r="E26" i="12"/>
  <c r="E25" i="12"/>
  <c r="F25" i="12" s="1"/>
  <c r="E24" i="12"/>
  <c r="F24" i="12" s="1"/>
  <c r="F23" i="12"/>
  <c r="E23" i="12"/>
  <c r="F19" i="12"/>
  <c r="E19" i="12"/>
  <c r="E18" i="12"/>
  <c r="F18" i="12" s="1"/>
  <c r="E16" i="12"/>
  <c r="F16" i="12" s="1"/>
  <c r="D15" i="12"/>
  <c r="D17" i="12" s="1"/>
  <c r="C15" i="12"/>
  <c r="C17" i="12" s="1"/>
  <c r="E14" i="12"/>
  <c r="F14" i="12" s="1"/>
  <c r="E13" i="12"/>
  <c r="F13" i="12" s="1"/>
  <c r="F12" i="12"/>
  <c r="E12" i="12"/>
  <c r="F11" i="12"/>
  <c r="E11" i="12"/>
  <c r="D73" i="11"/>
  <c r="E73" i="11" s="1"/>
  <c r="C73" i="11"/>
  <c r="E72" i="11"/>
  <c r="F72" i="11" s="1"/>
  <c r="E71" i="11"/>
  <c r="F71" i="11" s="1"/>
  <c r="F70" i="11"/>
  <c r="E70" i="11"/>
  <c r="E67" i="11"/>
  <c r="F67" i="11" s="1"/>
  <c r="F64" i="11"/>
  <c r="E64" i="11"/>
  <c r="E63" i="11"/>
  <c r="F63" i="11" s="1"/>
  <c r="D61" i="11"/>
  <c r="D65" i="11" s="1"/>
  <c r="E65" i="11" s="1"/>
  <c r="C61" i="11"/>
  <c r="C65" i="11"/>
  <c r="F60" i="11"/>
  <c r="E60" i="11"/>
  <c r="F59" i="11"/>
  <c r="E59" i="11"/>
  <c r="D56" i="11"/>
  <c r="C56" i="11"/>
  <c r="C75" i="11" s="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/>
  <c r="D43" i="11" s="1"/>
  <c r="C38" i="11"/>
  <c r="C41" i="11"/>
  <c r="F37" i="11"/>
  <c r="E37" i="11"/>
  <c r="E36" i="11"/>
  <c r="F36" i="11" s="1"/>
  <c r="F33" i="11"/>
  <c r="E33" i="11"/>
  <c r="E32" i="11"/>
  <c r="F32" i="11" s="1"/>
  <c r="F31" i="11"/>
  <c r="E31" i="11"/>
  <c r="D29" i="11"/>
  <c r="C29" i="11"/>
  <c r="E29" i="11" s="1"/>
  <c r="F28" i="11"/>
  <c r="E28" i="11"/>
  <c r="F27" i="11"/>
  <c r="E27" i="11"/>
  <c r="E26" i="11"/>
  <c r="F26" i="11" s="1"/>
  <c r="F25" i="11"/>
  <c r="E25" i="1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C120" i="10"/>
  <c r="F120" i="10" s="1"/>
  <c r="D119" i="10"/>
  <c r="E119" i="10" s="1"/>
  <c r="C119" i="10"/>
  <c r="F119" i="10" s="1"/>
  <c r="F118" i="10"/>
  <c r="D118" i="10"/>
  <c r="C118" i="10"/>
  <c r="D117" i="10"/>
  <c r="E117" i="10" s="1"/>
  <c r="C117" i="10"/>
  <c r="F117" i="10" s="1"/>
  <c r="D116" i="10"/>
  <c r="C116" i="10"/>
  <c r="F116" i="10" s="1"/>
  <c r="D115" i="10"/>
  <c r="E115" i="10" s="1"/>
  <c r="C115" i="10"/>
  <c r="F115" i="10" s="1"/>
  <c r="F114" i="10"/>
  <c r="D114" i="10"/>
  <c r="E114" i="10" s="1"/>
  <c r="C114" i="10"/>
  <c r="C121" i="10" s="1"/>
  <c r="D113" i="10"/>
  <c r="D122" i="10" s="1"/>
  <c r="C113" i="10"/>
  <c r="F113" i="10" s="1"/>
  <c r="C122" i="10"/>
  <c r="F122" i="10" s="1"/>
  <c r="F112" i="10"/>
  <c r="D112" i="10"/>
  <c r="C112" i="10"/>
  <c r="F121" i="10"/>
  <c r="F108" i="10"/>
  <c r="D108" i="10"/>
  <c r="E108" i="10"/>
  <c r="C108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 s="1"/>
  <c r="C24" i="10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 s="1"/>
  <c r="C206" i="9"/>
  <c r="D205" i="9"/>
  <c r="E205" i="9" s="1"/>
  <c r="C205" i="9"/>
  <c r="D204" i="9"/>
  <c r="E204" i="9" s="1"/>
  <c r="F204" i="9" s="1"/>
  <c r="C204" i="9"/>
  <c r="D203" i="9"/>
  <c r="E203" i="9" s="1"/>
  <c r="C203" i="9"/>
  <c r="D202" i="9"/>
  <c r="E202" i="9" s="1"/>
  <c r="F202" i="9" s="1"/>
  <c r="C202" i="9"/>
  <c r="D201" i="9"/>
  <c r="E201" i="9" s="1"/>
  <c r="C201" i="9"/>
  <c r="D200" i="9"/>
  <c r="E200" i="9" s="1"/>
  <c r="F200" i="9"/>
  <c r="C200" i="9"/>
  <c r="D199" i="9"/>
  <c r="C199" i="9"/>
  <c r="C208" i="9" s="1"/>
  <c r="D198" i="9"/>
  <c r="E198" i="9"/>
  <c r="F198" i="9" s="1"/>
  <c r="C198" i="9"/>
  <c r="C207" i="9" s="1"/>
  <c r="F193" i="9"/>
  <c r="D193" i="9"/>
  <c r="E193" i="9"/>
  <c r="C193" i="9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 s="1"/>
  <c r="C141" i="9"/>
  <c r="D140" i="9"/>
  <c r="E140" i="9" s="1"/>
  <c r="F140" i="9" s="1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F128" i="9"/>
  <c r="C128" i="9"/>
  <c r="D127" i="9"/>
  <c r="E127" i="9" s="1"/>
  <c r="C127" i="9"/>
  <c r="F126" i="9"/>
  <c r="E126" i="9"/>
  <c r="F125" i="9"/>
  <c r="E125" i="9"/>
  <c r="F124" i="9"/>
  <c r="E124" i="9"/>
  <c r="E123" i="9"/>
  <c r="F123" i="9" s="1"/>
  <c r="F122" i="9"/>
  <c r="E122" i="9"/>
  <c r="F121" i="9"/>
  <c r="E121" i="9"/>
  <c r="F120" i="9"/>
  <c r="E120" i="9"/>
  <c r="E119" i="9"/>
  <c r="F119" i="9" s="1"/>
  <c r="F118" i="9"/>
  <c r="E118" i="9"/>
  <c r="D115" i="9"/>
  <c r="E115" i="9" s="1"/>
  <c r="F115" i="9" s="1"/>
  <c r="C115" i="9"/>
  <c r="D114" i="9"/>
  <c r="E114" i="9"/>
  <c r="F114" i="9" s="1"/>
  <c r="C114" i="9"/>
  <c r="F113" i="9"/>
  <c r="E113" i="9"/>
  <c r="F112" i="9"/>
  <c r="E112" i="9"/>
  <c r="E111" i="9"/>
  <c r="F111" i="9" s="1"/>
  <c r="F110" i="9"/>
  <c r="E110" i="9"/>
  <c r="F109" i="9"/>
  <c r="E109" i="9"/>
  <c r="F108" i="9"/>
  <c r="E108" i="9"/>
  <c r="E107" i="9"/>
  <c r="F107" i="9" s="1"/>
  <c r="F106" i="9"/>
  <c r="E106" i="9"/>
  <c r="F105" i="9"/>
  <c r="E105" i="9"/>
  <c r="D102" i="9"/>
  <c r="E102" i="9" s="1"/>
  <c r="F102" i="9" s="1"/>
  <c r="C102" i="9"/>
  <c r="D101" i="9"/>
  <c r="E101" i="9" s="1"/>
  <c r="F101" i="9" s="1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E93" i="9"/>
  <c r="F93" i="9" s="1"/>
  <c r="F92" i="9"/>
  <c r="E92" i="9"/>
  <c r="F89" i="9"/>
  <c r="D89" i="9"/>
  <c r="E89" i="9" s="1"/>
  <c r="C89" i="9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F74" i="9"/>
  <c r="E74" i="9"/>
  <c r="F73" i="9"/>
  <c r="E73" i="9"/>
  <c r="F72" i="9"/>
  <c r="E72" i="9"/>
  <c r="E71" i="9"/>
  <c r="F71" i="9" s="1"/>
  <c r="F70" i="9"/>
  <c r="E70" i="9"/>
  <c r="F69" i="9"/>
  <c r="E69" i="9"/>
  <c r="F68" i="9"/>
  <c r="E68" i="9"/>
  <c r="E67" i="9"/>
  <c r="F67" i="9" s="1"/>
  <c r="F66" i="9"/>
  <c r="E66" i="9"/>
  <c r="F63" i="9"/>
  <c r="D63" i="9"/>
  <c r="E63" i="9" s="1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/>
  <c r="C50" i="9"/>
  <c r="D49" i="9"/>
  <c r="E49" i="9" s="1"/>
  <c r="F49" i="9"/>
  <c r="C49" i="9"/>
  <c r="F48" i="9"/>
  <c r="E48" i="9"/>
  <c r="E47" i="9"/>
  <c r="F47" i="9" s="1"/>
  <c r="F46" i="9"/>
  <c r="E46" i="9"/>
  <c r="F45" i="9"/>
  <c r="E45" i="9"/>
  <c r="F44" i="9"/>
  <c r="E44" i="9"/>
  <c r="E43" i="9"/>
  <c r="F43" i="9" s="1"/>
  <c r="F42" i="9"/>
  <c r="E42" i="9"/>
  <c r="F41" i="9"/>
  <c r="E41" i="9"/>
  <c r="F40" i="9"/>
  <c r="E40" i="9"/>
  <c r="F37" i="9"/>
  <c r="D37" i="9"/>
  <c r="E37" i="9" s="1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C23" i="9"/>
  <c r="F22" i="9"/>
  <c r="E22" i="9"/>
  <c r="F21" i="9"/>
  <c r="E21" i="9"/>
  <c r="F20" i="9"/>
  <c r="E20" i="9"/>
  <c r="E19" i="9"/>
  <c r="F19" i="9" s="1"/>
  <c r="F18" i="9"/>
  <c r="E18" i="9"/>
  <c r="F17" i="9"/>
  <c r="E17" i="9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/>
  <c r="D166" i="8" s="1"/>
  <c r="C164" i="8"/>
  <c r="C160" i="8" s="1"/>
  <c r="E162" i="8"/>
  <c r="D162" i="8"/>
  <c r="C162" i="8"/>
  <c r="E161" i="8"/>
  <c r="D161" i="8"/>
  <c r="C161" i="8"/>
  <c r="C166" i="8"/>
  <c r="C155" i="8" s="1"/>
  <c r="E147" i="8"/>
  <c r="E143" i="8" s="1"/>
  <c r="E149" i="8" s="1"/>
  <c r="D147" i="8"/>
  <c r="D143" i="8" s="1"/>
  <c r="C147" i="8"/>
  <c r="C143" i="8" s="1"/>
  <c r="C149" i="8" s="1"/>
  <c r="E145" i="8"/>
  <c r="D145" i="8"/>
  <c r="C145" i="8"/>
  <c r="E144" i="8"/>
  <c r="D144" i="8"/>
  <c r="D149" i="8" s="1"/>
  <c r="C144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/>
  <c r="D106" i="8" s="1"/>
  <c r="C107" i="8"/>
  <c r="C109" i="8"/>
  <c r="C106" i="8" s="1"/>
  <c r="E104" i="8"/>
  <c r="E102" i="8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 s="1"/>
  <c r="E89" i="8"/>
  <c r="D89" i="8"/>
  <c r="C89" i="8"/>
  <c r="E88" i="8"/>
  <c r="E90" i="8" s="1"/>
  <c r="E86" i="8"/>
  <c r="C90" i="8"/>
  <c r="C86" i="8" s="1"/>
  <c r="E87" i="8"/>
  <c r="D87" i="8"/>
  <c r="C87" i="8"/>
  <c r="E84" i="8"/>
  <c r="D84" i="8"/>
  <c r="C84" i="8"/>
  <c r="E83" i="8"/>
  <c r="D83" i="8"/>
  <c r="C83" i="8"/>
  <c r="C79" i="8"/>
  <c r="D79" i="8"/>
  <c r="C77" i="8"/>
  <c r="C71" i="8"/>
  <c r="E75" i="8"/>
  <c r="E77" i="8" s="1"/>
  <c r="D75" i="8"/>
  <c r="D88" i="8"/>
  <c r="D90" i="8" s="1"/>
  <c r="D86" i="8"/>
  <c r="C75" i="8"/>
  <c r="C88" i="8" s="1"/>
  <c r="E74" i="8"/>
  <c r="D74" i="8"/>
  <c r="C74" i="8"/>
  <c r="E67" i="8"/>
  <c r="D67" i="8"/>
  <c r="C67" i="8"/>
  <c r="D53" i="8"/>
  <c r="E38" i="8"/>
  <c r="E57" i="8"/>
  <c r="E62" i="8" s="1"/>
  <c r="D38" i="8"/>
  <c r="D43" i="8" s="1"/>
  <c r="D57" i="8"/>
  <c r="D62" i="8"/>
  <c r="C38" i="8"/>
  <c r="C57" i="8" s="1"/>
  <c r="C62" i="8"/>
  <c r="E33" i="8"/>
  <c r="E34" i="8"/>
  <c r="D33" i="8"/>
  <c r="D34" i="8"/>
  <c r="E26" i="8"/>
  <c r="D26" i="8"/>
  <c r="C26" i="8"/>
  <c r="E25" i="8"/>
  <c r="E27" i="8" s="1"/>
  <c r="C25" i="8"/>
  <c r="C27" i="8" s="1"/>
  <c r="E15" i="8"/>
  <c r="C15" i="8"/>
  <c r="C24" i="8" s="1"/>
  <c r="E13" i="8"/>
  <c r="D13" i="8"/>
  <c r="D25" i="8"/>
  <c r="D27" i="8" s="1"/>
  <c r="C13" i="8"/>
  <c r="F186" i="7"/>
  <c r="E186" i="7"/>
  <c r="D183" i="7"/>
  <c r="D188" i="7"/>
  <c r="C183" i="7"/>
  <c r="E182" i="7"/>
  <c r="F182" i="7" s="1"/>
  <c r="E181" i="7"/>
  <c r="F181" i="7" s="1"/>
  <c r="F180" i="7"/>
  <c r="E180" i="7"/>
  <c r="E179" i="7"/>
  <c r="F179" i="7" s="1"/>
  <c r="F178" i="7"/>
  <c r="E178" i="7"/>
  <c r="E177" i="7"/>
  <c r="F177" i="7" s="1"/>
  <c r="F176" i="7"/>
  <c r="E176" i="7"/>
  <c r="E175" i="7"/>
  <c r="F175" i="7" s="1"/>
  <c r="E174" i="7"/>
  <c r="F174" i="7" s="1"/>
  <c r="E173" i="7"/>
  <c r="F173" i="7" s="1"/>
  <c r="F172" i="7"/>
  <c r="E172" i="7"/>
  <c r="E171" i="7"/>
  <c r="F171" i="7" s="1"/>
  <c r="E170" i="7"/>
  <c r="F170" i="7" s="1"/>
  <c r="D167" i="7"/>
  <c r="E167" i="7"/>
  <c r="F167" i="7"/>
  <c r="C167" i="7"/>
  <c r="E166" i="7"/>
  <c r="F166" i="7" s="1"/>
  <c r="F165" i="7"/>
  <c r="E165" i="7"/>
  <c r="E164" i="7"/>
  <c r="F164" i="7" s="1"/>
  <c r="F163" i="7"/>
  <c r="E163" i="7"/>
  <c r="E162" i="7"/>
  <c r="F162" i="7" s="1"/>
  <c r="F161" i="7"/>
  <c r="E161" i="7"/>
  <c r="E160" i="7"/>
  <c r="F160" i="7" s="1"/>
  <c r="F159" i="7"/>
  <c r="E159" i="7"/>
  <c r="F158" i="7"/>
  <c r="E158" i="7"/>
  <c r="E157" i="7"/>
  <c r="F157" i="7" s="1"/>
  <c r="E156" i="7"/>
  <c r="F156" i="7" s="1"/>
  <c r="F155" i="7"/>
  <c r="E155" i="7"/>
  <c r="F154" i="7"/>
  <c r="E154" i="7"/>
  <c r="F153" i="7"/>
  <c r="E153" i="7"/>
  <c r="E152" i="7"/>
  <c r="F152" i="7" s="1"/>
  <c r="F151" i="7"/>
  <c r="E151" i="7"/>
  <c r="E150" i="7"/>
  <c r="F150" i="7" s="1"/>
  <c r="F149" i="7"/>
  <c r="E149" i="7"/>
  <c r="E148" i="7"/>
  <c r="F148" i="7" s="1"/>
  <c r="F147" i="7"/>
  <c r="E147" i="7"/>
  <c r="E146" i="7"/>
  <c r="F146" i="7" s="1"/>
  <c r="E145" i="7"/>
  <c r="F145" i="7" s="1"/>
  <c r="E144" i="7"/>
  <c r="F144" i="7" s="1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 s="1"/>
  <c r="F135" i="7"/>
  <c r="E135" i="7"/>
  <c r="E134" i="7"/>
  <c r="F134" i="7" s="1"/>
  <c r="E133" i="7"/>
  <c r="F133" i="7" s="1"/>
  <c r="D130" i="7"/>
  <c r="E130" i="7"/>
  <c r="F130" i="7"/>
  <c r="C130" i="7"/>
  <c r="E129" i="7"/>
  <c r="F129" i="7" s="1"/>
  <c r="E128" i="7"/>
  <c r="F128" i="7" s="1"/>
  <c r="E127" i="7"/>
  <c r="F127" i="7" s="1"/>
  <c r="F126" i="7"/>
  <c r="E126" i="7"/>
  <c r="E125" i="7"/>
  <c r="F125" i="7" s="1"/>
  <c r="E124" i="7"/>
  <c r="F124" i="7" s="1"/>
  <c r="D121" i="7"/>
  <c r="E121" i="7"/>
  <c r="F121" i="7" s="1"/>
  <c r="C121" i="7"/>
  <c r="E120" i="7"/>
  <c r="F120" i="7" s="1"/>
  <c r="E119" i="7"/>
  <c r="F119" i="7" s="1"/>
  <c r="E118" i="7"/>
  <c r="F118" i="7" s="1"/>
  <c r="F117" i="7"/>
  <c r="E117" i="7"/>
  <c r="E116" i="7"/>
  <c r="F116" i="7" s="1"/>
  <c r="E115" i="7"/>
  <c r="F115" i="7" s="1"/>
  <c r="E114" i="7"/>
  <c r="F114" i="7" s="1"/>
  <c r="F113" i="7"/>
  <c r="E113" i="7"/>
  <c r="E112" i="7"/>
  <c r="F112" i="7" s="1"/>
  <c r="F111" i="7"/>
  <c r="E111" i="7"/>
  <c r="E110" i="7"/>
  <c r="F110" i="7" s="1"/>
  <c r="F109" i="7"/>
  <c r="E109" i="7"/>
  <c r="F108" i="7"/>
  <c r="E108" i="7"/>
  <c r="E107" i="7"/>
  <c r="F107" i="7" s="1"/>
  <c r="E106" i="7"/>
  <c r="F106" i="7" s="1"/>
  <c r="F105" i="7"/>
  <c r="E105" i="7"/>
  <c r="E104" i="7"/>
  <c r="F104" i="7" s="1"/>
  <c r="E103" i="7"/>
  <c r="F103" i="7" s="1"/>
  <c r="E93" i="7"/>
  <c r="F93" i="7" s="1"/>
  <c r="D90" i="7"/>
  <c r="C90" i="7"/>
  <c r="F89" i="7"/>
  <c r="E89" i="7"/>
  <c r="F88" i="7"/>
  <c r="E88" i="7"/>
  <c r="E87" i="7"/>
  <c r="F87" i="7" s="1"/>
  <c r="F86" i="7"/>
  <c r="E86" i="7"/>
  <c r="F85" i="7"/>
  <c r="E85" i="7"/>
  <c r="E84" i="7"/>
  <c r="F84" i="7" s="1"/>
  <c r="E83" i="7"/>
  <c r="F83" i="7" s="1"/>
  <c r="F82" i="7"/>
  <c r="E82" i="7"/>
  <c r="F81" i="7"/>
  <c r="E81" i="7"/>
  <c r="F80" i="7"/>
  <c r="E80" i="7"/>
  <c r="E79" i="7"/>
  <c r="F79" i="7" s="1"/>
  <c r="F78" i="7"/>
  <c r="E78" i="7"/>
  <c r="F77" i="7"/>
  <c r="E77" i="7"/>
  <c r="E76" i="7"/>
  <c r="F76" i="7" s="1"/>
  <c r="E75" i="7"/>
  <c r="F75" i="7" s="1"/>
  <c r="F74" i="7"/>
  <c r="E74" i="7"/>
  <c r="F73" i="7"/>
  <c r="E73" i="7"/>
  <c r="F72" i="7"/>
  <c r="E72" i="7"/>
  <c r="E71" i="7"/>
  <c r="F71" i="7" s="1"/>
  <c r="F70" i="7"/>
  <c r="E70" i="7"/>
  <c r="F69" i="7"/>
  <c r="E69" i="7"/>
  <c r="E68" i="7"/>
  <c r="F68" i="7" s="1"/>
  <c r="E67" i="7"/>
  <c r="F67" i="7" s="1"/>
  <c r="F66" i="7"/>
  <c r="E66" i="7"/>
  <c r="F65" i="7"/>
  <c r="E65" i="7"/>
  <c r="F64" i="7"/>
  <c r="E64" i="7"/>
  <c r="E63" i="7"/>
  <c r="F63" i="7" s="1"/>
  <c r="F62" i="7"/>
  <c r="E62" i="7"/>
  <c r="D59" i="7"/>
  <c r="C59" i="7"/>
  <c r="E58" i="7"/>
  <c r="F58" i="7" s="1"/>
  <c r="F57" i="7"/>
  <c r="E57" i="7"/>
  <c r="F56" i="7"/>
  <c r="E56" i="7"/>
  <c r="E55" i="7"/>
  <c r="F55" i="7" s="1"/>
  <c r="E54" i="7"/>
  <c r="F54" i="7" s="1"/>
  <c r="F53" i="7"/>
  <c r="E53" i="7"/>
  <c r="F50" i="7"/>
  <c r="E50" i="7"/>
  <c r="F47" i="7"/>
  <c r="E47" i="7"/>
  <c r="F44" i="7"/>
  <c r="E44" i="7"/>
  <c r="D41" i="7"/>
  <c r="E41" i="7" s="1"/>
  <c r="F41" i="7" s="1"/>
  <c r="C41" i="7"/>
  <c r="F40" i="7"/>
  <c r="E40" i="7"/>
  <c r="E39" i="7"/>
  <c r="F39" i="7" s="1"/>
  <c r="F38" i="7"/>
  <c r="E38" i="7"/>
  <c r="D35" i="7"/>
  <c r="C35" i="7"/>
  <c r="E34" i="7"/>
  <c r="F34" i="7" s="1"/>
  <c r="F33" i="7"/>
  <c r="E33" i="7"/>
  <c r="D30" i="7"/>
  <c r="E30" i="7" s="1"/>
  <c r="C30" i="7"/>
  <c r="E29" i="7"/>
  <c r="F29" i="7" s="1"/>
  <c r="F28" i="7"/>
  <c r="E28" i="7"/>
  <c r="F27" i="7"/>
  <c r="E27" i="7"/>
  <c r="D24" i="7"/>
  <c r="E24" i="7" s="1"/>
  <c r="C24" i="7"/>
  <c r="F23" i="7"/>
  <c r="E23" i="7"/>
  <c r="F22" i="7"/>
  <c r="E22" i="7"/>
  <c r="E21" i="7"/>
  <c r="F21" i="7" s="1"/>
  <c r="D18" i="7"/>
  <c r="E18" i="7"/>
  <c r="F18" i="7"/>
  <c r="C18" i="7"/>
  <c r="F17" i="7"/>
  <c r="E17" i="7"/>
  <c r="E16" i="7"/>
  <c r="F16" i="7" s="1"/>
  <c r="E15" i="7"/>
  <c r="F15" i="7" s="1"/>
  <c r="D179" i="6"/>
  <c r="E179" i="6" s="1"/>
  <c r="F179" i="6" s="1"/>
  <c r="C179" i="6"/>
  <c r="F178" i="6"/>
  <c r="E178" i="6"/>
  <c r="F177" i="6"/>
  <c r="E177" i="6"/>
  <c r="F176" i="6"/>
  <c r="E176" i="6"/>
  <c r="F175" i="6"/>
  <c r="E175" i="6"/>
  <c r="F174" i="6"/>
  <c r="E174" i="6"/>
  <c r="E173" i="6"/>
  <c r="F173" i="6" s="1"/>
  <c r="F172" i="6"/>
  <c r="E172" i="6"/>
  <c r="F171" i="6"/>
  <c r="E171" i="6"/>
  <c r="E170" i="6"/>
  <c r="F170" i="6" s="1"/>
  <c r="E169" i="6"/>
  <c r="F169" i="6" s="1"/>
  <c r="F168" i="6"/>
  <c r="E168" i="6"/>
  <c r="D166" i="6"/>
  <c r="C166" i="6"/>
  <c r="E165" i="6"/>
  <c r="F165" i="6" s="1"/>
  <c r="F164" i="6"/>
  <c r="E164" i="6"/>
  <c r="F163" i="6"/>
  <c r="E163" i="6"/>
  <c r="E162" i="6"/>
  <c r="F162" i="6" s="1"/>
  <c r="E161" i="6"/>
  <c r="F161" i="6" s="1"/>
  <c r="F160" i="6"/>
  <c r="E160" i="6"/>
  <c r="F159" i="6"/>
  <c r="E159" i="6"/>
  <c r="F158" i="6"/>
  <c r="E158" i="6"/>
  <c r="E157" i="6"/>
  <c r="F157" i="6" s="1"/>
  <c r="F156" i="6"/>
  <c r="E156" i="6"/>
  <c r="F155" i="6"/>
  <c r="E155" i="6"/>
  <c r="D153" i="6"/>
  <c r="E153" i="6"/>
  <c r="C153" i="6"/>
  <c r="F152" i="6"/>
  <c r="E152" i="6"/>
  <c r="F151" i="6"/>
  <c r="E151" i="6"/>
  <c r="F150" i="6"/>
  <c r="E150" i="6"/>
  <c r="E149" i="6"/>
  <c r="F149" i="6" s="1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E134" i="6"/>
  <c r="F134" i="6" s="1"/>
  <c r="F133" i="6"/>
  <c r="E133" i="6"/>
  <c r="F132" i="6"/>
  <c r="E132" i="6"/>
  <c r="E131" i="6"/>
  <c r="F131" i="6" s="1"/>
  <c r="E130" i="6"/>
  <c r="F130" i="6" s="1"/>
  <c r="F129" i="6"/>
  <c r="E129" i="6"/>
  <c r="F128" i="6"/>
  <c r="E128" i="6"/>
  <c r="E127" i="6"/>
  <c r="F127" i="6" s="1"/>
  <c r="E126" i="6"/>
  <c r="F126" i="6" s="1"/>
  <c r="D124" i="6"/>
  <c r="E124" i="6" s="1"/>
  <c r="F124" i="6" s="1"/>
  <c r="C124" i="6"/>
  <c r="E123" i="6"/>
  <c r="F123" i="6" s="1"/>
  <c r="F122" i="6"/>
  <c r="E122" i="6"/>
  <c r="F121" i="6"/>
  <c r="E121" i="6"/>
  <c r="F120" i="6"/>
  <c r="E120" i="6"/>
  <c r="E119" i="6"/>
  <c r="F119" i="6" s="1"/>
  <c r="E118" i="6"/>
  <c r="F118" i="6" s="1"/>
  <c r="F117" i="6"/>
  <c r="E117" i="6"/>
  <c r="F116" i="6"/>
  <c r="E116" i="6"/>
  <c r="F115" i="6"/>
  <c r="E115" i="6"/>
  <c r="E114" i="6"/>
  <c r="F114" i="6" s="1"/>
  <c r="F113" i="6"/>
  <c r="E113" i="6"/>
  <c r="D111" i="6"/>
  <c r="E111" i="6" s="1"/>
  <c r="F111" i="6" s="1"/>
  <c r="C111" i="6"/>
  <c r="E110" i="6"/>
  <c r="F110" i="6" s="1"/>
  <c r="F109" i="6"/>
  <c r="E109" i="6"/>
  <c r="F108" i="6"/>
  <c r="E108" i="6"/>
  <c r="F107" i="6"/>
  <c r="E107" i="6"/>
  <c r="E106" i="6"/>
  <c r="F106" i="6" s="1"/>
  <c r="F105" i="6"/>
  <c r="E105" i="6"/>
  <c r="F104" i="6"/>
  <c r="E104" i="6"/>
  <c r="F103" i="6"/>
  <c r="E103" i="6"/>
  <c r="E102" i="6"/>
  <c r="F102" i="6" s="1"/>
  <c r="F101" i="6"/>
  <c r="E101" i="6"/>
  <c r="F100" i="6"/>
  <c r="E100" i="6"/>
  <c r="D94" i="6"/>
  <c r="E94" i="6"/>
  <c r="C94" i="6"/>
  <c r="D93" i="6"/>
  <c r="E93" i="6"/>
  <c r="C93" i="6"/>
  <c r="F93" i="6"/>
  <c r="D92" i="6"/>
  <c r="C92" i="6"/>
  <c r="E92" i="6" s="1"/>
  <c r="D91" i="6"/>
  <c r="C91" i="6"/>
  <c r="E91" i="6" s="1"/>
  <c r="D90" i="6"/>
  <c r="E90" i="6"/>
  <c r="C90" i="6"/>
  <c r="D89" i="6"/>
  <c r="C89" i="6"/>
  <c r="D88" i="6"/>
  <c r="C88" i="6"/>
  <c r="D87" i="6"/>
  <c r="C87" i="6"/>
  <c r="F87" i="6"/>
  <c r="D86" i="6"/>
  <c r="C86" i="6"/>
  <c r="C95" i="6" s="1"/>
  <c r="D85" i="6"/>
  <c r="C85" i="6"/>
  <c r="D84" i="6"/>
  <c r="C84" i="6"/>
  <c r="D81" i="6"/>
  <c r="C81" i="6"/>
  <c r="E80" i="6"/>
  <c r="F80" i="6"/>
  <c r="F79" i="6"/>
  <c r="E79" i="6"/>
  <c r="E78" i="6"/>
  <c r="F78" i="6" s="1"/>
  <c r="E77" i="6"/>
  <c r="F77" i="6" s="1"/>
  <c r="E76" i="6"/>
  <c r="F76" i="6"/>
  <c r="E75" i="6"/>
  <c r="F75" i="6"/>
  <c r="E74" i="6"/>
  <c r="F74" i="6" s="1"/>
  <c r="F73" i="6"/>
  <c r="E73" i="6"/>
  <c r="E72" i="6"/>
  <c r="F72" i="6" s="1"/>
  <c r="E71" i="6"/>
  <c r="F71" i="6"/>
  <c r="E70" i="6"/>
  <c r="F70" i="6" s="1"/>
  <c r="D68" i="6"/>
  <c r="C68" i="6"/>
  <c r="E67" i="6"/>
  <c r="F67" i="6" s="1"/>
  <c r="F66" i="6"/>
  <c r="E66" i="6"/>
  <c r="E65" i="6"/>
  <c r="F65" i="6" s="1"/>
  <c r="E64" i="6"/>
  <c r="F64" i="6" s="1"/>
  <c r="E63" i="6"/>
  <c r="F63" i="6"/>
  <c r="E62" i="6"/>
  <c r="F62" i="6"/>
  <c r="E61" i="6"/>
  <c r="F61" i="6" s="1"/>
  <c r="F60" i="6"/>
  <c r="E60" i="6"/>
  <c r="E59" i="6"/>
  <c r="F59" i="6" s="1"/>
  <c r="E58" i="6"/>
  <c r="F58" i="6"/>
  <c r="E57" i="6"/>
  <c r="F57" i="6" s="1"/>
  <c r="D51" i="6"/>
  <c r="C51" i="6"/>
  <c r="D50" i="6"/>
  <c r="C50" i="6"/>
  <c r="F50" i="6" s="1"/>
  <c r="D49" i="6"/>
  <c r="C49" i="6"/>
  <c r="D48" i="6"/>
  <c r="C48" i="6"/>
  <c r="E48" i="6" s="1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D52" i="6" s="1"/>
  <c r="C41" i="6"/>
  <c r="D38" i="6"/>
  <c r="C38" i="6"/>
  <c r="E38" i="6" s="1"/>
  <c r="E37" i="6"/>
  <c r="F37" i="6" s="1"/>
  <c r="F36" i="6"/>
  <c r="E36" i="6"/>
  <c r="E35" i="6"/>
  <c r="F35" i="6"/>
  <c r="E34" i="6"/>
  <c r="F34" i="6"/>
  <c r="E33" i="6"/>
  <c r="F33" i="6" s="1"/>
  <c r="E32" i="6"/>
  <c r="F32" i="6"/>
  <c r="E31" i="6"/>
  <c r="F31" i="6"/>
  <c r="F30" i="6"/>
  <c r="E30" i="6"/>
  <c r="E29" i="6"/>
  <c r="F29" i="6" s="1"/>
  <c r="E28" i="6"/>
  <c r="F28" i="6"/>
  <c r="E27" i="6"/>
  <c r="F27" i="6"/>
  <c r="D25" i="6"/>
  <c r="C25" i="6"/>
  <c r="E25" i="6" s="1"/>
  <c r="E24" i="6"/>
  <c r="F24" i="6" s="1"/>
  <c r="F23" i="6"/>
  <c r="E23" i="6"/>
  <c r="E22" i="6"/>
  <c r="F22" i="6"/>
  <c r="E21" i="6"/>
  <c r="F21" i="6"/>
  <c r="E20" i="6"/>
  <c r="F20" i="6" s="1"/>
  <c r="E19" i="6"/>
  <c r="F19" i="6"/>
  <c r="E18" i="6"/>
  <c r="F18" i="6"/>
  <c r="F17" i="6"/>
  <c r="E17" i="6"/>
  <c r="E16" i="6"/>
  <c r="F16" i="6" s="1"/>
  <c r="E15" i="6"/>
  <c r="F15" i="6"/>
  <c r="E14" i="6"/>
  <c r="F14" i="6"/>
  <c r="E51" i="5"/>
  <c r="F51" i="5" s="1"/>
  <c r="D48" i="5"/>
  <c r="E48" i="5" s="1"/>
  <c r="C48" i="5"/>
  <c r="E47" i="5"/>
  <c r="F47" i="5" s="1"/>
  <c r="E46" i="5"/>
  <c r="F46" i="5" s="1"/>
  <c r="D41" i="5"/>
  <c r="E41" i="5" s="1"/>
  <c r="C41" i="5"/>
  <c r="E40" i="5"/>
  <c r="F40" i="5" s="1"/>
  <c r="E39" i="5"/>
  <c r="F39" i="5" s="1"/>
  <c r="F38" i="5"/>
  <c r="E38" i="5"/>
  <c r="D33" i="5"/>
  <c r="C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E26" i="5"/>
  <c r="F26" i="5" s="1"/>
  <c r="E25" i="5"/>
  <c r="F25" i="5" s="1"/>
  <c r="E24" i="5"/>
  <c r="F24" i="5" s="1"/>
  <c r="F20" i="5"/>
  <c r="E20" i="5"/>
  <c r="E19" i="5"/>
  <c r="F19" i="5" s="1"/>
  <c r="E17" i="5"/>
  <c r="F17" i="5" s="1"/>
  <c r="D16" i="5"/>
  <c r="E16" i="5"/>
  <c r="F16" i="5"/>
  <c r="C16" i="5"/>
  <c r="C18" i="5" s="1"/>
  <c r="F15" i="5"/>
  <c r="E15" i="5"/>
  <c r="F14" i="5"/>
  <c r="E14" i="5"/>
  <c r="F13" i="5"/>
  <c r="E13" i="5"/>
  <c r="E12" i="5"/>
  <c r="F12" i="5" s="1"/>
  <c r="D73" i="4"/>
  <c r="E73" i="4" s="1"/>
  <c r="F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 s="1"/>
  <c r="C61" i="4"/>
  <c r="C65" i="4"/>
  <c r="F60" i="4"/>
  <c r="E60" i="4"/>
  <c r="E59" i="4"/>
  <c r="F59" i="4" s="1"/>
  <c r="D56" i="4"/>
  <c r="C56" i="4"/>
  <c r="C75" i="4" s="1"/>
  <c r="E55" i="4"/>
  <c r="F55" i="4" s="1"/>
  <c r="F54" i="4"/>
  <c r="E54" i="4"/>
  <c r="F53" i="4"/>
  <c r="E53" i="4"/>
  <c r="F52" i="4"/>
  <c r="E52" i="4"/>
  <c r="E51" i="4"/>
  <c r="F51" i="4" s="1"/>
  <c r="E50" i="4"/>
  <c r="F50" i="4"/>
  <c r="A50" i="4"/>
  <c r="A51" i="4" s="1"/>
  <c r="A52" i="4" s="1"/>
  <c r="A53" i="4" s="1"/>
  <c r="A54" i="4" s="1"/>
  <c r="A55" i="4" s="1"/>
  <c r="F49" i="4"/>
  <c r="E49" i="4"/>
  <c r="F40" i="4"/>
  <c r="E40" i="4"/>
  <c r="D38" i="4"/>
  <c r="D41" i="4" s="1"/>
  <c r="C38" i="4"/>
  <c r="C41" i="4" s="1"/>
  <c r="E41" i="4" s="1"/>
  <c r="F37" i="4"/>
  <c r="E37" i="4"/>
  <c r="F36" i="4"/>
  <c r="E36" i="4"/>
  <c r="F33" i="4"/>
  <c r="E33" i="4"/>
  <c r="F32" i="4"/>
  <c r="E32" i="4"/>
  <c r="F31" i="4"/>
  <c r="E31" i="4"/>
  <c r="D29" i="4"/>
  <c r="E29" i="4" s="1"/>
  <c r="F29" i="4" s="1"/>
  <c r="C29" i="4"/>
  <c r="F28" i="4"/>
  <c r="E28" i="4"/>
  <c r="F27" i="4"/>
  <c r="E27" i="4"/>
  <c r="F26" i="4"/>
  <c r="E26" i="4"/>
  <c r="F25" i="4"/>
  <c r="E25" i="4"/>
  <c r="D22" i="4"/>
  <c r="E22" i="4" s="1"/>
  <c r="D43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109" i="22"/>
  <c r="C108" i="22"/>
  <c r="D108" i="22"/>
  <c r="D109" i="22"/>
  <c r="D22" i="22"/>
  <c r="C23" i="22"/>
  <c r="E23" i="22"/>
  <c r="C34" i="22"/>
  <c r="E34" i="22"/>
  <c r="C102" i="22"/>
  <c r="D111" i="22"/>
  <c r="C22" i="22"/>
  <c r="C53" i="22" s="1"/>
  <c r="E22" i="22"/>
  <c r="D30" i="22"/>
  <c r="D36" i="22"/>
  <c r="D40" i="22"/>
  <c r="D46" i="22"/>
  <c r="E43" i="20"/>
  <c r="C22" i="19"/>
  <c r="D258" i="18"/>
  <c r="D101" i="18"/>
  <c r="D99" i="18"/>
  <c r="D97" i="18"/>
  <c r="D95" i="18"/>
  <c r="D103" i="18" s="1"/>
  <c r="D88" i="18"/>
  <c r="D86" i="18"/>
  <c r="D84" i="18"/>
  <c r="D100" i="18"/>
  <c r="D98" i="18"/>
  <c r="D96" i="18"/>
  <c r="D89" i="18"/>
  <c r="D87" i="18"/>
  <c r="D85" i="18"/>
  <c r="D83" i="18"/>
  <c r="E33" i="18"/>
  <c r="E294" i="17"/>
  <c r="E296" i="17"/>
  <c r="F296" i="17" s="1"/>
  <c r="E297" i="17"/>
  <c r="E298" i="17"/>
  <c r="C22" i="18"/>
  <c r="C284" i="18"/>
  <c r="E32" i="18"/>
  <c r="E36" i="18"/>
  <c r="E60" i="18"/>
  <c r="D65" i="18"/>
  <c r="E70" i="18"/>
  <c r="D71" i="18"/>
  <c r="E21" i="18"/>
  <c r="E37" i="18"/>
  <c r="E69" i="18"/>
  <c r="D157" i="18"/>
  <c r="C144" i="18"/>
  <c r="E144" i="18"/>
  <c r="D145" i="18"/>
  <c r="E151" i="18"/>
  <c r="D163" i="18"/>
  <c r="E163" i="18" s="1"/>
  <c r="C175" i="18"/>
  <c r="E175" i="18"/>
  <c r="D180" i="18"/>
  <c r="C261" i="18"/>
  <c r="C189" i="18"/>
  <c r="D260" i="18"/>
  <c r="E195" i="18"/>
  <c r="D211" i="18"/>
  <c r="D239" i="18"/>
  <c r="E239" i="18" s="1"/>
  <c r="E215" i="18"/>
  <c r="D241" i="18"/>
  <c r="E241" i="18" s="1"/>
  <c r="E245" i="18"/>
  <c r="D253" i="18"/>
  <c r="C303" i="18"/>
  <c r="C306" i="18" s="1"/>
  <c r="C310" i="18" s="1"/>
  <c r="E139" i="18"/>
  <c r="C229" i="18"/>
  <c r="E229" i="18"/>
  <c r="C210" i="18"/>
  <c r="C211" i="18" s="1"/>
  <c r="E205" i="18"/>
  <c r="C240" i="18"/>
  <c r="E240" i="18"/>
  <c r="C222" i="18"/>
  <c r="E216" i="18"/>
  <c r="D320" i="18"/>
  <c r="E320" i="18" s="1"/>
  <c r="E316" i="18"/>
  <c r="D330" i="18"/>
  <c r="E330" i="18" s="1"/>
  <c r="C217" i="18"/>
  <c r="C241" i="18"/>
  <c r="E219" i="18"/>
  <c r="E221" i="18"/>
  <c r="D222" i="18"/>
  <c r="C223" i="18"/>
  <c r="E314" i="18"/>
  <c r="E218" i="18"/>
  <c r="E220" i="18"/>
  <c r="E233" i="18"/>
  <c r="E301" i="18"/>
  <c r="E324" i="18"/>
  <c r="D61" i="17"/>
  <c r="D32" i="17"/>
  <c r="C103" i="17"/>
  <c r="E17" i="17"/>
  <c r="F17" i="17" s="1"/>
  <c r="E20" i="17"/>
  <c r="F20" i="17" s="1"/>
  <c r="C21" i="17"/>
  <c r="E23" i="17"/>
  <c r="F23" i="17"/>
  <c r="E29" i="17"/>
  <c r="F29" i="17" s="1"/>
  <c r="E30" i="17"/>
  <c r="F30" i="17" s="1"/>
  <c r="C31" i="17"/>
  <c r="E36" i="17"/>
  <c r="F36" i="17"/>
  <c r="C37" i="17"/>
  <c r="E47" i="17"/>
  <c r="F47" i="17"/>
  <c r="C48" i="17"/>
  <c r="E52" i="17"/>
  <c r="F52" i="17"/>
  <c r="E53" i="17"/>
  <c r="F53" i="17" s="1"/>
  <c r="E59" i="17"/>
  <c r="F59" i="17" s="1"/>
  <c r="C60" i="17"/>
  <c r="E66" i="17"/>
  <c r="F66" i="17" s="1"/>
  <c r="E76" i="17"/>
  <c r="F76" i="17" s="1"/>
  <c r="D89" i="17"/>
  <c r="D102" i="17"/>
  <c r="D111" i="17"/>
  <c r="D124" i="17"/>
  <c r="D137" i="17"/>
  <c r="D146" i="17"/>
  <c r="E146" i="17" s="1"/>
  <c r="F146" i="17" s="1"/>
  <c r="D159" i="17"/>
  <c r="D172" i="17"/>
  <c r="D181" i="17"/>
  <c r="E181" i="17"/>
  <c r="D278" i="17"/>
  <c r="D262" i="17"/>
  <c r="D215" i="17"/>
  <c r="E189" i="17"/>
  <c r="D190" i="17"/>
  <c r="D290" i="17"/>
  <c r="D274" i="17"/>
  <c r="E198" i="17"/>
  <c r="F198" i="17"/>
  <c r="D199" i="17"/>
  <c r="D21" i="17"/>
  <c r="C193" i="17"/>
  <c r="C192" i="17"/>
  <c r="E123" i="17"/>
  <c r="F123" i="17"/>
  <c r="C124" i="17"/>
  <c r="D277" i="17"/>
  <c r="D206" i="17"/>
  <c r="D280" i="17"/>
  <c r="E280" i="17" s="1"/>
  <c r="D264" i="17"/>
  <c r="E191" i="17"/>
  <c r="F191" i="17"/>
  <c r="D283" i="17"/>
  <c r="D205" i="17"/>
  <c r="D267" i="17"/>
  <c r="C190" i="17"/>
  <c r="E190" i="17" s="1"/>
  <c r="C290" i="17"/>
  <c r="C274" i="17"/>
  <c r="C200" i="17"/>
  <c r="E200" i="17"/>
  <c r="C283" i="17"/>
  <c r="C285" i="17"/>
  <c r="C269" i="17"/>
  <c r="E204" i="17"/>
  <c r="F204" i="17" s="1"/>
  <c r="E226" i="17"/>
  <c r="F226" i="17"/>
  <c r="E237" i="17"/>
  <c r="F237" i="17" s="1"/>
  <c r="E250" i="17"/>
  <c r="F250" i="17"/>
  <c r="C254" i="17"/>
  <c r="C261" i="17"/>
  <c r="C264" i="17"/>
  <c r="D269" i="17"/>
  <c r="E269" i="17" s="1"/>
  <c r="E285" i="17"/>
  <c r="F294" i="17"/>
  <c r="F295" i="17"/>
  <c r="F297" i="17"/>
  <c r="F298" i="17"/>
  <c r="F50" i="15"/>
  <c r="F16" i="15"/>
  <c r="E23" i="15"/>
  <c r="F23" i="15" s="1"/>
  <c r="E30" i="15"/>
  <c r="E37" i="15"/>
  <c r="F37" i="15" s="1"/>
  <c r="E45" i="15"/>
  <c r="F45" i="15" s="1"/>
  <c r="E50" i="15"/>
  <c r="E55" i="15"/>
  <c r="F55" i="15" s="1"/>
  <c r="E65" i="15"/>
  <c r="F65" i="15"/>
  <c r="E70" i="15"/>
  <c r="F70" i="15" s="1"/>
  <c r="E75" i="15"/>
  <c r="F75" i="15"/>
  <c r="E100" i="15"/>
  <c r="F100" i="15" s="1"/>
  <c r="E107" i="15"/>
  <c r="F107" i="15"/>
  <c r="G36" i="14"/>
  <c r="G38" i="14" s="1"/>
  <c r="G40" i="14"/>
  <c r="I33" i="14"/>
  <c r="I36" i="14"/>
  <c r="I38" i="14" s="1"/>
  <c r="I40" i="14" s="1"/>
  <c r="H33" i="14"/>
  <c r="H36" i="14" s="1"/>
  <c r="H38" i="14" s="1"/>
  <c r="H40" i="14" s="1"/>
  <c r="F36" i="14"/>
  <c r="F38" i="14" s="1"/>
  <c r="F40" i="14" s="1"/>
  <c r="I17" i="14"/>
  <c r="D31" i="14"/>
  <c r="F31" i="14"/>
  <c r="H31" i="14" s="1"/>
  <c r="H17" i="14"/>
  <c r="D21" i="13"/>
  <c r="C20" i="13"/>
  <c r="D15" i="13"/>
  <c r="C17" i="13"/>
  <c r="C28" i="13"/>
  <c r="D48" i="13"/>
  <c r="D42" i="13" s="1"/>
  <c r="F17" i="12"/>
  <c r="C20" i="12"/>
  <c r="D20" i="12"/>
  <c r="D34" i="12" s="1"/>
  <c r="E34" i="12" s="1"/>
  <c r="E17" i="12"/>
  <c r="E15" i="12"/>
  <c r="F15" i="12" s="1"/>
  <c r="E41" i="11"/>
  <c r="F41" i="11" s="1"/>
  <c r="F73" i="11"/>
  <c r="E22" i="11"/>
  <c r="F22" i="11" s="1"/>
  <c r="E38" i="11"/>
  <c r="F38" i="11" s="1"/>
  <c r="E56" i="11"/>
  <c r="F56" i="11" s="1"/>
  <c r="E61" i="11"/>
  <c r="F61" i="11"/>
  <c r="E112" i="10"/>
  <c r="E113" i="10"/>
  <c r="D207" i="9"/>
  <c r="E207" i="9"/>
  <c r="D208" i="9"/>
  <c r="E208" i="9"/>
  <c r="F208" i="9" s="1"/>
  <c r="C20" i="8"/>
  <c r="C21" i="8"/>
  <c r="C140" i="8"/>
  <c r="C138" i="8"/>
  <c r="C136" i="8"/>
  <c r="C139" i="8"/>
  <c r="C141" i="8" s="1"/>
  <c r="C137" i="8"/>
  <c r="C135" i="8"/>
  <c r="E157" i="8"/>
  <c r="D156" i="8"/>
  <c r="D154" i="8"/>
  <c r="D157" i="8"/>
  <c r="D153" i="8"/>
  <c r="E21" i="8"/>
  <c r="E140" i="8"/>
  <c r="E138" i="8"/>
  <c r="E136" i="8"/>
  <c r="E141" i="8" s="1"/>
  <c r="E139" i="8"/>
  <c r="E137" i="8"/>
  <c r="E135" i="8"/>
  <c r="D137" i="8"/>
  <c r="D135" i="8"/>
  <c r="D140" i="8"/>
  <c r="D138" i="8"/>
  <c r="C157" i="8"/>
  <c r="C153" i="8"/>
  <c r="C156" i="8"/>
  <c r="C154" i="8"/>
  <c r="C152" i="8"/>
  <c r="D15" i="8"/>
  <c r="C17" i="8"/>
  <c r="C112" i="8" s="1"/>
  <c r="C43" i="8"/>
  <c r="E43" i="8"/>
  <c r="D49" i="8"/>
  <c r="C53" i="8"/>
  <c r="E53" i="8"/>
  <c r="D77" i="8"/>
  <c r="D71" i="8"/>
  <c r="C49" i="8"/>
  <c r="E49" i="8"/>
  <c r="E188" i="7"/>
  <c r="F188" i="7" s="1"/>
  <c r="E90" i="7"/>
  <c r="F90" i="7"/>
  <c r="E183" i="7"/>
  <c r="F183" i="7"/>
  <c r="C188" i="7"/>
  <c r="F90" i="6"/>
  <c r="F91" i="6"/>
  <c r="F92" i="6"/>
  <c r="F94" i="6"/>
  <c r="F25" i="6"/>
  <c r="E42" i="6"/>
  <c r="F42" i="6" s="1"/>
  <c r="E45" i="6"/>
  <c r="F45" i="6"/>
  <c r="E46" i="6"/>
  <c r="F46" i="6" s="1"/>
  <c r="E47" i="6"/>
  <c r="F47" i="6"/>
  <c r="E49" i="6"/>
  <c r="F49" i="6" s="1"/>
  <c r="E51" i="6"/>
  <c r="F51" i="6" s="1"/>
  <c r="E68" i="6"/>
  <c r="F68" i="6" s="1"/>
  <c r="E81" i="6"/>
  <c r="F81" i="6"/>
  <c r="E84" i="6"/>
  <c r="F84" i="6" s="1"/>
  <c r="E85" i="6"/>
  <c r="F85" i="6"/>
  <c r="E86" i="6"/>
  <c r="E87" i="6"/>
  <c r="E88" i="6"/>
  <c r="F88" i="6"/>
  <c r="E89" i="6"/>
  <c r="F89" i="6" s="1"/>
  <c r="C21" i="5"/>
  <c r="C35" i="5" s="1"/>
  <c r="C43" i="5" s="1"/>
  <c r="C50" i="5" s="1"/>
  <c r="D18" i="5"/>
  <c r="F22" i="4"/>
  <c r="E38" i="4"/>
  <c r="F38" i="4"/>
  <c r="E56" i="4"/>
  <c r="F56" i="4"/>
  <c r="E61" i="4"/>
  <c r="F61" i="4" s="1"/>
  <c r="E53" i="22"/>
  <c r="E45" i="22"/>
  <c r="E39" i="22"/>
  <c r="E35" i="22"/>
  <c r="E29" i="22"/>
  <c r="D56" i="22"/>
  <c r="D38" i="22"/>
  <c r="C45" i="22"/>
  <c r="C39" i="22"/>
  <c r="C35" i="22"/>
  <c r="C29" i="22"/>
  <c r="C37" i="22" s="1"/>
  <c r="C110" i="22"/>
  <c r="E54" i="22"/>
  <c r="E46" i="22"/>
  <c r="E40" i="22"/>
  <c r="E36" i="22"/>
  <c r="E30" i="22"/>
  <c r="E38" i="22" s="1"/>
  <c r="D110" i="22"/>
  <c r="D53" i="22"/>
  <c r="D45" i="22"/>
  <c r="D39" i="22"/>
  <c r="D35" i="22"/>
  <c r="D29" i="22"/>
  <c r="F43" i="20"/>
  <c r="E222" i="18"/>
  <c r="C253" i="18"/>
  <c r="E253" i="18" s="1"/>
  <c r="E260" i="18"/>
  <c r="D181" i="18"/>
  <c r="D169" i="18"/>
  <c r="C145" i="18"/>
  <c r="E145" i="18" s="1"/>
  <c r="D66" i="18"/>
  <c r="D76" i="18"/>
  <c r="D102" i="18"/>
  <c r="E217" i="18"/>
  <c r="D223" i="18"/>
  <c r="E22" i="18"/>
  <c r="F280" i="17"/>
  <c r="C300" i="17"/>
  <c r="F285" i="17"/>
  <c r="C194" i="17"/>
  <c r="D161" i="17"/>
  <c r="D162" i="17" s="1"/>
  <c r="D126" i="17"/>
  <c r="D91" i="17"/>
  <c r="E21" i="17"/>
  <c r="F21" i="17"/>
  <c r="E290" i="17"/>
  <c r="D272" i="17"/>
  <c r="C125" i="17"/>
  <c r="F48" i="17"/>
  <c r="C126" i="17"/>
  <c r="C49" i="17"/>
  <c r="C266" i="17"/>
  <c r="C265" i="17" s="1"/>
  <c r="D90" i="17"/>
  <c r="D62" i="17"/>
  <c r="F200" i="17"/>
  <c r="D286" i="17"/>
  <c r="E274" i="17"/>
  <c r="F190" i="17"/>
  <c r="D255" i="17"/>
  <c r="D288" i="17"/>
  <c r="E172" i="17"/>
  <c r="F172" i="17"/>
  <c r="D173" i="17"/>
  <c r="E124" i="17"/>
  <c r="F124" i="17" s="1"/>
  <c r="E102" i="17"/>
  <c r="F102" i="17" s="1"/>
  <c r="D103" i="17"/>
  <c r="D104" i="17" s="1"/>
  <c r="E103" i="17"/>
  <c r="F103" i="17" s="1"/>
  <c r="C61" i="17"/>
  <c r="C32" i="17"/>
  <c r="E31" i="17"/>
  <c r="F31" i="17"/>
  <c r="E60" i="17"/>
  <c r="F60" i="17"/>
  <c r="D24" i="13"/>
  <c r="D17" i="13"/>
  <c r="D28" i="13" s="1"/>
  <c r="D70" i="13" s="1"/>
  <c r="D72" i="13" s="1"/>
  <c r="D69" i="13" s="1"/>
  <c r="E20" i="12"/>
  <c r="F20" i="12"/>
  <c r="C34" i="12"/>
  <c r="C42" i="12" s="1"/>
  <c r="C49" i="12" s="1"/>
  <c r="C111" i="8"/>
  <c r="C28" i="8"/>
  <c r="E18" i="5"/>
  <c r="F18" i="5" s="1"/>
  <c r="D21" i="5"/>
  <c r="D112" i="22"/>
  <c r="D55" i="22"/>
  <c r="D47" i="22"/>
  <c r="D37" i="22"/>
  <c r="E48" i="22"/>
  <c r="C47" i="22"/>
  <c r="D174" i="17"/>
  <c r="E223" i="18"/>
  <c r="D295" i="18"/>
  <c r="D63" i="17"/>
  <c r="C127" i="17"/>
  <c r="D175" i="17"/>
  <c r="D176" i="17" s="1"/>
  <c r="C50" i="17"/>
  <c r="E126" i="17"/>
  <c r="D127" i="17"/>
  <c r="D22" i="13"/>
  <c r="D42" i="12"/>
  <c r="D49" i="12" s="1"/>
  <c r="F34" i="12"/>
  <c r="C99" i="8"/>
  <c r="C101" i="8" s="1"/>
  <c r="C98" i="8" s="1"/>
  <c r="C22" i="8"/>
  <c r="D35" i="5"/>
  <c r="E49" i="12"/>
  <c r="E42" i="12"/>
  <c r="F42" i="12"/>
  <c r="D43" i="5"/>
  <c r="D50" i="5" s="1"/>
  <c r="E50" i="5" s="1"/>
  <c r="F49" i="12"/>
  <c r="C235" i="18" l="1"/>
  <c r="E211" i="18"/>
  <c r="D323" i="17"/>
  <c r="D183" i="17"/>
  <c r="D77" i="18"/>
  <c r="D259" i="18"/>
  <c r="C46" i="22"/>
  <c r="C54" i="22"/>
  <c r="C36" i="22"/>
  <c r="C111" i="22"/>
  <c r="C40" i="22"/>
  <c r="D189" i="18"/>
  <c r="E189" i="18" s="1"/>
  <c r="D261" i="18"/>
  <c r="E261" i="18" s="1"/>
  <c r="E188" i="18"/>
  <c r="C196" i="17"/>
  <c r="C195" i="17"/>
  <c r="C30" i="22"/>
  <c r="E127" i="17"/>
  <c r="F127" i="17" s="1"/>
  <c r="F41" i="4"/>
  <c r="D300" i="17"/>
  <c r="E300" i="17" s="1"/>
  <c r="E264" i="17"/>
  <c r="F264" i="17" s="1"/>
  <c r="C282" i="17"/>
  <c r="E62" i="17"/>
  <c r="D92" i="17"/>
  <c r="F300" i="17"/>
  <c r="D138" i="17"/>
  <c r="D207" i="17"/>
  <c r="E65" i="18"/>
  <c r="E206" i="17"/>
  <c r="E277" i="17"/>
  <c r="F277" i="17" s="1"/>
  <c r="D284" i="17"/>
  <c r="D279" i="17"/>
  <c r="D113" i="22"/>
  <c r="D48" i="22"/>
  <c r="E101" i="22"/>
  <c r="E102" i="22"/>
  <c r="E35" i="5"/>
  <c r="F35" i="5" s="1"/>
  <c r="C287" i="17"/>
  <c r="C286" i="17"/>
  <c r="E283" i="17"/>
  <c r="F283" i="17" s="1"/>
  <c r="C112" i="22"/>
  <c r="E61" i="17"/>
  <c r="F61" i="17" s="1"/>
  <c r="C174" i="17"/>
  <c r="C104" i="17"/>
  <c r="C284" i="17"/>
  <c r="E55" i="22"/>
  <c r="E47" i="22"/>
  <c r="E37" i="22"/>
  <c r="E43" i="5"/>
  <c r="F43" i="5" s="1"/>
  <c r="D287" i="17"/>
  <c r="F36" i="10"/>
  <c r="E36" i="10"/>
  <c r="F125" i="17"/>
  <c r="D75" i="4"/>
  <c r="E75" i="4" s="1"/>
  <c r="F75" i="4" s="1"/>
  <c r="E65" i="4"/>
  <c r="F65" i="4" s="1"/>
  <c r="F50" i="5"/>
  <c r="C158" i="8"/>
  <c r="C180" i="18"/>
  <c r="E180" i="18" s="1"/>
  <c r="E210" i="18"/>
  <c r="F32" i="17"/>
  <c r="C105" i="17"/>
  <c r="C62" i="17"/>
  <c r="E32" i="17"/>
  <c r="C175" i="17"/>
  <c r="C70" i="13"/>
  <c r="C72" i="13" s="1"/>
  <c r="C69" i="13" s="1"/>
  <c r="C22" i="13"/>
  <c r="C52" i="6"/>
  <c r="E41" i="6"/>
  <c r="F41" i="6" s="1"/>
  <c r="F21" i="5"/>
  <c r="D270" i="17"/>
  <c r="C234" i="18"/>
  <c r="E21" i="5"/>
  <c r="C55" i="22"/>
  <c r="D17" i="8"/>
  <c r="D24" i="8"/>
  <c r="D20" i="8" s="1"/>
  <c r="D21" i="8"/>
  <c r="E154" i="8"/>
  <c r="E155" i="8"/>
  <c r="E156" i="8"/>
  <c r="E153" i="8"/>
  <c r="E152" i="8"/>
  <c r="E158" i="8" s="1"/>
  <c r="F44" i="6"/>
  <c r="E44" i="6"/>
  <c r="F207" i="9"/>
  <c r="F59" i="15"/>
  <c r="E60" i="15"/>
  <c r="F60" i="15" s="1"/>
  <c r="E24" i="17"/>
  <c r="F24" i="17" s="1"/>
  <c r="F181" i="17"/>
  <c r="C278" i="17"/>
  <c r="F189" i="17"/>
  <c r="C199" i="17"/>
  <c r="C262" i="17"/>
  <c r="C205" i="17"/>
  <c r="C206" i="17"/>
  <c r="E203" i="17"/>
  <c r="F203" i="17" s="1"/>
  <c r="C267" i="17"/>
  <c r="E56" i="22"/>
  <c r="E173" i="17"/>
  <c r="D160" i="17"/>
  <c r="D49" i="17"/>
  <c r="D105" i="17"/>
  <c r="E265" i="18"/>
  <c r="F41" i="5"/>
  <c r="D139" i="8"/>
  <c r="D136" i="8"/>
  <c r="D141" i="8" s="1"/>
  <c r="D155" i="8"/>
  <c r="D152" i="8"/>
  <c r="D158" i="8" s="1"/>
  <c r="D20" i="13"/>
  <c r="E67" i="17"/>
  <c r="F67" i="17"/>
  <c r="C68" i="17"/>
  <c r="F24" i="9"/>
  <c r="F173" i="17"/>
  <c r="E228" i="18"/>
  <c r="C252" i="18"/>
  <c r="C254" i="18" s="1"/>
  <c r="E39" i="20"/>
  <c r="C40" i="20"/>
  <c r="E40" i="20" s="1"/>
  <c r="F36" i="20"/>
  <c r="D125" i="17"/>
  <c r="E125" i="17" s="1"/>
  <c r="D247" i="18"/>
  <c r="F38" i="6"/>
  <c r="E79" i="8"/>
  <c r="E24" i="9"/>
  <c r="F75" i="9"/>
  <c r="D193" i="17"/>
  <c r="E192" i="17"/>
  <c r="F192" i="17" s="1"/>
  <c r="E72" i="18"/>
  <c r="F48" i="6"/>
  <c r="C215" i="17"/>
  <c r="F274" i="17"/>
  <c r="C95" i="7"/>
  <c r="E24" i="8"/>
  <c r="E17" i="8"/>
  <c r="E55" i="18"/>
  <c r="D235" i="18"/>
  <c r="E235" i="18" s="1"/>
  <c r="E244" i="18"/>
  <c r="D303" i="18"/>
  <c r="E302" i="18"/>
  <c r="C181" i="18"/>
  <c r="E181" i="18" s="1"/>
  <c r="E286" i="17"/>
  <c r="F126" i="17"/>
  <c r="C255" i="17"/>
  <c r="C214" i="17"/>
  <c r="F290" i="17"/>
  <c r="F30" i="7"/>
  <c r="D95" i="7"/>
  <c r="E95" i="7" s="1"/>
  <c r="E188" i="17"/>
  <c r="F188" i="17" s="1"/>
  <c r="D261" i="17"/>
  <c r="D214" i="17"/>
  <c r="C239" i="17"/>
  <c r="E238" i="17"/>
  <c r="F238" i="17" s="1"/>
  <c r="E43" i="18"/>
  <c r="E54" i="18"/>
  <c r="D234" i="18"/>
  <c r="E234" i="18" s="1"/>
  <c r="D283" i="18"/>
  <c r="E283" i="18" s="1"/>
  <c r="E50" i="6"/>
  <c r="D90" i="18"/>
  <c r="E43" i="6"/>
  <c r="F43" i="6" s="1"/>
  <c r="E59" i="7"/>
  <c r="F59" i="7" s="1"/>
  <c r="E71" i="8"/>
  <c r="F23" i="9"/>
  <c r="D46" i="20"/>
  <c r="E44" i="20"/>
  <c r="E46" i="20" s="1"/>
  <c r="E157" i="18"/>
  <c r="C43" i="4"/>
  <c r="E33" i="5"/>
  <c r="F33" i="5"/>
  <c r="D95" i="6"/>
  <c r="E95" i="6" s="1"/>
  <c r="F95" i="6" s="1"/>
  <c r="F127" i="9"/>
  <c r="E122" i="10"/>
  <c r="F65" i="11"/>
  <c r="D20" i="20"/>
  <c r="E20" i="20" s="1"/>
  <c r="F20" i="20" s="1"/>
  <c r="E19" i="20"/>
  <c r="F19" i="20" s="1"/>
  <c r="D294" i="18"/>
  <c r="D246" i="18"/>
  <c r="F86" i="6"/>
  <c r="F24" i="7"/>
  <c r="E35" i="7"/>
  <c r="F35" i="7" s="1"/>
  <c r="E20" i="8"/>
  <c r="D37" i="17"/>
  <c r="E37" i="17" s="1"/>
  <c r="F37" i="17" s="1"/>
  <c r="E35" i="17"/>
  <c r="F35" i="17" s="1"/>
  <c r="F94" i="17"/>
  <c r="D284" i="18"/>
  <c r="E284" i="18" s="1"/>
  <c r="F269" i="17"/>
  <c r="F48" i="5"/>
  <c r="F153" i="6"/>
  <c r="E166" i="6"/>
  <c r="F166" i="6" s="1"/>
  <c r="E94" i="17"/>
  <c r="F164" i="17"/>
  <c r="E180" i="17"/>
  <c r="F180" i="17"/>
  <c r="C157" i="18"/>
  <c r="C169" i="18" s="1"/>
  <c r="E169" i="18" s="1"/>
  <c r="E156" i="18"/>
  <c r="C168" i="18"/>
  <c r="E231" i="18"/>
  <c r="D252" i="18"/>
  <c r="E16" i="20"/>
  <c r="F16" i="20" s="1"/>
  <c r="E75" i="9"/>
  <c r="F179" i="9"/>
  <c r="E179" i="9"/>
  <c r="F201" i="9"/>
  <c r="F84" i="10"/>
  <c r="E84" i="10"/>
  <c r="E116" i="10"/>
  <c r="E32" i="12"/>
  <c r="F32" i="12" s="1"/>
  <c r="C111" i="17"/>
  <c r="E223" i="17"/>
  <c r="F223" i="17" s="1"/>
  <c r="E40" i="18"/>
  <c r="D168" i="18"/>
  <c r="E168" i="18" s="1"/>
  <c r="F21" i="21"/>
  <c r="D102" i="22"/>
  <c r="D101" i="22"/>
  <c r="D103" i="22" s="1"/>
  <c r="C98" i="22"/>
  <c r="F205" i="9"/>
  <c r="E120" i="10"/>
  <c r="C43" i="11"/>
  <c r="D75" i="11"/>
  <c r="E75" i="11" s="1"/>
  <c r="F75" i="11" s="1"/>
  <c r="E27" i="13"/>
  <c r="C65" i="18"/>
  <c r="C71" i="18"/>
  <c r="C289" i="18"/>
  <c r="E289" i="18" s="1"/>
  <c r="D242" i="18"/>
  <c r="E242" i="18" s="1"/>
  <c r="C64" i="19"/>
  <c r="C65" i="19" s="1"/>
  <c r="C114" i="19" s="1"/>
  <c r="C116" i="19" s="1"/>
  <c r="C119" i="19" s="1"/>
  <c r="C123" i="19" s="1"/>
  <c r="C49" i="19"/>
  <c r="C46" i="20"/>
  <c r="F46" i="20" s="1"/>
  <c r="E76" i="9"/>
  <c r="F76" i="9" s="1"/>
  <c r="F154" i="9"/>
  <c r="E154" i="9"/>
  <c r="F59" i="10"/>
  <c r="E59" i="10"/>
  <c r="E33" i="14"/>
  <c r="E36" i="14" s="1"/>
  <c r="E38" i="14" s="1"/>
  <c r="E40" i="14" s="1"/>
  <c r="F135" i="17"/>
  <c r="E158" i="17"/>
  <c r="F158" i="17" s="1"/>
  <c r="C159" i="17"/>
  <c r="E77" i="22"/>
  <c r="E199" i="9"/>
  <c r="F199" i="9" s="1"/>
  <c r="D50" i="13"/>
  <c r="C44" i="18"/>
  <c r="F44" i="20"/>
  <c r="D88" i="22"/>
  <c r="F203" i="9"/>
  <c r="F107" i="10"/>
  <c r="E107" i="10"/>
  <c r="D121" i="10"/>
  <c r="E121" i="10" s="1"/>
  <c r="E118" i="10"/>
  <c r="F29" i="11"/>
  <c r="E59" i="13"/>
  <c r="E61" i="13" s="1"/>
  <c r="E57" i="13" s="1"/>
  <c r="E48" i="13"/>
  <c r="E42" i="13" s="1"/>
  <c r="E50" i="13"/>
  <c r="E88" i="17"/>
  <c r="F88" i="17" s="1"/>
  <c r="C89" i="17"/>
  <c r="F130" i="17"/>
  <c r="F136" i="17"/>
  <c r="C137" i="17"/>
  <c r="F230" i="17"/>
  <c r="E88" i="22"/>
  <c r="G31" i="14"/>
  <c r="I31" i="14" s="1"/>
  <c r="F109" i="17"/>
  <c r="F179" i="17"/>
  <c r="E15" i="13"/>
  <c r="F95" i="17"/>
  <c r="F100" i="17"/>
  <c r="F165" i="17"/>
  <c r="F170" i="17"/>
  <c r="C270" i="17" l="1"/>
  <c r="C268" i="17"/>
  <c r="C271" i="17"/>
  <c r="F89" i="17"/>
  <c r="C91" i="17"/>
  <c r="C90" i="17"/>
  <c r="E108" i="22"/>
  <c r="E110" i="22"/>
  <c r="E109" i="22"/>
  <c r="E111" i="22"/>
  <c r="E113" i="22"/>
  <c r="C76" i="18"/>
  <c r="E71" i="18"/>
  <c r="E294" i="18"/>
  <c r="D263" i="18"/>
  <c r="E159" i="17"/>
  <c r="C160" i="17"/>
  <c r="E160" i="17" s="1"/>
  <c r="F159" i="17"/>
  <c r="C161" i="17"/>
  <c r="C66" i="18"/>
  <c r="C294" i="18"/>
  <c r="C246" i="18"/>
  <c r="D254" i="18"/>
  <c r="E254" i="18" s="1"/>
  <c r="E252" i="18"/>
  <c r="E303" i="18"/>
  <c r="D306" i="18"/>
  <c r="E215" i="17"/>
  <c r="F215" i="17" s="1"/>
  <c r="C279" i="17"/>
  <c r="E279" i="17" s="1"/>
  <c r="E278" i="17"/>
  <c r="C288" i="17"/>
  <c r="F278" i="17"/>
  <c r="C63" i="17"/>
  <c r="F62" i="17"/>
  <c r="F286" i="17"/>
  <c r="E284" i="17"/>
  <c r="F284" i="17" s="1"/>
  <c r="D113" i="17"/>
  <c r="D113" i="18"/>
  <c r="D110" i="18"/>
  <c r="D114" i="18"/>
  <c r="D124" i="18"/>
  <c r="D109" i="18"/>
  <c r="D127" i="18"/>
  <c r="D112" i="18"/>
  <c r="D125" i="18"/>
  <c r="D123" i="18"/>
  <c r="D122" i="18"/>
  <c r="D126" i="18"/>
  <c r="D121" i="18"/>
  <c r="D111" i="18"/>
  <c r="D115" i="18"/>
  <c r="E43" i="11"/>
  <c r="F43" i="11" s="1"/>
  <c r="D91" i="18"/>
  <c r="E105" i="17"/>
  <c r="D106" i="17"/>
  <c r="C207" i="17"/>
  <c r="C138" i="17"/>
  <c r="E138" i="17" s="1"/>
  <c r="F137" i="17"/>
  <c r="E137" i="17"/>
  <c r="C96" i="18"/>
  <c r="C88" i="18"/>
  <c r="E88" i="18" s="1"/>
  <c r="C89" i="18"/>
  <c r="E89" i="18" s="1"/>
  <c r="C86" i="18"/>
  <c r="E86" i="18" s="1"/>
  <c r="E44" i="18"/>
  <c r="C87" i="18"/>
  <c r="E87" i="18" s="1"/>
  <c r="C84" i="18"/>
  <c r="C85" i="18"/>
  <c r="E85" i="18" s="1"/>
  <c r="C258" i="18"/>
  <c r="C99" i="18"/>
  <c r="E99" i="18" s="1"/>
  <c r="C98" i="18"/>
  <c r="E98" i="18" s="1"/>
  <c r="C101" i="18"/>
  <c r="E101" i="18" s="1"/>
  <c r="C97" i="18"/>
  <c r="E97" i="18" s="1"/>
  <c r="C95" i="18"/>
  <c r="C83" i="18"/>
  <c r="C100" i="18"/>
  <c r="E100" i="18" s="1"/>
  <c r="D254" i="17"/>
  <c r="E214" i="17"/>
  <c r="D216" i="17"/>
  <c r="E112" i="8"/>
  <c r="E111" i="8" s="1"/>
  <c r="E28" i="8"/>
  <c r="D50" i="17"/>
  <c r="E49" i="17"/>
  <c r="F49" i="17" s="1"/>
  <c r="E205" i="17"/>
  <c r="F205" i="17"/>
  <c r="E103" i="22"/>
  <c r="D208" i="17"/>
  <c r="E207" i="17"/>
  <c r="E20" i="13"/>
  <c r="E21" i="13"/>
  <c r="E43" i="4"/>
  <c r="F43" i="4"/>
  <c r="F40" i="20"/>
  <c r="C289" i="17"/>
  <c r="C291" i="17"/>
  <c r="F287" i="17"/>
  <c r="F214" i="17"/>
  <c r="C304" i="17"/>
  <c r="C216" i="17"/>
  <c r="E41" i="20"/>
  <c r="D28" i="8"/>
  <c r="D112" i="8"/>
  <c r="D111" i="8" s="1"/>
  <c r="E239" i="17"/>
  <c r="F239" i="17" s="1"/>
  <c r="C41" i="20"/>
  <c r="F41" i="20" s="1"/>
  <c r="F206" i="17"/>
  <c r="F52" i="6"/>
  <c r="E52" i="6"/>
  <c r="E112" i="22"/>
  <c r="D271" i="17"/>
  <c r="D263" i="17"/>
  <c r="D268" i="17"/>
  <c r="E268" i="17" s="1"/>
  <c r="E261" i="17"/>
  <c r="F261" i="17" s="1"/>
  <c r="D282" i="17"/>
  <c r="D194" i="17"/>
  <c r="D266" i="17"/>
  <c r="E193" i="17"/>
  <c r="F193" i="17" s="1"/>
  <c r="F262" i="17"/>
  <c r="C263" i="17"/>
  <c r="E262" i="17"/>
  <c r="C272" i="17"/>
  <c r="D140" i="17"/>
  <c r="D139" i="17"/>
  <c r="E104" i="17"/>
  <c r="F104" i="17" s="1"/>
  <c r="F68" i="17"/>
  <c r="E68" i="17"/>
  <c r="C106" i="17"/>
  <c r="F105" i="17"/>
  <c r="E89" i="17"/>
  <c r="C113" i="22"/>
  <c r="C56" i="22"/>
  <c r="C48" i="22"/>
  <c r="C38" i="22"/>
  <c r="E255" i="17"/>
  <c r="F255" i="17" s="1"/>
  <c r="F39" i="20"/>
  <c r="E174" i="17"/>
  <c r="F174" i="17" s="1"/>
  <c r="C281" i="17"/>
  <c r="E111" i="17"/>
  <c r="F111" i="17" s="1"/>
  <c r="E24" i="13"/>
  <c r="E17" i="13"/>
  <c r="E28" i="13" s="1"/>
  <c r="E70" i="13" s="1"/>
  <c r="E72" i="13" s="1"/>
  <c r="E69" i="13" s="1"/>
  <c r="E246" i="18"/>
  <c r="F95" i="7"/>
  <c r="E199" i="17"/>
  <c r="F199" i="17" s="1"/>
  <c r="E270" i="17"/>
  <c r="E175" i="17"/>
  <c r="C176" i="17"/>
  <c r="F175" i="17"/>
  <c r="D289" i="17"/>
  <c r="E287" i="17"/>
  <c r="D291" i="17"/>
  <c r="E267" i="17"/>
  <c r="F267" i="17" s="1"/>
  <c r="E83" i="18" l="1"/>
  <c r="E306" i="18"/>
  <c r="D310" i="18"/>
  <c r="E310" i="18" s="1"/>
  <c r="D116" i="18"/>
  <c r="D117" i="18" s="1"/>
  <c r="F91" i="17"/>
  <c r="C92" i="17"/>
  <c r="E91" i="17"/>
  <c r="D141" i="17"/>
  <c r="E282" i="17"/>
  <c r="F282" i="17" s="1"/>
  <c r="D281" i="17"/>
  <c r="E281" i="17" s="1"/>
  <c r="E254" i="17"/>
  <c r="F254" i="17" s="1"/>
  <c r="C102" i="18"/>
  <c r="E102" i="18" s="1"/>
  <c r="E96" i="18"/>
  <c r="C295" i="18"/>
  <c r="E295" i="18" s="1"/>
  <c r="C247" i="18"/>
  <c r="E247" i="18" s="1"/>
  <c r="E66" i="18"/>
  <c r="F270" i="17"/>
  <c r="E22" i="13"/>
  <c r="D105" i="18"/>
  <c r="C162" i="17"/>
  <c r="E161" i="17"/>
  <c r="F161" i="17" s="1"/>
  <c r="D128" i="18"/>
  <c r="D305" i="17"/>
  <c r="E291" i="17"/>
  <c r="C305" i="17"/>
  <c r="F291" i="17"/>
  <c r="E139" i="17"/>
  <c r="D99" i="8"/>
  <c r="D101" i="8" s="1"/>
  <c r="D98" i="8" s="1"/>
  <c r="D22" i="8"/>
  <c r="D210" i="17"/>
  <c r="D209" i="17"/>
  <c r="F288" i="17"/>
  <c r="E288" i="17"/>
  <c r="C273" i="17"/>
  <c r="E289" i="17"/>
  <c r="F289" i="17" s="1"/>
  <c r="E266" i="17"/>
  <c r="F266" i="17" s="1"/>
  <c r="D265" i="17"/>
  <c r="E265" i="17" s="1"/>
  <c r="F265" i="17" s="1"/>
  <c r="E216" i="17"/>
  <c r="F216" i="17" s="1"/>
  <c r="E106" i="17"/>
  <c r="F106" i="17" s="1"/>
  <c r="D324" i="17"/>
  <c r="D264" i="18"/>
  <c r="C90" i="18"/>
  <c r="E90" i="18" s="1"/>
  <c r="E84" i="18"/>
  <c r="E263" i="17"/>
  <c r="F138" i="17"/>
  <c r="C140" i="17"/>
  <c r="E140" i="17" s="1"/>
  <c r="C139" i="17"/>
  <c r="F160" i="17"/>
  <c r="F281" i="17"/>
  <c r="E271" i="17"/>
  <c r="F271" i="17" s="1"/>
  <c r="D304" i="17"/>
  <c r="D273" i="17"/>
  <c r="E273" i="17" s="1"/>
  <c r="E194" i="17"/>
  <c r="F194" i="17" s="1"/>
  <c r="D196" i="17"/>
  <c r="D195" i="17"/>
  <c r="E195" i="17" s="1"/>
  <c r="F195" i="17" s="1"/>
  <c r="F279" i="17"/>
  <c r="F268" i="17"/>
  <c r="F263" i="17"/>
  <c r="E50" i="17"/>
  <c r="F50" i="17" s="1"/>
  <c r="D70" i="17"/>
  <c r="E70" i="17" s="1"/>
  <c r="E90" i="17"/>
  <c r="F90" i="17" s="1"/>
  <c r="C103" i="18"/>
  <c r="E103" i="18" s="1"/>
  <c r="E95" i="18"/>
  <c r="E63" i="17"/>
  <c r="F63" i="17" s="1"/>
  <c r="C70" i="17"/>
  <c r="E22" i="8"/>
  <c r="E99" i="8"/>
  <c r="E101" i="8" s="1"/>
  <c r="E98" i="8" s="1"/>
  <c r="F207" i="17"/>
  <c r="C208" i="17"/>
  <c r="E208" i="17" s="1"/>
  <c r="C77" i="18"/>
  <c r="E76" i="18"/>
  <c r="C259" i="18"/>
  <c r="E176" i="17"/>
  <c r="F176" i="17"/>
  <c r="E272" i="17"/>
  <c r="F272" i="17" s="1"/>
  <c r="E258" i="18"/>
  <c r="C263" i="18" l="1"/>
  <c r="E259" i="18"/>
  <c r="C113" i="17"/>
  <c r="C324" i="17"/>
  <c r="F92" i="17"/>
  <c r="E92" i="17"/>
  <c r="E304" i="17"/>
  <c r="F304" i="17" s="1"/>
  <c r="F139" i="17"/>
  <c r="D211" i="17"/>
  <c r="E210" i="17"/>
  <c r="C125" i="18"/>
  <c r="E125" i="18" s="1"/>
  <c r="C122" i="18"/>
  <c r="C127" i="18"/>
  <c r="E127" i="18" s="1"/>
  <c r="C112" i="18"/>
  <c r="E112" i="18" s="1"/>
  <c r="C110" i="18"/>
  <c r="C124" i="18"/>
  <c r="E124" i="18" s="1"/>
  <c r="C126" i="18"/>
  <c r="E126" i="18" s="1"/>
  <c r="C121" i="18"/>
  <c r="C111" i="18"/>
  <c r="E111" i="18" s="1"/>
  <c r="C114" i="18"/>
  <c r="E114" i="18" s="1"/>
  <c r="C115" i="18"/>
  <c r="E115" i="18" s="1"/>
  <c r="C113" i="18"/>
  <c r="E113" i="18" s="1"/>
  <c r="C109" i="18"/>
  <c r="C123" i="18"/>
  <c r="E123" i="18" s="1"/>
  <c r="E77" i="18"/>
  <c r="C209" i="17"/>
  <c r="F208" i="17"/>
  <c r="C210" i="17"/>
  <c r="C183" i="17"/>
  <c r="C323" i="17"/>
  <c r="C197" i="17"/>
  <c r="E162" i="17"/>
  <c r="F162" i="17" s="1"/>
  <c r="D322" i="17"/>
  <c r="D148" i="17"/>
  <c r="E196" i="17"/>
  <c r="F196" i="17" s="1"/>
  <c r="D197" i="17"/>
  <c r="E197" i="17" s="1"/>
  <c r="C141" i="17"/>
  <c r="E141" i="17" s="1"/>
  <c r="F140" i="17"/>
  <c r="D325" i="17"/>
  <c r="E324" i="17"/>
  <c r="F273" i="17"/>
  <c r="D309" i="17"/>
  <c r="D310" i="17" s="1"/>
  <c r="E305" i="17"/>
  <c r="F305" i="17" s="1"/>
  <c r="D266" i="18"/>
  <c r="C309" i="17"/>
  <c r="F70" i="17"/>
  <c r="D129" i="18"/>
  <c r="D131" i="18" s="1"/>
  <c r="C91" i="18"/>
  <c r="D312" i="17" l="1"/>
  <c r="C310" i="17"/>
  <c r="F209" i="17"/>
  <c r="F197" i="17"/>
  <c r="E121" i="18"/>
  <c r="F324" i="17"/>
  <c r="D267" i="18"/>
  <c r="C116" i="18"/>
  <c r="E116" i="18" s="1"/>
  <c r="E110" i="18"/>
  <c r="E209" i="17"/>
  <c r="E263" i="18"/>
  <c r="C264" i="18"/>
  <c r="F323" i="17"/>
  <c r="E323" i="17"/>
  <c r="C105" i="18"/>
  <c r="E105" i="18" s="1"/>
  <c r="E91" i="18"/>
  <c r="E109" i="18"/>
  <c r="E309" i="17"/>
  <c r="F309" i="17" s="1"/>
  <c r="F210" i="17"/>
  <c r="C322" i="17"/>
  <c r="C325" i="17" s="1"/>
  <c r="F141" i="17"/>
  <c r="C211" i="17"/>
  <c r="E211" i="17" s="1"/>
  <c r="C148" i="17"/>
  <c r="E148" i="17" s="1"/>
  <c r="E113" i="17"/>
  <c r="F113" i="17" s="1"/>
  <c r="E183" i="17"/>
  <c r="F183" i="17" s="1"/>
  <c r="E322" i="17"/>
  <c r="C128" i="18"/>
  <c r="E128" i="18" s="1"/>
  <c r="E122" i="18"/>
  <c r="E325" i="17" l="1"/>
  <c r="F325" i="17" s="1"/>
  <c r="D268" i="18"/>
  <c r="D269" i="18"/>
  <c r="C266" i="18"/>
  <c r="E264" i="18"/>
  <c r="F310" i="17"/>
  <c r="C312" i="17"/>
  <c r="C117" i="18"/>
  <c r="E310" i="17"/>
  <c r="F211" i="17"/>
  <c r="F322" i="17"/>
  <c r="F148" i="17"/>
  <c r="C129" i="18"/>
  <c r="E129" i="18" s="1"/>
  <c r="E312" i="17"/>
  <c r="D313" i="17"/>
  <c r="C267" i="18" l="1"/>
  <c r="E266" i="18"/>
  <c r="D271" i="18"/>
  <c r="C131" i="18"/>
  <c r="E131" i="18" s="1"/>
  <c r="E117" i="18"/>
  <c r="D251" i="17"/>
  <c r="D314" i="17"/>
  <c r="D315" i="17"/>
  <c r="D256" i="17"/>
  <c r="F312" i="17"/>
  <c r="C313" i="17"/>
  <c r="E313" i="17" s="1"/>
  <c r="D257" i="17" l="1"/>
  <c r="F313" i="17"/>
  <c r="C251" i="17"/>
  <c r="C256" i="17"/>
  <c r="C314" i="17"/>
  <c r="C315" i="17"/>
  <c r="E315" i="17"/>
  <c r="D318" i="17"/>
  <c r="C269" i="18"/>
  <c r="E269" i="18" s="1"/>
  <c r="C268" i="18"/>
  <c r="E267" i="18"/>
  <c r="C318" i="17" l="1"/>
  <c r="C257" i="17"/>
  <c r="F256" i="17"/>
  <c r="C271" i="18"/>
  <c r="E271" i="18" s="1"/>
  <c r="E268" i="18"/>
  <c r="E257" i="17"/>
  <c r="E256" i="17"/>
  <c r="E314" i="17"/>
  <c r="F314" i="17" s="1"/>
  <c r="F315" i="17"/>
  <c r="E251" i="17"/>
  <c r="F251" i="17" s="1"/>
  <c r="F257" i="17" l="1"/>
  <c r="E318" i="17"/>
  <c r="F318" i="17" s="1"/>
</calcChain>
</file>

<file path=xl/sharedStrings.xml><?xml version="1.0" encoding="utf-8"?>
<sst xmlns="http://schemas.openxmlformats.org/spreadsheetml/2006/main" count="2335" uniqueCount="1011">
  <si>
    <t>GREENWICH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</si>
  <si>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</si>
  <si>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</si>
  <si>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</si>
  <si>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</si>
  <si>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</si>
  <si>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</si>
  <si>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</si>
  <si>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</si>
  <si>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</si>
  <si>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</si>
  <si>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</si>
  <si>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</si>
  <si>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</si>
  <si>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</si>
  <si>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</si>
  <si>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</si>
  <si>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</si>
  <si>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</si>
  <si>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</si>
  <si>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</si>
  <si>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</si>
  <si>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</si>
  <si>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</si>
  <si>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</si>
  <si>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</si>
  <si>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</si>
  <si>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</si>
  <si>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</si>
  <si>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</si>
  <si>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</si>
  <si>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</si>
  <si>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</si>
  <si>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</si>
  <si>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</si>
  <si>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</si>
  <si>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</si>
  <si>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</si>
  <si>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</si>
  <si>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</si>
  <si>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</si>
  <si>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</si>
  <si>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</si>
  <si>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</si>
  <si>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</si>
  <si>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</si>
  <si>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</si>
  <si>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</si>
  <si>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</si>
  <si>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</si>
  <si>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</si>
  <si>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</si>
  <si>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</si>
  <si>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</si>
  <si>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</si>
  <si>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</si>
  <si>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</si>
  <si>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</si>
  <si>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</si>
  <si>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</si>
  <si>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</si>
  <si>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</si>
  <si>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</si>
  <si>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</si>
  <si>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</si>
  <si>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</si>
  <si>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</si>
  <si>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</si>
  <si>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</si>
  <si>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</si>
  <si>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</si>
  <si>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</si>
  <si>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</si>
  <si>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</si>
  <si>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</si>
  <si>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</si>
  <si>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</si>
  <si>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</si>
  <si>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</si>
  <si>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</si>
  <si>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</si>
  <si>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</si>
  <si>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</si>
  <si>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</si>
  <si>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</si>
  <si>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</si>
  <si>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</si>
  <si>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</si>
  <si>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</si>
  <si>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</si>
  <si>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</si>
  <si>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</si>
  <si>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</si>
  <si>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</si>
  <si>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</si>
  <si>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</si>
  <si>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</si>
  <si>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</si>
  <si>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</si>
  <si>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</si>
  <si>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</si>
  <si>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</si>
  <si>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</si>
  <si>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</si>
  <si>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</si>
  <si>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</si>
  <si>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</si>
  <si>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</si>
  <si>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</si>
  <si>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</si>
  <si>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</si>
  <si>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</si>
  <si>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</si>
  <si>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</si>
  <si>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</si>
  <si>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</si>
  <si>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</si>
  <si>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</si>
  <si>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</si>
  <si>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</si>
  <si>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</si>
  <si>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</si>
  <si>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</si>
  <si>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</si>
  <si>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</si>
  <si>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</si>
  <si>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</si>
  <si>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</si>
  <si>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</si>
  <si>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</si>
  <si>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</si>
  <si>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</si>
  <si>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</si>
  <si>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</si>
  <si>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</si>
  <si>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</si>
  <si>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</si>
  <si>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</si>
  <si>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</si>
  <si>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</si>
  <si>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</si>
  <si>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</si>
  <si>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</si>
  <si>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</si>
  <si>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</si>
  <si>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</si>
  <si>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</si>
  <si>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</si>
  <si>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</si>
  <si>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</si>
  <si>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</si>
  <si>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</si>
  <si>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</si>
  <si>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</si>
  <si>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</si>
  <si>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</si>
  <si>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</si>
  <si>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</si>
  <si>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</si>
  <si>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</si>
  <si>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</si>
  <si>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</si>
  <si>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</si>
  <si>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</si>
  <si>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</si>
  <si>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</si>
  <si>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</si>
  <si>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</si>
  <si>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</si>
  <si>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</si>
  <si>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</si>
  <si>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</si>
  <si>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</si>
  <si>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</si>
  <si>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</si>
  <si>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</si>
  <si>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</si>
  <si>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</si>
  <si>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</si>
  <si>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</si>
  <si>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</si>
  <si>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</si>
  <si>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</si>
  <si>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</si>
  <si>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</si>
  <si>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</si>
  <si>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</si>
  <si>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</si>
  <si>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</si>
  <si>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</si>
  <si>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</si>
  <si>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</si>
  <si>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</si>
  <si>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</si>
  <si>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</si>
  <si>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</si>
  <si>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</si>
  <si>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</si>
  <si>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</si>
  <si>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</si>
  <si>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</si>
  <si>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</si>
  <si>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</si>
  <si>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</si>
  <si>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</si>
  <si>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</si>
  <si>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</si>
  <si>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</si>
  <si>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</si>
  <si>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</si>
  <si>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</si>
  <si>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</si>
  <si>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</si>
  <si>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</si>
  <si>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</si>
  <si>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</si>
  <si>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</si>
  <si>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</si>
  <si>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</si>
  <si>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</si>
  <si>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</si>
  <si>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</si>
  <si>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</si>
  <si>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</si>
  <si>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</si>
  <si>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</si>
  <si>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</si>
  <si>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</si>
  <si>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</si>
  <si>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</si>
  <si>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</si>
  <si>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</si>
  <si>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</si>
  <si>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</si>
  <si>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</si>
  <si>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</si>
  <si>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</si>
  <si>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</si>
  <si>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</si>
  <si>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</si>
  <si>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</si>
  <si>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</si>
  <si>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</si>
  <si>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</si>
  <si>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</si>
  <si>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</si>
  <si>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</si>
  <si>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</si>
  <si>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</si>
  <si>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</si>
  <si>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</si>
  <si>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</si>
  <si>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</si>
  <si>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</si>
  <si>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</si>
  <si>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</si>
  <si>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</si>
  <si>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</si>
  <si>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</si>
  <si>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</si>
  <si>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</si>
  <si>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</si>
  <si>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</si>
  <si>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</si>
  <si>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</si>
  <si>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</si>
  <si>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</si>
  <si>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</si>
  <si>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</si>
  <si>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</si>
  <si>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</si>
  <si>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</si>
  <si>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</si>
  <si>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</si>
  <si>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</si>
  <si>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</si>
  <si>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</si>
  <si>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</si>
  <si>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</si>
  <si>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</si>
  <si>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</si>
  <si>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</si>
  <si>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</si>
  <si>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</si>
  <si>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</si>
  <si>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</si>
  <si>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</si>
  <si>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</si>
  <si>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</si>
  <si>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</si>
  <si>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</si>
  <si>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</si>
  <si>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</si>
  <si>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</si>
  <si>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</si>
  <si>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</si>
  <si>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</si>
  <si>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</si>
  <si>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</si>
  <si>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</si>
  <si>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</si>
  <si>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</si>
  <si>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</si>
  <si>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</si>
  <si>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</si>
  <si>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</si>
  <si>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</si>
  <si>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</si>
  <si>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</si>
  <si>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</si>
  <si>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</si>
  <si>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</si>
  <si>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</si>
  <si>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</si>
  <si>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</si>
  <si>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</si>
  <si>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</si>
  <si>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</si>
  <si>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</si>
  <si>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</si>
  <si>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</si>
  <si>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</si>
  <si>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</si>
  <si>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</si>
  <si>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</si>
  <si>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</si>
  <si>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</si>
  <si>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</si>
  <si>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</si>
  <si>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</si>
  <si>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</si>
  <si>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</si>
  <si>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</si>
  <si>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</si>
  <si>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</si>
  <si>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</si>
  <si>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</si>
  <si>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</si>
  <si>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</si>
  <si>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</si>
  <si>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</si>
  <si>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</si>
  <si>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</si>
  <si>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</si>
  <si>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</si>
  <si>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</si>
  <si>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</si>
  <si>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</si>
  <si>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</si>
  <si>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</si>
  <si>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</si>
  <si>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</si>
  <si>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</si>
  <si>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</si>
  <si>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</si>
  <si>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</si>
  <si>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</si>
  <si>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</si>
  <si>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</si>
  <si>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</si>
  <si>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</si>
  <si>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</si>
  <si>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</si>
  <si>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</si>
  <si>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</si>
  <si>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</si>
  <si>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</si>
  <si>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</si>
  <si>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</si>
  <si>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</si>
  <si>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</si>
  <si>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</si>
  <si>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</si>
  <si>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</si>
  <si>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</si>
  <si>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</si>
  <si>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</si>
  <si>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</si>
  <si>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</si>
  <si>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</si>
  <si>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</si>
  <si>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</si>
  <si>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</si>
  <si>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</si>
  <si>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</si>
  <si>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</si>
  <si>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</si>
  <si>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</si>
  <si>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</si>
  <si>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</si>
  <si>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</si>
  <si>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</si>
  <si>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</si>
  <si>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</si>
  <si>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</si>
  <si>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</si>
  <si>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</si>
  <si>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</si>
  <si>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</si>
  <si>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</si>
  <si>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</si>
  <si>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</si>
  <si>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</si>
  <si>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</si>
  <si>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</si>
  <si>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</si>
  <si>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</si>
  <si>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</si>
  <si>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</si>
  <si>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</si>
  <si>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</si>
  <si>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</si>
  <si>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</si>
  <si>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</si>
  <si>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</si>
  <si>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</si>
  <si>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</si>
  <si>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</si>
  <si>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</si>
  <si>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</si>
  <si>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</si>
  <si>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</si>
  <si>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</si>
  <si>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</si>
  <si>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</si>
  <si>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</si>
  <si>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</si>
  <si>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</si>
  <si>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</si>
  <si>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</si>
  <si>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</si>
  <si>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</si>
  <si>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</si>
  <si>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</si>
  <si>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</si>
  <si>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</si>
  <si>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</si>
  <si>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</si>
  <si>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</si>
  <si>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</si>
  <si>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</si>
  <si>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</si>
  <si>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</si>
  <si>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</si>
  <si>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</si>
  <si>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</si>
  <si>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</si>
  <si>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</si>
  <si>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</si>
  <si>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</si>
  <si>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</si>
  <si>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</si>
  <si>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</si>
  <si>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</si>
  <si>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</si>
  <si>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</si>
  <si>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</si>
  <si>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</si>
  <si>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</si>
  <si>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</si>
  <si>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</si>
  <si>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</si>
  <si>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</si>
  <si>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</si>
  <si>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</si>
  <si>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</si>
  <si>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</si>
  <si>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</si>
  <si>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</si>
  <si>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</si>
  <si>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</si>
  <si>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</si>
  <si>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</si>
  <si>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</si>
  <si>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</si>
  <si>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</si>
  <si>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</si>
  <si>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</si>
  <si>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</si>
  <si>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</si>
  <si>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</si>
  <si>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</si>
  <si>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</si>
  <si>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</si>
  <si>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</si>
  <si>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</si>
  <si>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</si>
  <si>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</si>
  <si>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</si>
  <si>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</si>
  <si>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</si>
  <si>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</si>
  <si>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</si>
  <si>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</si>
  <si>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</si>
  <si>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</si>
  <si>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</si>
  <si>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</si>
  <si>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</si>
  <si>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</si>
  <si>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GREENWICH HEALTH CARE SERVICES,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</si>
  <si>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</si>
  <si>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</si>
  <si>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</si>
  <si>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</si>
  <si>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</si>
  <si>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</si>
  <si>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</si>
  <si>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</si>
  <si>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</si>
  <si>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</si>
  <si>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</si>
  <si>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</si>
  <si>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</si>
  <si>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</si>
  <si>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</si>
  <si>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</si>
  <si>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</si>
  <si>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</si>
  <si>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</si>
  <si>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</si>
  <si>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</si>
  <si>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</si>
  <si>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</si>
  <si>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</si>
  <si>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</si>
  <si>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</si>
  <si>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</si>
  <si>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</si>
  <si>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</si>
  <si>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</si>
  <si>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</si>
  <si>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</si>
  <si>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</si>
  <si>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</si>
  <si>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</si>
  <si>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</si>
  <si>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</si>
  <si>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</si>
  <si>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</si>
  <si>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</si>
  <si>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</si>
  <si>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</si>
  <si>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</si>
  <si>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</si>
  <si>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</si>
  <si>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</si>
  <si>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</si>
  <si>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</si>
  <si>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</si>
  <si>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</si>
  <si>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</si>
  <si>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</si>
  <si>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</si>
  <si>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</si>
  <si>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</si>
  <si>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</si>
  <si>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</si>
  <si>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</si>
  <si>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</si>
  <si>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</si>
  <si>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</si>
  <si>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</si>
  <si>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</si>
  <si>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</si>
  <si>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</si>
  <si>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</si>
  <si>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</si>
  <si>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</si>
  <si>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</si>
  <si>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</si>
  <si>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</si>
  <si>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</si>
  <si>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</si>
  <si>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</si>
  <si>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</si>
  <si>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</si>
  <si>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</si>
  <si>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</si>
  <si>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</si>
  <si>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</si>
  <si>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</si>
  <si>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</si>
  <si>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</si>
  <si>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</si>
  <si>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</si>
  <si>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</si>
  <si>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</si>
  <si>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</si>
  <si>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</si>
  <si>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</si>
  <si>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</si>
  <si>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</si>
  <si>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</si>
  <si>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</si>
  <si>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</si>
  <si>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</si>
  <si>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</si>
  <si>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</si>
  <si>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</si>
  <si>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</si>
  <si>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</si>
  <si>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</si>
  <si>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</si>
  <si>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</si>
  <si>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</si>
  <si>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</si>
  <si>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</si>
  <si>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</si>
  <si>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</si>
  <si>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</si>
  <si>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</si>
  <si>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</si>
  <si>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</si>
  <si>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</si>
  <si>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</si>
  <si>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</si>
  <si>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</si>
  <si>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</si>
  <si>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</si>
  <si>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</si>
  <si>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at Greenwich Hospital Campus</t>
  </si>
  <si>
    <t>Helmsley Surgical Center</t>
  </si>
  <si>
    <t>Total Outpatient Surgical Procedures(A)</t>
  </si>
  <si>
    <t>G Hosp @500 W Putnam St.</t>
  </si>
  <si>
    <t>Total Outpatient Endoscopy Procedures(B)</t>
  </si>
  <si>
    <t>Outpatient Hospital Emergency Room Visits</t>
  </si>
  <si>
    <t>At Greenwich Hospital Campus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</si>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</sst>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43811000</v>
      </c>
      <c r="D13" s="22">
        <v>25899478</v>
      </c>
      <c r="E13" s="22">
        <f t="shared" ref="E13:E22" si="0">D13-C13</f>
        <v>-17911522</v>
      </c>
      <c r="F13" s="23">
        <f t="shared" ref="F13:F22" si="1">IF(C13=0,0,E13/C13)</f>
        <v>-0.40883618269384403</v>
      </c>
    </row>
    <row r="14" spans="1:8" ht="24" customHeight="1" x14ac:dyDescent="0.2">
      <c r="A14" s="20">
        <v>2</v>
      </c>
      <c r="B14" s="21" t="s">
        <v>17</v>
      </c>
      <c r="C14" s="22">
        <v>31934000</v>
      </c>
      <c r="D14" s="22">
        <v>72659059</v>
      </c>
      <c r="E14" s="22">
        <f t="shared" si="0"/>
        <v>40725059</v>
      </c>
      <c r="F14" s="23">
        <f t="shared" si="1"/>
        <v>1.2752883760255527</v>
      </c>
    </row>
    <row r="15" spans="1:8" ht="24" customHeight="1" x14ac:dyDescent="0.2">
      <c r="A15" s="20">
        <v>3</v>
      </c>
      <c r="B15" s="21" t="s">
        <v>18</v>
      </c>
      <c r="C15" s="22">
        <v>37984000</v>
      </c>
      <c r="D15" s="22">
        <v>38149419</v>
      </c>
      <c r="E15" s="22">
        <f t="shared" si="0"/>
        <v>165419</v>
      </c>
      <c r="F15" s="23">
        <f t="shared" si="1"/>
        <v>4.3549652485256954E-3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2041000</v>
      </c>
      <c r="D19" s="22">
        <v>1551531</v>
      </c>
      <c r="E19" s="22">
        <f t="shared" si="0"/>
        <v>-489469</v>
      </c>
      <c r="F19" s="23">
        <f t="shared" si="1"/>
        <v>-0.23981822635962763</v>
      </c>
    </row>
    <row r="20" spans="1:11" ht="24" customHeight="1" x14ac:dyDescent="0.2">
      <c r="A20" s="20">
        <v>8</v>
      </c>
      <c r="B20" s="21" t="s">
        <v>23</v>
      </c>
      <c r="C20" s="22">
        <v>7227000</v>
      </c>
      <c r="D20" s="22">
        <v>5855047</v>
      </c>
      <c r="E20" s="22">
        <f t="shared" si="0"/>
        <v>-1371953</v>
      </c>
      <c r="F20" s="23">
        <f t="shared" si="1"/>
        <v>-0.18983713850837139</v>
      </c>
    </row>
    <row r="21" spans="1:11" ht="24" customHeight="1" x14ac:dyDescent="0.2">
      <c r="A21" s="20">
        <v>9</v>
      </c>
      <c r="B21" s="21" t="s">
        <v>24</v>
      </c>
      <c r="C21" s="22">
        <v>36343000</v>
      </c>
      <c r="D21" s="22">
        <v>33327091</v>
      </c>
      <c r="E21" s="22">
        <f t="shared" si="0"/>
        <v>-3015909</v>
      </c>
      <c r="F21" s="23">
        <f t="shared" si="1"/>
        <v>-8.2984591255537518E-2</v>
      </c>
    </row>
    <row r="22" spans="1:11" ht="24" customHeight="1" x14ac:dyDescent="0.25">
      <c r="A22" s="24"/>
      <c r="B22" s="25" t="s">
        <v>25</v>
      </c>
      <c r="C22" s="26">
        <f>SUM(C13:C21)</f>
        <v>159340000</v>
      </c>
      <c r="D22" s="26">
        <f>SUM(D13:D21)</f>
        <v>177441625</v>
      </c>
      <c r="E22" s="26">
        <f t="shared" si="0"/>
        <v>18101625</v>
      </c>
      <c r="F22" s="27">
        <f t="shared" si="1"/>
        <v>0.11360377180871094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794000</v>
      </c>
      <c r="D25" s="22">
        <v>794266</v>
      </c>
      <c r="E25" s="22">
        <f>D25-C25</f>
        <v>266</v>
      </c>
      <c r="F25" s="23">
        <f>IF(C25=0,0,E25/C25)</f>
        <v>3.350125944584383E-4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38008600</v>
      </c>
      <c r="D26" s="22">
        <v>43441002</v>
      </c>
      <c r="E26" s="22">
        <f>D26-C26</f>
        <v>5432402</v>
      </c>
      <c r="F26" s="23">
        <f>IF(C26=0,0,E26/C26)</f>
        <v>0.14292560104818383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1400</v>
      </c>
      <c r="D27" s="22">
        <v>583</v>
      </c>
      <c r="E27" s="22">
        <f>D27-C27</f>
        <v>-817</v>
      </c>
      <c r="F27" s="23">
        <f>IF(C27=0,0,E27/C27)</f>
        <v>-0.58357142857142852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38804000</v>
      </c>
      <c r="D29" s="26">
        <f>SUM(D25:D28)</f>
        <v>44235851</v>
      </c>
      <c r="E29" s="26">
        <f>D29-C29</f>
        <v>5431851</v>
      </c>
      <c r="F29" s="27">
        <f>IF(C29=0,0,E29/C29)</f>
        <v>0.13998172868776415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60140000</v>
      </c>
      <c r="D31" s="22">
        <v>56878293</v>
      </c>
      <c r="E31" s="22">
        <f>D31-C31</f>
        <v>-3261707</v>
      </c>
      <c r="F31" s="23">
        <f>IF(C31=0,0,E31/C31)</f>
        <v>-5.4235234452943135E-2</v>
      </c>
    </row>
    <row r="32" spans="1:11" ht="24" customHeight="1" x14ac:dyDescent="0.2">
      <c r="A32" s="20">
        <v>6</v>
      </c>
      <c r="B32" s="21" t="s">
        <v>34</v>
      </c>
      <c r="C32" s="22">
        <v>51525000</v>
      </c>
      <c r="D32" s="22">
        <v>51339976</v>
      </c>
      <c r="E32" s="22">
        <f>D32-C32</f>
        <v>-185024</v>
      </c>
      <c r="F32" s="23">
        <f>IF(C32=0,0,E32/C32)</f>
        <v>-3.5909558466763708E-3</v>
      </c>
    </row>
    <row r="33" spans="1:8" ht="24" customHeight="1" x14ac:dyDescent="0.2">
      <c r="A33" s="20">
        <v>7</v>
      </c>
      <c r="B33" s="21" t="s">
        <v>35</v>
      </c>
      <c r="C33" s="22">
        <v>33653000</v>
      </c>
      <c r="D33" s="22">
        <v>24858655</v>
      </c>
      <c r="E33" s="22">
        <f>D33-C33</f>
        <v>-8794345</v>
      </c>
      <c r="F33" s="23">
        <f>IF(C33=0,0,E33/C33)</f>
        <v>-0.26132425043829671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435733000</v>
      </c>
      <c r="D36" s="22">
        <v>443169349</v>
      </c>
      <c r="E36" s="22">
        <f>D36-C36</f>
        <v>7436349</v>
      </c>
      <c r="F36" s="23">
        <f>IF(C36=0,0,E36/C36)</f>
        <v>1.7066297480337729E-2</v>
      </c>
    </row>
    <row r="37" spans="1:8" ht="24" customHeight="1" x14ac:dyDescent="0.2">
      <c r="A37" s="20">
        <v>2</v>
      </c>
      <c r="B37" s="21" t="s">
        <v>39</v>
      </c>
      <c r="C37" s="22">
        <v>212977000</v>
      </c>
      <c r="D37" s="22">
        <v>231793886</v>
      </c>
      <c r="E37" s="22">
        <f>D37-C37</f>
        <v>18816886</v>
      </c>
      <c r="F37" s="23">
        <f>IF(C37=0,0,E37/C37)</f>
        <v>8.8351728120876896E-2</v>
      </c>
    </row>
    <row r="38" spans="1:8" ht="24" customHeight="1" x14ac:dyDescent="0.25">
      <c r="A38" s="24"/>
      <c r="B38" s="25" t="s">
        <v>40</v>
      </c>
      <c r="C38" s="26">
        <f>C36-C37</f>
        <v>222756000</v>
      </c>
      <c r="D38" s="26">
        <f>D36-D37</f>
        <v>211375463</v>
      </c>
      <c r="E38" s="26">
        <f>D38-C38</f>
        <v>-11380537</v>
      </c>
      <c r="F38" s="27">
        <f>IF(C38=0,0,E38/C38)</f>
        <v>-5.1089699042898958E-2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461000</v>
      </c>
      <c r="D40" s="22">
        <v>4578312</v>
      </c>
      <c r="E40" s="22">
        <f>D40-C40</f>
        <v>4117312</v>
      </c>
      <c r="F40" s="23">
        <f>IF(C40=0,0,E40/C40)</f>
        <v>8.9312624728850327</v>
      </c>
    </row>
    <row r="41" spans="1:8" ht="24" customHeight="1" x14ac:dyDescent="0.25">
      <c r="A41" s="24"/>
      <c r="B41" s="25" t="s">
        <v>42</v>
      </c>
      <c r="C41" s="26">
        <f>+C38+C40</f>
        <v>223217000</v>
      </c>
      <c r="D41" s="26">
        <f>+D38+D40</f>
        <v>215953775</v>
      </c>
      <c r="E41" s="26">
        <f>D41-C41</f>
        <v>-7263225</v>
      </c>
      <c r="F41" s="27">
        <f>IF(C41=0,0,E41/C41)</f>
        <v>-3.2538852327555698E-2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566679000</v>
      </c>
      <c r="D43" s="26">
        <f>D22+D29+D31+D32+D33+D41</f>
        <v>570708175</v>
      </c>
      <c r="E43" s="26">
        <f>D43-C43</f>
        <v>4029175</v>
      </c>
      <c r="F43" s="27">
        <f>IF(C43=0,0,E43/C43)</f>
        <v>7.1101540731172324E-3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17461080</v>
      </c>
      <c r="D49" s="22">
        <v>18469984</v>
      </c>
      <c r="E49" s="22">
        <f t="shared" ref="E49:E56" si="2">D49-C49</f>
        <v>1008904</v>
      </c>
      <c r="F49" s="23">
        <f t="shared" ref="F49:F56" si="3">IF(C49=0,0,E49/C49)</f>
        <v>5.7780160219184612E-2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12547920</v>
      </c>
      <c r="D50" s="22">
        <v>13268051</v>
      </c>
      <c r="E50" s="22">
        <f t="shared" si="2"/>
        <v>720131</v>
      </c>
      <c r="F50" s="23">
        <f t="shared" si="3"/>
        <v>5.7390467902249935E-2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930766</v>
      </c>
      <c r="D51" s="22">
        <v>462435</v>
      </c>
      <c r="E51" s="22">
        <f t="shared" si="2"/>
        <v>-468331</v>
      </c>
      <c r="F51" s="23">
        <f t="shared" si="3"/>
        <v>-0.50316728372115016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2605000</v>
      </c>
      <c r="D53" s="22">
        <v>2675000</v>
      </c>
      <c r="E53" s="22">
        <f t="shared" si="2"/>
        <v>70000</v>
      </c>
      <c r="F53" s="23">
        <f t="shared" si="3"/>
        <v>2.6871401151631478E-2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21986234</v>
      </c>
      <c r="D55" s="22">
        <v>17348147</v>
      </c>
      <c r="E55" s="22">
        <f t="shared" si="2"/>
        <v>-4638087</v>
      </c>
      <c r="F55" s="23">
        <f t="shared" si="3"/>
        <v>-0.21095413611990121</v>
      </c>
    </row>
    <row r="56" spans="1:6" ht="24" customHeight="1" x14ac:dyDescent="0.25">
      <c r="A56" s="24"/>
      <c r="B56" s="25" t="s">
        <v>54</v>
      </c>
      <c r="C56" s="26">
        <f>SUM(C49:C55)</f>
        <v>55531000</v>
      </c>
      <c r="D56" s="26">
        <f>SUM(D49:D55)</f>
        <v>52223617</v>
      </c>
      <c r="E56" s="26">
        <f t="shared" si="2"/>
        <v>-3307383</v>
      </c>
      <c r="F56" s="27">
        <f t="shared" si="3"/>
        <v>-5.9559219174875298E-2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35105000</v>
      </c>
      <c r="D59" s="22">
        <v>32430000</v>
      </c>
      <c r="E59" s="22">
        <f>D59-C59</f>
        <v>-2675000</v>
      </c>
      <c r="F59" s="23">
        <f>IF(C59=0,0,E59/C59)</f>
        <v>-7.6199971514029338E-2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35105000</v>
      </c>
      <c r="D61" s="26">
        <f>SUM(D59:D60)</f>
        <v>32430000</v>
      </c>
      <c r="E61" s="26">
        <f>D61-C61</f>
        <v>-2675000</v>
      </c>
      <c r="F61" s="27">
        <f>IF(C61=0,0,E61/C61)</f>
        <v>-7.6199971514029338E-2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31684000</v>
      </c>
      <c r="D63" s="22">
        <v>42786988</v>
      </c>
      <c r="E63" s="22">
        <f>D63-C63</f>
        <v>11102988</v>
      </c>
      <c r="F63" s="23">
        <f>IF(C63=0,0,E63/C63)</f>
        <v>0.35042885999242518</v>
      </c>
    </row>
    <row r="64" spans="1:6" ht="24" customHeight="1" x14ac:dyDescent="0.2">
      <c r="A64" s="20">
        <v>4</v>
      </c>
      <c r="B64" s="21" t="s">
        <v>60</v>
      </c>
      <c r="C64" s="22">
        <v>42997000</v>
      </c>
      <c r="D64" s="22">
        <v>36773008</v>
      </c>
      <c r="E64" s="22">
        <f>D64-C64</f>
        <v>-6223992</v>
      </c>
      <c r="F64" s="23">
        <f>IF(C64=0,0,E64/C64)</f>
        <v>-0.14475409912319465</v>
      </c>
    </row>
    <row r="65" spans="1:6" ht="24" customHeight="1" x14ac:dyDescent="0.25">
      <c r="A65" s="24"/>
      <c r="B65" s="25" t="s">
        <v>61</v>
      </c>
      <c r="C65" s="26">
        <f>SUM(C61:C64)</f>
        <v>109786000</v>
      </c>
      <c r="D65" s="26">
        <f>SUM(D61:D64)</f>
        <v>111989996</v>
      </c>
      <c r="E65" s="26">
        <f>D65-C65</f>
        <v>2203996</v>
      </c>
      <c r="F65" s="27">
        <f>IF(C65=0,0,E65/C65)</f>
        <v>2.007538301787113E-2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334040000</v>
      </c>
      <c r="D70" s="22">
        <v>341118049</v>
      </c>
      <c r="E70" s="22">
        <f>D70-C70</f>
        <v>7078049</v>
      </c>
      <c r="F70" s="23">
        <f>IF(C70=0,0,E70/C70)</f>
        <v>2.118922584121662E-2</v>
      </c>
    </row>
    <row r="71" spans="1:6" ht="24" customHeight="1" x14ac:dyDescent="0.2">
      <c r="A71" s="20">
        <v>2</v>
      </c>
      <c r="B71" s="21" t="s">
        <v>65</v>
      </c>
      <c r="C71" s="22">
        <v>44115000</v>
      </c>
      <c r="D71" s="22">
        <v>41782451</v>
      </c>
      <c r="E71" s="22">
        <f>D71-C71</f>
        <v>-2332549</v>
      </c>
      <c r="F71" s="23">
        <f>IF(C71=0,0,E71/C71)</f>
        <v>-5.2874283123654088E-2</v>
      </c>
    </row>
    <row r="72" spans="1:6" ht="24" customHeight="1" x14ac:dyDescent="0.2">
      <c r="A72" s="20">
        <v>3</v>
      </c>
      <c r="B72" s="21" t="s">
        <v>66</v>
      </c>
      <c r="C72" s="22">
        <v>23207000</v>
      </c>
      <c r="D72" s="22">
        <v>23594062</v>
      </c>
      <c r="E72" s="22">
        <f>D72-C72</f>
        <v>387062</v>
      </c>
      <c r="F72" s="23">
        <f>IF(C72=0,0,E72/C72)</f>
        <v>1.6678674537854956E-2</v>
      </c>
    </row>
    <row r="73" spans="1:6" ht="24" customHeight="1" x14ac:dyDescent="0.25">
      <c r="A73" s="20"/>
      <c r="B73" s="25" t="s">
        <v>67</v>
      </c>
      <c r="C73" s="26">
        <f>SUM(C70:C72)</f>
        <v>401362000</v>
      </c>
      <c r="D73" s="26">
        <f>SUM(D70:D72)</f>
        <v>406494562</v>
      </c>
      <c r="E73" s="26">
        <f>D73-C73</f>
        <v>5132562</v>
      </c>
      <c r="F73" s="27">
        <f>IF(C73=0,0,E73/C73)</f>
        <v>1.2787862328770536E-2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566679000</v>
      </c>
      <c r="D75" s="26">
        <f>D56+D65+D67+D73</f>
        <v>570708175</v>
      </c>
      <c r="E75" s="26">
        <f>D75-C75</f>
        <v>4029175</v>
      </c>
      <c r="F75" s="27">
        <f>IF(C75=0,0,E75/C75)</f>
        <v>7.1101540731172324E-3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328796000</v>
      </c>
      <c r="D11" s="76">
        <v>349008000</v>
      </c>
      <c r="E11" s="76">
        <v>359652000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13960000</v>
      </c>
      <c r="D12" s="185">
        <v>12533000</v>
      </c>
      <c r="E12" s="185">
        <v>13726000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342756000</v>
      </c>
      <c r="D13" s="76">
        <f>+D11+D12</f>
        <v>361541000</v>
      </c>
      <c r="E13" s="76">
        <f>+E11+E12</f>
        <v>373378000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327050000</v>
      </c>
      <c r="D14" s="185">
        <v>336407000</v>
      </c>
      <c r="E14" s="185">
        <v>346728000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15706000</v>
      </c>
      <c r="D15" s="76">
        <f>+D13-D14</f>
        <v>25134000</v>
      </c>
      <c r="E15" s="76">
        <f>+E13-E14</f>
        <v>26650000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3270000</v>
      </c>
      <c r="D16" s="185">
        <v>534000</v>
      </c>
      <c r="E16" s="185">
        <v>-9470000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18976000</v>
      </c>
      <c r="D17" s="76">
        <f>D15+D16</f>
        <v>25668000</v>
      </c>
      <c r="E17" s="76">
        <f>E15+E16</f>
        <v>17180000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4.5389652800656599E-2</v>
      </c>
      <c r="D20" s="189">
        <f>IF(+D27=0,0,+D24/+D27)</f>
        <v>6.9416557343091906E-2</v>
      </c>
      <c r="E20" s="189">
        <f>IF(+E27=0,0,+E24/+E27)</f>
        <v>7.3232795102058768E-2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9.4501569246241614E-3</v>
      </c>
      <c r="D21" s="189">
        <f>IF(+D27=0,0,+D26/+D27)</f>
        <v>1.4748325623144376E-3</v>
      </c>
      <c r="E21" s="189">
        <f>IF(+E27=0,0,+E26/+E27)</f>
        <v>-2.602306077360212E-2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5.4839809725280762E-2</v>
      </c>
      <c r="D22" s="189">
        <f>IF(+D27=0,0,+D28/+D27)</f>
        <v>7.0891389905406332E-2</v>
      </c>
      <c r="E22" s="189">
        <f>IF(+E27=0,0,+E28/+E27)</f>
        <v>4.720973432845664E-2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15706000</v>
      </c>
      <c r="D24" s="76">
        <f>+D15</f>
        <v>25134000</v>
      </c>
      <c r="E24" s="76">
        <f>+E15</f>
        <v>26650000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342756000</v>
      </c>
      <c r="D25" s="76">
        <f>+D13</f>
        <v>361541000</v>
      </c>
      <c r="E25" s="76">
        <f>+E13</f>
        <v>373378000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3270000</v>
      </c>
      <c r="D26" s="76">
        <f>+D16</f>
        <v>534000</v>
      </c>
      <c r="E26" s="76">
        <f>+E16</f>
        <v>-9470000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346026000</v>
      </c>
      <c r="D27" s="76">
        <f>SUM(D25:D26)</f>
        <v>362075000</v>
      </c>
      <c r="E27" s="76">
        <f>SUM(E25:E26)</f>
        <v>363908000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18976000</v>
      </c>
      <c r="D28" s="76">
        <f>+D17</f>
        <v>25668000</v>
      </c>
      <c r="E28" s="76">
        <f>+E17</f>
        <v>17180000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351359000</v>
      </c>
      <c r="D31" s="76">
        <v>367460000</v>
      </c>
      <c r="E31" s="76">
        <v>373318000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410138000</v>
      </c>
      <c r="D32" s="76">
        <v>434782000</v>
      </c>
      <c r="E32" s="76">
        <v>438694000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59021000</v>
      </c>
      <c r="D33" s="76">
        <f>+D32-C32</f>
        <v>24644000</v>
      </c>
      <c r="E33" s="76">
        <f>+E32-D32</f>
        <v>3912000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1.1679999999999999</v>
      </c>
      <c r="D34" s="193">
        <f>IF(C32=0,0,+D33/C32)</f>
        <v>6.0087092637112385E-2</v>
      </c>
      <c r="E34" s="193">
        <f>IF(D32=0,0,+E33/D32)</f>
        <v>8.9976125966576351E-3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2.3418157196862834</v>
      </c>
      <c r="D38" s="338">
        <f>IF(+D40=0,0,+D39/+D40)</f>
        <v>2.4851209554978237</v>
      </c>
      <c r="E38" s="338">
        <f>IF(+E40=0,0,+E39/+E40)</f>
        <v>2.9172587669035068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124512000</v>
      </c>
      <c r="D39" s="341">
        <v>147313000</v>
      </c>
      <c r="E39" s="341">
        <v>165464000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53169000</v>
      </c>
      <c r="D40" s="341">
        <v>59278000</v>
      </c>
      <c r="E40" s="341">
        <v>56719000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78.667791945934056</v>
      </c>
      <c r="D42" s="343">
        <f>IF((D48/365)=0,0,+D45/(D48/365))</f>
        <v>93.993774763128286</v>
      </c>
      <c r="E42" s="343">
        <f>IF((E48/365)=0,0,+E45/(E48/365))</f>
        <v>118.05308620094587</v>
      </c>
    </row>
    <row r="43" spans="1:14" ht="24" customHeight="1" x14ac:dyDescent="0.2">
      <c r="A43" s="339">
        <v>5</v>
      </c>
      <c r="B43" s="344" t="s">
        <v>16</v>
      </c>
      <c r="C43" s="345">
        <v>29569000</v>
      </c>
      <c r="D43" s="345">
        <v>47945000</v>
      </c>
      <c r="E43" s="345">
        <v>31360000</v>
      </c>
    </row>
    <row r="44" spans="1:14" ht="24" customHeight="1" x14ac:dyDescent="0.2">
      <c r="A44" s="339">
        <v>6</v>
      </c>
      <c r="B44" s="346" t="s">
        <v>17</v>
      </c>
      <c r="C44" s="345">
        <v>36063000</v>
      </c>
      <c r="D44" s="345">
        <v>31934000</v>
      </c>
      <c r="E44" s="345">
        <v>72659000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65632000</v>
      </c>
      <c r="D45" s="341">
        <f>+D43+D44</f>
        <v>79879000</v>
      </c>
      <c r="E45" s="341">
        <f>+E43+E44</f>
        <v>104019000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327050000</v>
      </c>
      <c r="D46" s="341">
        <f>+D14</f>
        <v>336407000</v>
      </c>
      <c r="E46" s="341">
        <f>+E14</f>
        <v>346728000</v>
      </c>
    </row>
    <row r="47" spans="1:14" ht="24" customHeight="1" x14ac:dyDescent="0.2">
      <c r="A47" s="339">
        <v>9</v>
      </c>
      <c r="B47" s="340" t="s">
        <v>356</v>
      </c>
      <c r="C47" s="341">
        <v>22533000</v>
      </c>
      <c r="D47" s="341">
        <v>26218000</v>
      </c>
      <c r="E47" s="341">
        <v>25119000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304517000</v>
      </c>
      <c r="D48" s="341">
        <f>+D46-D47</f>
        <v>310189000</v>
      </c>
      <c r="E48" s="341">
        <f>+E46-E47</f>
        <v>321609000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40.045146701906354</v>
      </c>
      <c r="D50" s="350">
        <f>IF((D55/365)=0,0,+D54/(D55/365))</f>
        <v>41.502617160638152</v>
      </c>
      <c r="E50" s="350">
        <f>IF((E55/365)=0,0,+E54/(E55/365))</f>
        <v>41.423504457086295</v>
      </c>
    </row>
    <row r="51" spans="1:5" ht="24" customHeight="1" x14ac:dyDescent="0.2">
      <c r="A51" s="339">
        <v>12</v>
      </c>
      <c r="B51" s="344" t="s">
        <v>359</v>
      </c>
      <c r="C51" s="351">
        <v>37281000</v>
      </c>
      <c r="D51" s="351">
        <v>40615000</v>
      </c>
      <c r="E51" s="351">
        <v>41279000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1207893</v>
      </c>
      <c r="D53" s="341">
        <v>930766</v>
      </c>
      <c r="E53" s="341">
        <v>462435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36073107</v>
      </c>
      <c r="D54" s="352">
        <f>+D51+D52-D53</f>
        <v>39684234</v>
      </c>
      <c r="E54" s="352">
        <f>+E51+E52-E53</f>
        <v>40816565</v>
      </c>
    </row>
    <row r="55" spans="1:5" ht="24" customHeight="1" x14ac:dyDescent="0.2">
      <c r="A55" s="339">
        <v>16</v>
      </c>
      <c r="B55" s="340" t="s">
        <v>75</v>
      </c>
      <c r="C55" s="341">
        <f>+C11</f>
        <v>328796000</v>
      </c>
      <c r="D55" s="341">
        <f>+D11</f>
        <v>349008000</v>
      </c>
      <c r="E55" s="341">
        <f>+E11</f>
        <v>359652000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63.729397701934538</v>
      </c>
      <c r="D57" s="355">
        <f>IF((D61/365)=0,0,+D58/(D61/365))</f>
        <v>69.752537968786768</v>
      </c>
      <c r="E57" s="355">
        <f>IF((E61/365)=0,0,+E58/(E61/365))</f>
        <v>64.371441719603624</v>
      </c>
    </row>
    <row r="58" spans="1:5" ht="24" customHeight="1" x14ac:dyDescent="0.2">
      <c r="A58" s="339">
        <v>18</v>
      </c>
      <c r="B58" s="340" t="s">
        <v>54</v>
      </c>
      <c r="C58" s="353">
        <f>+C40</f>
        <v>53169000</v>
      </c>
      <c r="D58" s="353">
        <f>+D40</f>
        <v>59278000</v>
      </c>
      <c r="E58" s="353">
        <f>+E40</f>
        <v>56719000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327050000</v>
      </c>
      <c r="D59" s="353">
        <f t="shared" si="0"/>
        <v>336407000</v>
      </c>
      <c r="E59" s="353">
        <f t="shared" si="0"/>
        <v>346728000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22533000</v>
      </c>
      <c r="D60" s="356">
        <f t="shared" si="0"/>
        <v>26218000</v>
      </c>
      <c r="E60" s="356">
        <f t="shared" si="0"/>
        <v>25119000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304517000</v>
      </c>
      <c r="D61" s="353">
        <f>+D59-D60</f>
        <v>310189000</v>
      </c>
      <c r="E61" s="353">
        <f>+E59-E60</f>
        <v>321609000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72.530589652129478</v>
      </c>
      <c r="D65" s="357">
        <f>IF(D67=0,0,(D66/D67)*100)</f>
        <v>71.858854640112384</v>
      </c>
      <c r="E65" s="357">
        <f>IF(E67=0,0,(E66/E67)*100)</f>
        <v>72.065077938782451</v>
      </c>
    </row>
    <row r="66" spans="1:5" ht="24" customHeight="1" x14ac:dyDescent="0.2">
      <c r="A66" s="339">
        <v>2</v>
      </c>
      <c r="B66" s="340" t="s">
        <v>67</v>
      </c>
      <c r="C66" s="353">
        <f>+C32</f>
        <v>410138000</v>
      </c>
      <c r="D66" s="353">
        <f>+D32</f>
        <v>434782000</v>
      </c>
      <c r="E66" s="353">
        <f>+E32</f>
        <v>438694000</v>
      </c>
    </row>
    <row r="67" spans="1:5" ht="24" customHeight="1" x14ac:dyDescent="0.2">
      <c r="A67" s="339">
        <v>3</v>
      </c>
      <c r="B67" s="340" t="s">
        <v>43</v>
      </c>
      <c r="C67" s="353">
        <v>565469000</v>
      </c>
      <c r="D67" s="353">
        <v>605050000</v>
      </c>
      <c r="E67" s="353">
        <v>608747000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45.675018431100696</v>
      </c>
      <c r="D69" s="357">
        <f>IF(D75=0,0,(D72/D75)*100)</f>
        <v>54.973883008592651</v>
      </c>
      <c r="E69" s="357">
        <f>IF(E75=0,0,(E72/E75)*100)</f>
        <v>47.447531660478525</v>
      </c>
    </row>
    <row r="70" spans="1:5" ht="24" customHeight="1" x14ac:dyDescent="0.2">
      <c r="A70" s="339">
        <v>5</v>
      </c>
      <c r="B70" s="340" t="s">
        <v>366</v>
      </c>
      <c r="C70" s="353">
        <f>+C28</f>
        <v>18976000</v>
      </c>
      <c r="D70" s="353">
        <f>+D28</f>
        <v>25668000</v>
      </c>
      <c r="E70" s="353">
        <f>+E28</f>
        <v>17180000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22533000</v>
      </c>
      <c r="D71" s="356">
        <f>+D47</f>
        <v>26218000</v>
      </c>
      <c r="E71" s="356">
        <f>+E47</f>
        <v>25119000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41509000</v>
      </c>
      <c r="D72" s="353">
        <f>+D70+D71</f>
        <v>51886000</v>
      </c>
      <c r="E72" s="353">
        <f>+E70+E71</f>
        <v>42299000</v>
      </c>
    </row>
    <row r="73" spans="1:5" ht="24" customHeight="1" x14ac:dyDescent="0.2">
      <c r="A73" s="339">
        <v>8</v>
      </c>
      <c r="B73" s="340" t="s">
        <v>54</v>
      </c>
      <c r="C73" s="341">
        <f>+C40</f>
        <v>53169000</v>
      </c>
      <c r="D73" s="341">
        <f>+D40</f>
        <v>59278000</v>
      </c>
      <c r="E73" s="341">
        <f>+E40</f>
        <v>56719000</v>
      </c>
    </row>
    <row r="74" spans="1:5" ht="24" customHeight="1" x14ac:dyDescent="0.2">
      <c r="A74" s="339">
        <v>9</v>
      </c>
      <c r="B74" s="340" t="s">
        <v>58</v>
      </c>
      <c r="C74" s="353">
        <v>37710000</v>
      </c>
      <c r="D74" s="353">
        <v>35105000</v>
      </c>
      <c r="E74" s="353">
        <v>32430000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90879000</v>
      </c>
      <c r="D75" s="341">
        <f>+D73+D74</f>
        <v>94383000</v>
      </c>
      <c r="E75" s="341">
        <f>+E73+E74</f>
        <v>89149000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8.4202675907897309</v>
      </c>
      <c r="D77" s="359">
        <f>IF(D80=0,0,(D78/D80)*100)</f>
        <v>7.4709451421299162</v>
      </c>
      <c r="E77" s="359">
        <f>IF(E80=0,0,(E78/E80)*100)</f>
        <v>6.8835380918823921</v>
      </c>
    </row>
    <row r="78" spans="1:5" ht="24" customHeight="1" x14ac:dyDescent="0.2">
      <c r="A78" s="339">
        <v>12</v>
      </c>
      <c r="B78" s="340" t="s">
        <v>58</v>
      </c>
      <c r="C78" s="341">
        <f>+C74</f>
        <v>37710000</v>
      </c>
      <c r="D78" s="341">
        <f>+D74</f>
        <v>35105000</v>
      </c>
      <c r="E78" s="341">
        <f>+E74</f>
        <v>32430000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410138000</v>
      </c>
      <c r="D79" s="341">
        <f>+D32</f>
        <v>434782000</v>
      </c>
      <c r="E79" s="341">
        <f>+E32</f>
        <v>438694000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447848000</v>
      </c>
      <c r="D80" s="341">
        <f>+D78+D79</f>
        <v>469887000</v>
      </c>
      <c r="E80" s="341">
        <f>+E78+E79</f>
        <v>471124000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FILING&amp;R&amp;8GREENWICH HEALTH 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34807</v>
      </c>
      <c r="D11" s="376">
        <v>7438</v>
      </c>
      <c r="E11" s="376">
        <v>7343</v>
      </c>
      <c r="F11" s="377">
        <v>129</v>
      </c>
      <c r="G11" s="377">
        <v>129</v>
      </c>
      <c r="H11" s="378">
        <f>IF(F11=0,0,$C11/(F11*365))</f>
        <v>0.73923754911330575</v>
      </c>
      <c r="I11" s="378">
        <f>IF(G11=0,0,$C11/(G11*365))</f>
        <v>0.73923754911330575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2054</v>
      </c>
      <c r="D13" s="376">
        <v>169</v>
      </c>
      <c r="E13" s="376">
        <v>0</v>
      </c>
      <c r="F13" s="377">
        <v>10</v>
      </c>
      <c r="G13" s="377">
        <v>10</v>
      </c>
      <c r="H13" s="378">
        <f>IF(F13=0,0,$C13/(F13*365))</f>
        <v>0.5627397260273973</v>
      </c>
      <c r="I13" s="378">
        <f>IF(G13=0,0,$C13/(G13*365))</f>
        <v>0.5627397260273973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6957</v>
      </c>
      <c r="D21" s="376">
        <v>2711</v>
      </c>
      <c r="E21" s="376">
        <v>2850</v>
      </c>
      <c r="F21" s="377">
        <v>25</v>
      </c>
      <c r="G21" s="377">
        <v>25</v>
      </c>
      <c r="H21" s="378">
        <f>IF(F21=0,0,$C21/(F21*365))</f>
        <v>0.76241095890410959</v>
      </c>
      <c r="I21" s="378">
        <f>IF(G21=0,0,$C21/(G21*365))</f>
        <v>0.76241095890410959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6627</v>
      </c>
      <c r="D23" s="376">
        <v>2501</v>
      </c>
      <c r="E23" s="376">
        <v>2487</v>
      </c>
      <c r="F23" s="377">
        <v>22</v>
      </c>
      <c r="G23" s="377">
        <v>22</v>
      </c>
      <c r="H23" s="378">
        <f>IF(F23=0,0,$C23/(F23*365))</f>
        <v>0.82528019925280194</v>
      </c>
      <c r="I23" s="378">
        <f>IF(G23=0,0,$C23/(G23*365))</f>
        <v>0.82528019925280194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2570</v>
      </c>
      <c r="D25" s="376">
        <v>268</v>
      </c>
      <c r="E25" s="376">
        <v>0</v>
      </c>
      <c r="F25" s="377">
        <v>10</v>
      </c>
      <c r="G25" s="377">
        <v>10</v>
      </c>
      <c r="H25" s="378">
        <f>IF(F25=0,0,$C25/(F25*365))</f>
        <v>0.70410958904109588</v>
      </c>
      <c r="I25" s="378">
        <f>IF(G25=0,0,$C25/(G25*365))</f>
        <v>0.70410958904109588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825</v>
      </c>
      <c r="D27" s="376">
        <v>378</v>
      </c>
      <c r="E27" s="376">
        <v>318</v>
      </c>
      <c r="F27" s="377">
        <v>10</v>
      </c>
      <c r="G27" s="377">
        <v>10</v>
      </c>
      <c r="H27" s="378">
        <f>IF(F27=0,0,$C27/(F27*365))</f>
        <v>0.22602739726027396</v>
      </c>
      <c r="I27" s="378">
        <f>IF(G27=0,0,$C27/(G27*365))</f>
        <v>0.22602739726027396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47213</v>
      </c>
      <c r="D31" s="384">
        <f>SUM(D10:D29)-D13-D17-D23</f>
        <v>10795</v>
      </c>
      <c r="E31" s="384">
        <f>SUM(E10:E29)-E17-E23</f>
        <v>10511</v>
      </c>
      <c r="F31" s="384">
        <f>SUM(F10:F29)-F17-F23</f>
        <v>184</v>
      </c>
      <c r="G31" s="384">
        <f>SUM(G10:G29)-G17-G23</f>
        <v>184</v>
      </c>
      <c r="H31" s="385">
        <f>IF(F31=0,0,$C31/(F31*365))</f>
        <v>0.70299285288862423</v>
      </c>
      <c r="I31" s="385">
        <f>IF(G31=0,0,$C31/(G31*365))</f>
        <v>0.70299285288862423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53840</v>
      </c>
      <c r="D33" s="384">
        <f>SUM(D10:D29)-D13-D17</f>
        <v>13296</v>
      </c>
      <c r="E33" s="384">
        <f>SUM(E10:E29)-E17</f>
        <v>12998</v>
      </c>
      <c r="F33" s="384">
        <f>SUM(F10:F29)-F17</f>
        <v>206</v>
      </c>
      <c r="G33" s="384">
        <f>SUM(G10:G29)-G17</f>
        <v>206</v>
      </c>
      <c r="H33" s="385">
        <f>IF(F33=0,0,$C33/(F33*365))</f>
        <v>0.71605266657800237</v>
      </c>
      <c r="I33" s="385">
        <f>IF(G33=0,0,$C33/(G33*365))</f>
        <v>0.71605266657800237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53840</v>
      </c>
      <c r="D36" s="384">
        <f t="shared" si="1"/>
        <v>13296</v>
      </c>
      <c r="E36" s="384">
        <f t="shared" si="1"/>
        <v>12998</v>
      </c>
      <c r="F36" s="384">
        <f t="shared" si="1"/>
        <v>206</v>
      </c>
      <c r="G36" s="384">
        <f t="shared" si="1"/>
        <v>206</v>
      </c>
      <c r="H36" s="387">
        <f t="shared" si="1"/>
        <v>0.71605266657800237</v>
      </c>
      <c r="I36" s="387">
        <f t="shared" si="1"/>
        <v>0.71605266657800237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54509</v>
      </c>
      <c r="D37" s="384">
        <v>12538</v>
      </c>
      <c r="E37" s="384">
        <v>12277</v>
      </c>
      <c r="F37" s="386">
        <v>206</v>
      </c>
      <c r="G37" s="386">
        <v>206</v>
      </c>
      <c r="H37" s="385">
        <f>IF(F37=0,0,$C37/(F37*365))</f>
        <v>0.72495012634658862</v>
      </c>
      <c r="I37" s="385">
        <f>IF(G37=0,0,$C37/(G37*365))</f>
        <v>0.72495012634658862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-669</v>
      </c>
      <c r="D38" s="384">
        <f t="shared" si="2"/>
        <v>758</v>
      </c>
      <c r="E38" s="384">
        <f t="shared" si="2"/>
        <v>721</v>
      </c>
      <c r="F38" s="384">
        <f t="shared" si="2"/>
        <v>0</v>
      </c>
      <c r="G38" s="384">
        <f t="shared" si="2"/>
        <v>0</v>
      </c>
      <c r="H38" s="387">
        <f t="shared" si="2"/>
        <v>-8.8974597685862467E-3</v>
      </c>
      <c r="I38" s="387">
        <f t="shared" si="2"/>
        <v>-8.8974597685862467E-3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-1.2273202590397917E-2</v>
      </c>
      <c r="D40" s="389">
        <f t="shared" si="3"/>
        <v>6.0456213112139098E-2</v>
      </c>
      <c r="E40" s="389">
        <f t="shared" si="3"/>
        <v>5.8727702207379655E-2</v>
      </c>
      <c r="F40" s="389">
        <f t="shared" si="3"/>
        <v>0</v>
      </c>
      <c r="G40" s="389">
        <f t="shared" si="3"/>
        <v>0</v>
      </c>
      <c r="H40" s="389">
        <f t="shared" si="3"/>
        <v>-1.2273202590397915E-2</v>
      </c>
      <c r="I40" s="389">
        <f t="shared" si="3"/>
        <v>-1.2273202590397915E-2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206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FILING&amp;RGREENWICH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5915</v>
      </c>
      <c r="D12" s="409">
        <v>5877</v>
      </c>
      <c r="E12" s="409">
        <f>+D12-C12</f>
        <v>-38</v>
      </c>
      <c r="F12" s="410">
        <f>IF(C12=0,0,+E12/C12)</f>
        <v>-6.4243448858833478E-3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6409</v>
      </c>
      <c r="D13" s="409">
        <v>5328</v>
      </c>
      <c r="E13" s="409">
        <f>+D13-C13</f>
        <v>-1081</v>
      </c>
      <c r="F13" s="410">
        <f>IF(C13=0,0,+E13/C13)</f>
        <v>-0.16866905913559058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7118</v>
      </c>
      <c r="D14" s="409">
        <v>7298</v>
      </c>
      <c r="E14" s="409">
        <f>+D14-C14</f>
        <v>180</v>
      </c>
      <c r="F14" s="410">
        <f>IF(C14=0,0,+E14/C14)</f>
        <v>2.5288002247822423E-2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520</v>
      </c>
      <c r="D15" s="409">
        <v>564</v>
      </c>
      <c r="E15" s="409">
        <f>+D15-C15</f>
        <v>44</v>
      </c>
      <c r="F15" s="410">
        <f>IF(C15=0,0,+E15/C15)</f>
        <v>8.461538461538462E-2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19962</v>
      </c>
      <c r="D16" s="401">
        <f>SUM(D12:D15)</f>
        <v>19067</v>
      </c>
      <c r="E16" s="401">
        <f>+D16-C16</f>
        <v>-895</v>
      </c>
      <c r="F16" s="402">
        <f>IF(C16=0,0,+E16/C16)</f>
        <v>-4.4835186855024543E-2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1146</v>
      </c>
      <c r="D19" s="409">
        <v>1164</v>
      </c>
      <c r="E19" s="409">
        <f>+D19-C19</f>
        <v>18</v>
      </c>
      <c r="F19" s="410">
        <f>IF(C19=0,0,+E19/C19)</f>
        <v>1.5706806282722512E-2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5565</v>
      </c>
      <c r="D20" s="409">
        <v>5583</v>
      </c>
      <c r="E20" s="409">
        <f>+D20-C20</f>
        <v>18</v>
      </c>
      <c r="F20" s="410">
        <f>IF(C20=0,0,+E20/C20)</f>
        <v>3.234501347708895E-3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136</v>
      </c>
      <c r="D21" s="409">
        <v>133</v>
      </c>
      <c r="E21" s="409">
        <f>+D21-C21</f>
        <v>-3</v>
      </c>
      <c r="F21" s="410">
        <f>IF(C21=0,0,+E21/C21)</f>
        <v>-2.2058823529411766E-2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1794</v>
      </c>
      <c r="D22" s="409">
        <v>1739</v>
      </c>
      <c r="E22" s="409">
        <f>+D22-C22</f>
        <v>-55</v>
      </c>
      <c r="F22" s="410">
        <f>IF(C22=0,0,+E22/C22)</f>
        <v>-3.0657748049052396E-2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8641</v>
      </c>
      <c r="D23" s="401">
        <f>SUM(D19:D22)</f>
        <v>8619</v>
      </c>
      <c r="E23" s="401">
        <f>+D23-C23</f>
        <v>-22</v>
      </c>
      <c r="F23" s="402">
        <f>IF(C23=0,0,+E23/C23)</f>
        <v>-2.5460016201828491E-3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3</v>
      </c>
      <c r="E27" s="409">
        <f>+D27-C27</f>
        <v>3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3</v>
      </c>
      <c r="E30" s="401">
        <f>+D30-C30</f>
        <v>3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11</v>
      </c>
      <c r="D33" s="409">
        <v>16</v>
      </c>
      <c r="E33" s="409">
        <f>+D33-C33</f>
        <v>5</v>
      </c>
      <c r="F33" s="410">
        <f>IF(C33=0,0,+E33/C33)</f>
        <v>0.45454545454545453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627</v>
      </c>
      <c r="D34" s="409">
        <v>661</v>
      </c>
      <c r="E34" s="409">
        <f>+D34-C34</f>
        <v>34</v>
      </c>
      <c r="F34" s="410">
        <f>IF(C34=0,0,+E34/C34)</f>
        <v>5.4226475279106859E-2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2</v>
      </c>
      <c r="D35" s="409">
        <v>0</v>
      </c>
      <c r="E35" s="409">
        <f>+D35-C35</f>
        <v>-2</v>
      </c>
      <c r="F35" s="410">
        <f>IF(C35=0,0,+E35/C35)</f>
        <v>-1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640</v>
      </c>
      <c r="D37" s="401">
        <f>SUM(D33:D36)</f>
        <v>677</v>
      </c>
      <c r="E37" s="401">
        <f>+D37-C37</f>
        <v>37</v>
      </c>
      <c r="F37" s="402">
        <f>IF(C37=0,0,+E37/C37)</f>
        <v>5.7812500000000003E-2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46</v>
      </c>
      <c r="D43" s="409">
        <v>266</v>
      </c>
      <c r="E43" s="409">
        <f>+D43-C43</f>
        <v>220</v>
      </c>
      <c r="F43" s="410">
        <f>IF(C43=0,0,+E43/C43)</f>
        <v>4.7826086956521738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5329</v>
      </c>
      <c r="D44" s="409">
        <v>5216</v>
      </c>
      <c r="E44" s="409">
        <f>+D44-C44</f>
        <v>-113</v>
      </c>
      <c r="F44" s="410">
        <f>IF(C44=0,0,+E44/C44)</f>
        <v>-2.1204728842184276E-2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5375</v>
      </c>
      <c r="D45" s="401">
        <f>SUM(D43:D44)</f>
        <v>5482</v>
      </c>
      <c r="E45" s="401">
        <f>+D45-C45</f>
        <v>107</v>
      </c>
      <c r="F45" s="402">
        <f>IF(C45=0,0,+E45/C45)</f>
        <v>1.9906976744186046E-2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132</v>
      </c>
      <c r="D48" s="409">
        <v>113</v>
      </c>
      <c r="E48" s="409">
        <f>+D48-C48</f>
        <v>-19</v>
      </c>
      <c r="F48" s="410">
        <f>IF(C48=0,0,+E48/C48)</f>
        <v>-0.14393939393939395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56</v>
      </c>
      <c r="D49" s="409">
        <v>50</v>
      </c>
      <c r="E49" s="409">
        <f>+D49-C49</f>
        <v>-6</v>
      </c>
      <c r="F49" s="410">
        <f>IF(C49=0,0,+E49/C49)</f>
        <v>-0.10714285714285714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188</v>
      </c>
      <c r="D50" s="401">
        <f>SUM(D48:D49)</f>
        <v>163</v>
      </c>
      <c r="E50" s="401">
        <f>+D50-C50</f>
        <v>-25</v>
      </c>
      <c r="F50" s="402">
        <f>IF(C50=0,0,+E50/C50)</f>
        <v>-0.13297872340425532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42</v>
      </c>
      <c r="D53" s="409">
        <v>36</v>
      </c>
      <c r="E53" s="409">
        <f>+D53-C53</f>
        <v>-6</v>
      </c>
      <c r="F53" s="410">
        <f>IF(C53=0,0,+E53/C53)</f>
        <v>-0.14285714285714285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6</v>
      </c>
      <c r="E54" s="409">
        <f>+D54-C54</f>
        <v>6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42</v>
      </c>
      <c r="D55" s="401">
        <f>SUM(D53:D54)</f>
        <v>42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</v>
      </c>
      <c r="D58" s="409">
        <v>36</v>
      </c>
      <c r="E58" s="409">
        <f>+D58-C58</f>
        <v>35</v>
      </c>
      <c r="F58" s="410">
        <f>IF(C58=0,0,+E58/C58)</f>
        <v>35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340</v>
      </c>
      <c r="D59" s="409">
        <v>39</v>
      </c>
      <c r="E59" s="409">
        <f>+D59-C59</f>
        <v>-301</v>
      </c>
      <c r="F59" s="410">
        <f>IF(C59=0,0,+E59/C59)</f>
        <v>-0.88529411764705879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341</v>
      </c>
      <c r="D60" s="401">
        <f>SUM(D58:D59)</f>
        <v>75</v>
      </c>
      <c r="E60" s="401">
        <f>SUM(E58:E59)</f>
        <v>-266</v>
      </c>
      <c r="F60" s="402">
        <f>IF(C60=0,0,+E60/C60)</f>
        <v>-0.78005865102639294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2420</v>
      </c>
      <c r="D63" s="409">
        <v>2429</v>
      </c>
      <c r="E63" s="409">
        <f>+D63-C63</f>
        <v>9</v>
      </c>
      <c r="F63" s="410">
        <f>IF(C63=0,0,+E63/C63)</f>
        <v>3.7190082644628099E-3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4212</v>
      </c>
      <c r="D64" s="409">
        <v>4939</v>
      </c>
      <c r="E64" s="409">
        <f>+D64-C64</f>
        <v>727</v>
      </c>
      <c r="F64" s="410">
        <f>IF(C64=0,0,+E64/C64)</f>
        <v>0.17260208926875595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6632</v>
      </c>
      <c r="D65" s="401">
        <f>SUM(D63:D64)</f>
        <v>7368</v>
      </c>
      <c r="E65" s="401">
        <f>+D65-C65</f>
        <v>736</v>
      </c>
      <c r="F65" s="402">
        <f>IF(C65=0,0,+E65/C65)</f>
        <v>0.11097708082026538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418</v>
      </c>
      <c r="D68" s="409">
        <v>190</v>
      </c>
      <c r="E68" s="409">
        <f>+D68-C68</f>
        <v>-228</v>
      </c>
      <c r="F68" s="410">
        <f>IF(C68=0,0,+E68/C68)</f>
        <v>-0.54545454545454541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2641</v>
      </c>
      <c r="D69" s="409">
        <v>2371</v>
      </c>
      <c r="E69" s="409">
        <f>+D69-C69</f>
        <v>-270</v>
      </c>
      <c r="F69" s="412">
        <f>IF(C69=0,0,+E69/C69)</f>
        <v>-0.10223400227186671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3059</v>
      </c>
      <c r="D70" s="401">
        <f>SUM(D68:D69)</f>
        <v>2561</v>
      </c>
      <c r="E70" s="401">
        <f>+D70-C70</f>
        <v>-498</v>
      </c>
      <c r="F70" s="402">
        <f>IF(C70=0,0,+E70/C70)</f>
        <v>-0.16279830009807125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6790</v>
      </c>
      <c r="D73" s="376">
        <v>7846</v>
      </c>
      <c r="E73" s="409">
        <f>+D73-C73</f>
        <v>1056</v>
      </c>
      <c r="F73" s="410">
        <f>IF(C73=0,0,+E73/C73)</f>
        <v>0.15552282768777614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32604</v>
      </c>
      <c r="D74" s="376">
        <v>31400</v>
      </c>
      <c r="E74" s="409">
        <f>+D74-C74</f>
        <v>-1204</v>
      </c>
      <c r="F74" s="410">
        <f>IF(C74=0,0,+E74/C74)</f>
        <v>-3.6927984296405349E-2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39394</v>
      </c>
      <c r="D75" s="401">
        <f>SUM(D73:D74)</f>
        <v>39246</v>
      </c>
      <c r="E75" s="401">
        <f>SUM(E73:E74)</f>
        <v>-148</v>
      </c>
      <c r="F75" s="402">
        <f>IF(C75=0,0,+E75/C75)</f>
        <v>-3.7569172970503121E-3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2049</v>
      </c>
      <c r="D79" s="376">
        <v>2643</v>
      </c>
      <c r="E79" s="409">
        <f t="shared" ref="E79:E92" si="0">+D79-C79</f>
        <v>594</v>
      </c>
      <c r="F79" s="410">
        <f t="shared" ref="F79:F92" si="1">IF(C79=0,0,+E79/C79)</f>
        <v>0.28989751098096633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7899</v>
      </c>
      <c r="D81" s="376">
        <v>6822</v>
      </c>
      <c r="E81" s="409">
        <f t="shared" si="0"/>
        <v>-1077</v>
      </c>
      <c r="F81" s="410">
        <f t="shared" si="1"/>
        <v>-0.13634637295860236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9606</v>
      </c>
      <c r="D85" s="376">
        <v>9244</v>
      </c>
      <c r="E85" s="409">
        <f t="shared" si="0"/>
        <v>-362</v>
      </c>
      <c r="F85" s="410">
        <f t="shared" si="1"/>
        <v>-3.7684780345617321E-2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2780</v>
      </c>
      <c r="D91" s="376">
        <v>2902</v>
      </c>
      <c r="E91" s="409">
        <f t="shared" si="0"/>
        <v>122</v>
      </c>
      <c r="F91" s="410">
        <f t="shared" si="1"/>
        <v>4.3884892086330937E-2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22334</v>
      </c>
      <c r="D92" s="381">
        <f>SUM(D79:D91)</f>
        <v>21611</v>
      </c>
      <c r="E92" s="401">
        <f t="shared" si="0"/>
        <v>-723</v>
      </c>
      <c r="F92" s="402">
        <f t="shared" si="1"/>
        <v>-3.2372167994985226E-2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38213</v>
      </c>
      <c r="D95" s="414">
        <v>44772</v>
      </c>
      <c r="E95" s="415">
        <f t="shared" ref="E95:E100" si="2">+D95-C95</f>
        <v>6559</v>
      </c>
      <c r="F95" s="412">
        <f t="shared" ref="F95:F100" si="3">IF(C95=0,0,+E95/C95)</f>
        <v>0.17164315808756184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1645</v>
      </c>
      <c r="D96" s="414">
        <v>1934</v>
      </c>
      <c r="E96" s="409">
        <f t="shared" si="2"/>
        <v>289</v>
      </c>
      <c r="F96" s="410">
        <f t="shared" si="3"/>
        <v>0.17568389057750761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18561</v>
      </c>
      <c r="D97" s="414">
        <v>10524</v>
      </c>
      <c r="E97" s="409">
        <f t="shared" si="2"/>
        <v>-8037</v>
      </c>
      <c r="F97" s="410">
        <f t="shared" si="3"/>
        <v>-0.43300468724745433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2542</v>
      </c>
      <c r="D98" s="414">
        <v>3920</v>
      </c>
      <c r="E98" s="409">
        <f t="shared" si="2"/>
        <v>1378</v>
      </c>
      <c r="F98" s="410">
        <f t="shared" si="3"/>
        <v>0.54209284028324156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168234</v>
      </c>
      <c r="D99" s="414">
        <v>170973</v>
      </c>
      <c r="E99" s="409">
        <f t="shared" si="2"/>
        <v>2739</v>
      </c>
      <c r="F99" s="410">
        <f t="shared" si="3"/>
        <v>1.6280894468418988E-2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229195</v>
      </c>
      <c r="D100" s="381">
        <f>SUM(D95:D99)</f>
        <v>232123</v>
      </c>
      <c r="E100" s="401">
        <f t="shared" si="2"/>
        <v>2928</v>
      </c>
      <c r="F100" s="402">
        <f t="shared" si="3"/>
        <v>1.2775147799908374E-2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359.3</v>
      </c>
      <c r="D104" s="416">
        <v>389</v>
      </c>
      <c r="E104" s="417">
        <f>+D104-C104</f>
        <v>29.699999999999989</v>
      </c>
      <c r="F104" s="410">
        <f>IF(C104=0,0,+E104/C104)</f>
        <v>8.2660729195658186E-2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43.5</v>
      </c>
      <c r="D105" s="416">
        <v>47.8</v>
      </c>
      <c r="E105" s="417">
        <f>+D105-C105</f>
        <v>4.2999999999999972</v>
      </c>
      <c r="F105" s="410">
        <f>IF(C105=0,0,+E105/C105)</f>
        <v>9.8850574712643607E-2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1072.5</v>
      </c>
      <c r="D106" s="416">
        <v>1038.9000000000001</v>
      </c>
      <c r="E106" s="417">
        <f>+D106-C106</f>
        <v>-33.599999999999909</v>
      </c>
      <c r="F106" s="410">
        <f>IF(C106=0,0,+E106/C106)</f>
        <v>-3.1328671328671245E-2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1475.3</v>
      </c>
      <c r="D107" s="418">
        <f>SUM(D104:D106)</f>
        <v>1475.7</v>
      </c>
      <c r="E107" s="418">
        <f>+D107-C107</f>
        <v>0.40000000000009095</v>
      </c>
      <c r="F107" s="402">
        <f>IF(C107=0,0,+E107/C107)</f>
        <v>2.7113129532982508E-4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2994</v>
      </c>
      <c r="D12" s="409">
        <v>3820</v>
      </c>
      <c r="E12" s="409">
        <f>+D12-C12</f>
        <v>826</v>
      </c>
      <c r="F12" s="410">
        <f>IF(C12=0,0,+E12/C12)</f>
        <v>0.27588510354041418</v>
      </c>
    </row>
    <row r="13" spans="1:6" ht="15.75" customHeight="1" x14ac:dyDescent="0.2">
      <c r="A13" s="374">
        <v>2</v>
      </c>
      <c r="B13" s="408" t="s">
        <v>622</v>
      </c>
      <c r="C13" s="409">
        <v>1218</v>
      </c>
      <c r="D13" s="409">
        <v>1119</v>
      </c>
      <c r="E13" s="409">
        <f>+D13-C13</f>
        <v>-99</v>
      </c>
      <c r="F13" s="410">
        <f>IF(C13=0,0,+E13/C13)</f>
        <v>-8.1280788177339899E-2</v>
      </c>
    </row>
    <row r="14" spans="1:6" ht="15.75" customHeight="1" x14ac:dyDescent="0.25">
      <c r="A14" s="374"/>
      <c r="B14" s="399" t="s">
        <v>623</v>
      </c>
      <c r="C14" s="401">
        <f>SUM(C11:C13)</f>
        <v>4212</v>
      </c>
      <c r="D14" s="401">
        <f>SUM(D11:D13)</f>
        <v>4939</v>
      </c>
      <c r="E14" s="401">
        <f>+D14-C14</f>
        <v>727</v>
      </c>
      <c r="F14" s="402">
        <f>IF(C14=0,0,+E14/C14)</f>
        <v>0.17260208926875595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196</v>
      </c>
      <c r="D17" s="409">
        <v>115</v>
      </c>
      <c r="E17" s="409">
        <f>+D17-C17</f>
        <v>-81</v>
      </c>
      <c r="F17" s="410">
        <f>IF(C17=0,0,+E17/C17)</f>
        <v>-0.41326530612244899</v>
      </c>
    </row>
    <row r="18" spans="1:6" ht="15.75" customHeight="1" x14ac:dyDescent="0.2">
      <c r="A18" s="374">
        <v>2</v>
      </c>
      <c r="B18" s="408" t="s">
        <v>624</v>
      </c>
      <c r="C18" s="409">
        <v>2445</v>
      </c>
      <c r="D18" s="409">
        <v>2256</v>
      </c>
      <c r="E18" s="409">
        <f>+D18-C18</f>
        <v>-189</v>
      </c>
      <c r="F18" s="410">
        <f>IF(C18=0,0,+E18/C18)</f>
        <v>-7.7300613496932513E-2</v>
      </c>
    </row>
    <row r="19" spans="1:6" ht="15.75" customHeight="1" x14ac:dyDescent="0.25">
      <c r="A19" s="374"/>
      <c r="B19" s="399" t="s">
        <v>625</v>
      </c>
      <c r="C19" s="401">
        <f>SUM(C16:C18)</f>
        <v>2641</v>
      </c>
      <c r="D19" s="401">
        <f>SUM(D16:D18)</f>
        <v>2371</v>
      </c>
      <c r="E19" s="401">
        <f>+D19-C19</f>
        <v>-270</v>
      </c>
      <c r="F19" s="402">
        <f>IF(C19=0,0,+E19/C19)</f>
        <v>-0.10223400227186671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32604</v>
      </c>
      <c r="D22" s="409">
        <v>31400</v>
      </c>
      <c r="E22" s="409">
        <f>+D22-C22</f>
        <v>-1204</v>
      </c>
      <c r="F22" s="410">
        <f>IF(C22=0,0,+E22/C22)</f>
        <v>-3.6927984296405349E-2</v>
      </c>
    </row>
    <row r="23" spans="1:6" ht="15.75" customHeight="1" x14ac:dyDescent="0.25">
      <c r="A23" s="374"/>
      <c r="B23" s="399" t="s">
        <v>628</v>
      </c>
      <c r="C23" s="401">
        <f>SUM(C21:C22)</f>
        <v>32604</v>
      </c>
      <c r="D23" s="401">
        <f>SUM(D21:D22)</f>
        <v>31400</v>
      </c>
      <c r="E23" s="401">
        <f>+D23-C23</f>
        <v>-1204</v>
      </c>
      <c r="F23" s="402">
        <f>IF(C23=0,0,+E23/C23)</f>
        <v>-3.6927984296405349E-2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629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630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631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FILING&amp;RGREENWICH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240415659</v>
      </c>
      <c r="D15" s="448">
        <v>239886253</v>
      </c>
      <c r="E15" s="448">
        <f t="shared" ref="E15:E24" si="0">D15-C15</f>
        <v>-529406</v>
      </c>
      <c r="F15" s="449">
        <f t="shared" ref="F15:F24" si="1">IF(C15=0,0,E15/C15)</f>
        <v>-2.2020445847913757E-3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59489414</v>
      </c>
      <c r="D16" s="448">
        <v>56506049</v>
      </c>
      <c r="E16" s="448">
        <f t="shared" si="0"/>
        <v>-2983365</v>
      </c>
      <c r="F16" s="449">
        <f t="shared" si="1"/>
        <v>-5.0149510633942365E-2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0.24744400696462121</v>
      </c>
      <c r="D17" s="453">
        <f>IF(LN_IA1=0,0,LN_IA2/LN_IA1)</f>
        <v>0.23555351043813252</v>
      </c>
      <c r="E17" s="454">
        <f t="shared" si="0"/>
        <v>-1.1890496526488686E-2</v>
      </c>
      <c r="F17" s="449">
        <f t="shared" si="1"/>
        <v>-4.8053281517498034E-2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4545</v>
      </c>
      <c r="D18" s="456">
        <v>4713</v>
      </c>
      <c r="E18" s="456">
        <f t="shared" si="0"/>
        <v>168</v>
      </c>
      <c r="F18" s="449">
        <f t="shared" si="1"/>
        <v>3.6963696369636964E-2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1.57877</v>
      </c>
      <c r="D19" s="459">
        <v>1.5670500000000001</v>
      </c>
      <c r="E19" s="460">
        <f t="shared" si="0"/>
        <v>-1.1719999999999953E-2</v>
      </c>
      <c r="F19" s="449">
        <f t="shared" si="1"/>
        <v>-7.4235005732310299E-3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7175.50965</v>
      </c>
      <c r="D20" s="463">
        <f>LN_IA4*LN_IA5</f>
        <v>7385.5066500000003</v>
      </c>
      <c r="E20" s="463">
        <f t="shared" si="0"/>
        <v>209.9970000000003</v>
      </c>
      <c r="F20" s="449">
        <f t="shared" si="1"/>
        <v>2.9265795775217207E-2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8290.6186322249596</v>
      </c>
      <c r="D21" s="465">
        <f>IF(LN_IA6=0,0,LN_IA2/LN_IA6)</f>
        <v>7650.9373937128603</v>
      </c>
      <c r="E21" s="465">
        <f t="shared" si="0"/>
        <v>-639.6812385120993</v>
      </c>
      <c r="F21" s="449">
        <f t="shared" si="1"/>
        <v>-7.7157238426781613E-2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25954</v>
      </c>
      <c r="D22" s="456">
        <v>25317</v>
      </c>
      <c r="E22" s="456">
        <f t="shared" si="0"/>
        <v>-637</v>
      </c>
      <c r="F22" s="449">
        <f t="shared" si="1"/>
        <v>-2.4543422979116897E-2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2292.1096555444246</v>
      </c>
      <c r="D23" s="465">
        <f>IF(LN_IA8=0,0,LN_IA2/LN_IA8)</f>
        <v>2231.9409487696016</v>
      </c>
      <c r="E23" s="465">
        <f t="shared" si="0"/>
        <v>-60.168706774823022</v>
      </c>
      <c r="F23" s="449">
        <f t="shared" si="1"/>
        <v>-2.6250361377467203E-2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5.7104510451045103</v>
      </c>
      <c r="D24" s="466">
        <f>IF(LN_IA4=0,0,LN_IA8/LN_IA4)</f>
        <v>5.3717377466581793</v>
      </c>
      <c r="E24" s="466">
        <f t="shared" si="0"/>
        <v>-0.33871329844633102</v>
      </c>
      <c r="F24" s="449">
        <f t="shared" si="1"/>
        <v>-5.9314631326137575E-2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225344601</v>
      </c>
      <c r="D27" s="448">
        <v>248501261</v>
      </c>
      <c r="E27" s="448">
        <f t="shared" ref="E27:E32" si="2">D27-C27</f>
        <v>23156660</v>
      </c>
      <c r="F27" s="449">
        <f t="shared" ref="F27:F32" si="3">IF(C27=0,0,E27/C27)</f>
        <v>0.10276110409230528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35573697</v>
      </c>
      <c r="D28" s="448">
        <v>38538948</v>
      </c>
      <c r="E28" s="448">
        <f t="shared" si="2"/>
        <v>2965251</v>
      </c>
      <c r="F28" s="449">
        <f t="shared" si="3"/>
        <v>8.3355154230947665E-2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0.15786354251282905</v>
      </c>
      <c r="D29" s="453">
        <f>IF(LN_IA11=0,0,LN_IA12/LN_IA11)</f>
        <v>0.15508552288593819</v>
      </c>
      <c r="E29" s="454">
        <f t="shared" si="2"/>
        <v>-2.7780196268908652E-3</v>
      </c>
      <c r="F29" s="449">
        <f t="shared" si="3"/>
        <v>-1.7597600957580846E-2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0.93731249427475938</v>
      </c>
      <c r="D30" s="453">
        <f>IF(LN_IA1=0,0,LN_IA11/LN_IA1)</f>
        <v>1.0359128874300272</v>
      </c>
      <c r="E30" s="454">
        <f t="shared" si="2"/>
        <v>9.8600393155267807E-2</v>
      </c>
      <c r="F30" s="449">
        <f t="shared" si="3"/>
        <v>0.10519479229982882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4260.0852864787812</v>
      </c>
      <c r="D31" s="463">
        <f>LN_IA14*LN_IA4</f>
        <v>4882.2574384577183</v>
      </c>
      <c r="E31" s="463">
        <f t="shared" si="2"/>
        <v>622.17215197893711</v>
      </c>
      <c r="F31" s="449">
        <f t="shared" si="3"/>
        <v>0.14604687703170377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8350.4659197571655</v>
      </c>
      <c r="D32" s="465">
        <f>IF(LN_IA15=0,0,LN_IA12/LN_IA15)</f>
        <v>7893.6738764382462</v>
      </c>
      <c r="E32" s="465">
        <f t="shared" si="2"/>
        <v>-456.79204331891924</v>
      </c>
      <c r="F32" s="449">
        <f t="shared" si="3"/>
        <v>-5.4702581593459511E-2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465760260</v>
      </c>
      <c r="D35" s="448">
        <f>LN_IA1+LN_IA11</f>
        <v>488387514</v>
      </c>
      <c r="E35" s="448">
        <f>D35-C35</f>
        <v>22627254</v>
      </c>
      <c r="F35" s="449">
        <f>IF(C35=0,0,E35/C35)</f>
        <v>4.8581332379022631E-2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95063111</v>
      </c>
      <c r="D36" s="448">
        <f>LN_IA2+LN_IA12</f>
        <v>95044997</v>
      </c>
      <c r="E36" s="448">
        <f>D36-C36</f>
        <v>-18114</v>
      </c>
      <c r="F36" s="449">
        <f>IF(C36=0,0,E36/C36)</f>
        <v>-1.9054709875842375E-4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370697149</v>
      </c>
      <c r="D37" s="448">
        <f>LN_IA17-LN_IA18</f>
        <v>393342517</v>
      </c>
      <c r="E37" s="448">
        <f>D37-C37</f>
        <v>22645368</v>
      </c>
      <c r="F37" s="449">
        <f>IF(C37=0,0,E37/C37)</f>
        <v>6.1088594992134669E-2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203037279</v>
      </c>
      <c r="D42" s="448">
        <v>207197243</v>
      </c>
      <c r="E42" s="448">
        <f t="shared" ref="E42:E53" si="4">D42-C42</f>
        <v>4159964</v>
      </c>
      <c r="F42" s="449">
        <f t="shared" ref="F42:F53" si="5">IF(C42=0,0,E42/C42)</f>
        <v>2.0488670949929347E-2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85221805</v>
      </c>
      <c r="D43" s="448">
        <v>90006753</v>
      </c>
      <c r="E43" s="448">
        <f t="shared" si="4"/>
        <v>4784948</v>
      </c>
      <c r="F43" s="449">
        <f t="shared" si="5"/>
        <v>5.614699195822008E-2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0.41973476703260981</v>
      </c>
      <c r="D44" s="453">
        <f>IF(LN_IB1=0,0,LN_IB2/LN_IB1)</f>
        <v>0.43440130619884743</v>
      </c>
      <c r="E44" s="454">
        <f t="shared" si="4"/>
        <v>1.4666539166237613E-2</v>
      </c>
      <c r="F44" s="449">
        <f t="shared" si="5"/>
        <v>3.4942397719220024E-2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7182</v>
      </c>
      <c r="D45" s="456">
        <v>7654</v>
      </c>
      <c r="E45" s="456">
        <f t="shared" si="4"/>
        <v>472</v>
      </c>
      <c r="F45" s="449">
        <f t="shared" si="5"/>
        <v>6.57198551935394E-2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0.90366999999999997</v>
      </c>
      <c r="D46" s="459">
        <v>0.90549999999999997</v>
      </c>
      <c r="E46" s="460">
        <f t="shared" si="4"/>
        <v>1.8299999999999983E-3</v>
      </c>
      <c r="F46" s="449">
        <f t="shared" si="5"/>
        <v>2.025075525357706E-3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6490.1579400000001</v>
      </c>
      <c r="D47" s="463">
        <f>LN_IB4*LN_IB5</f>
        <v>6930.6970000000001</v>
      </c>
      <c r="E47" s="463">
        <f t="shared" si="4"/>
        <v>440.53906000000006</v>
      </c>
      <c r="F47" s="449">
        <f t="shared" si="5"/>
        <v>6.7878018389179617E-2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13130.929291375611</v>
      </c>
      <c r="D48" s="465">
        <f>IF(LN_IB6=0,0,LN_IB2/LN_IB6)</f>
        <v>12986.68128183933</v>
      </c>
      <c r="E48" s="465">
        <f t="shared" si="4"/>
        <v>-144.24800953628073</v>
      </c>
      <c r="F48" s="449">
        <f t="shared" si="5"/>
        <v>-1.0985361838101037E-2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-4840.3106591506512</v>
      </c>
      <c r="D49" s="465">
        <f>LN_IA7-LN_IB7</f>
        <v>-5335.7438881264698</v>
      </c>
      <c r="E49" s="465">
        <f t="shared" si="4"/>
        <v>-495.43322897581857</v>
      </c>
      <c r="F49" s="449">
        <f t="shared" si="5"/>
        <v>0.10235566761385399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-31414380.656553231</v>
      </c>
      <c r="D50" s="479">
        <f>LN_IB8*LN_IB6</f>
        <v>-36980424.158206463</v>
      </c>
      <c r="E50" s="479">
        <f t="shared" si="4"/>
        <v>-5566043.5016532317</v>
      </c>
      <c r="F50" s="449">
        <f t="shared" si="5"/>
        <v>0.17718138589156368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25309</v>
      </c>
      <c r="D51" s="456">
        <v>24989</v>
      </c>
      <c r="E51" s="456">
        <f t="shared" si="4"/>
        <v>-320</v>
      </c>
      <c r="F51" s="449">
        <f t="shared" si="5"/>
        <v>-1.2643723576593307E-2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3367.2529534948044</v>
      </c>
      <c r="D52" s="465">
        <f>IF(LN_IB10=0,0,LN_IB2/LN_IB10)</f>
        <v>3601.8549361719156</v>
      </c>
      <c r="E52" s="465">
        <f t="shared" si="4"/>
        <v>234.60198267711121</v>
      </c>
      <c r="F52" s="449">
        <f t="shared" si="5"/>
        <v>6.9671624293512757E-2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3.5239487607908662</v>
      </c>
      <c r="D53" s="466">
        <f>IF(LN_IB4=0,0,LN_IB10/LN_IB4)</f>
        <v>3.2648288476613536</v>
      </c>
      <c r="E53" s="466">
        <f t="shared" si="4"/>
        <v>-0.25911991312951255</v>
      </c>
      <c r="F53" s="449">
        <f t="shared" si="5"/>
        <v>-7.3531123951802085E-2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410820526</v>
      </c>
      <c r="D56" s="448">
        <v>391634088</v>
      </c>
      <c r="E56" s="448">
        <f t="shared" ref="E56:E63" si="6">D56-C56</f>
        <v>-19186438</v>
      </c>
      <c r="F56" s="449">
        <f t="shared" ref="F56:F63" si="7">IF(C56=0,0,E56/C56)</f>
        <v>-4.6702724877967755E-2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151164090</v>
      </c>
      <c r="D57" s="448">
        <v>155932250</v>
      </c>
      <c r="E57" s="448">
        <f t="shared" si="6"/>
        <v>4768160</v>
      </c>
      <c r="F57" s="449">
        <f t="shared" si="7"/>
        <v>3.1542941183980933E-2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0.36795651734305018</v>
      </c>
      <c r="D58" s="453">
        <f>IF(LN_IB13=0,0,LN_IB14/LN_IB13)</f>
        <v>0.39815801223104974</v>
      </c>
      <c r="E58" s="454">
        <f t="shared" si="6"/>
        <v>3.0201494887999558E-2</v>
      </c>
      <c r="F58" s="449">
        <f t="shared" si="7"/>
        <v>8.2078977989245266E-2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2.0233748601408315</v>
      </c>
      <c r="D59" s="453">
        <f>IF(LN_IB1=0,0,LN_IB13/LN_IB1)</f>
        <v>1.8901510576566889</v>
      </c>
      <c r="E59" s="454">
        <f t="shared" si="6"/>
        <v>-0.13322380248414256</v>
      </c>
      <c r="F59" s="449">
        <f t="shared" si="7"/>
        <v>-6.5842373110670108E-2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14531.878245531452</v>
      </c>
      <c r="D60" s="463">
        <f>LN_IB16*LN_IB4</f>
        <v>14467.216195304296</v>
      </c>
      <c r="E60" s="463">
        <f t="shared" si="6"/>
        <v>-64.662050227156215</v>
      </c>
      <c r="F60" s="449">
        <f t="shared" si="7"/>
        <v>-4.4496691435630337E-3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10402.240333006019</v>
      </c>
      <c r="D61" s="465">
        <f>IF(LN_IB17=0,0,LN_IB14/LN_IB17)</f>
        <v>10778.317534966525</v>
      </c>
      <c r="E61" s="465">
        <f t="shared" si="6"/>
        <v>376.0772019605065</v>
      </c>
      <c r="F61" s="449">
        <f t="shared" si="7"/>
        <v>3.6153481357974783E-2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-2051.7744132488533</v>
      </c>
      <c r="D62" s="465">
        <f>LN_IA16-LN_IB18</f>
        <v>-2884.643658528279</v>
      </c>
      <c r="E62" s="465">
        <f t="shared" si="6"/>
        <v>-832.86924527942574</v>
      </c>
      <c r="F62" s="449">
        <f t="shared" si="7"/>
        <v>0.40592632401562639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-29816135.960629072</v>
      </c>
      <c r="D63" s="448">
        <f>LN_IB19*LN_IB17</f>
        <v>-41732763.454342157</v>
      </c>
      <c r="E63" s="448">
        <f t="shared" si="6"/>
        <v>-11916627.493713085</v>
      </c>
      <c r="F63" s="449">
        <f t="shared" si="7"/>
        <v>0.39967041703353112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613857805</v>
      </c>
      <c r="D66" s="448">
        <f>LN_IB1+LN_IB13</f>
        <v>598831331</v>
      </c>
      <c r="E66" s="448">
        <f>D66-C66</f>
        <v>-15026474</v>
      </c>
      <c r="F66" s="449">
        <f>IF(C66=0,0,E66/C66)</f>
        <v>-2.447875367488404E-2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236385895</v>
      </c>
      <c r="D67" s="448">
        <f>LN_IB2+LN_IB14</f>
        <v>245939003</v>
      </c>
      <c r="E67" s="448">
        <f>D67-C67</f>
        <v>9553108</v>
      </c>
      <c r="F67" s="449">
        <f>IF(C67=0,0,E67/C67)</f>
        <v>4.0413189627917519E-2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377471910</v>
      </c>
      <c r="D68" s="448">
        <f>LN_IB21-LN_IB22</f>
        <v>352892328</v>
      </c>
      <c r="E68" s="448">
        <f>D68-C68</f>
        <v>-24579582</v>
      </c>
      <c r="F68" s="449">
        <f>IF(C68=0,0,E68/C68)</f>
        <v>-6.5116320840933564E-2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-61230516.617182299</v>
      </c>
      <c r="D70" s="441">
        <f>LN_IB9+LN_IB20</f>
        <v>-78713187.61254862</v>
      </c>
      <c r="E70" s="448">
        <f>D70-C70</f>
        <v>-17482670.99536632</v>
      </c>
      <c r="F70" s="449">
        <f>IF(C70=0,0,E70/C70)</f>
        <v>0.28552218666827961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561179954</v>
      </c>
      <c r="D73" s="488">
        <v>550833535</v>
      </c>
      <c r="E73" s="488">
        <f>D73-C73</f>
        <v>-10346419</v>
      </c>
      <c r="F73" s="489">
        <f>IF(C73=0,0,E73/C73)</f>
        <v>-1.8436900545453196E-2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225546338</v>
      </c>
      <c r="D74" s="488">
        <v>232113196</v>
      </c>
      <c r="E74" s="488">
        <f>D74-C74</f>
        <v>6566858</v>
      </c>
      <c r="F74" s="489">
        <f>IF(C74=0,0,E74/C74)</f>
        <v>2.911533859618683E-2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335633616</v>
      </c>
      <c r="D76" s="441">
        <f>LN_IB32-LN_IB33</f>
        <v>318720339</v>
      </c>
      <c r="E76" s="488">
        <f>D76-C76</f>
        <v>-16913277</v>
      </c>
      <c r="F76" s="489">
        <f>IF(E76=0,0,E76/C76)</f>
        <v>-5.0392082895534519E-2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0.5980855403113704</v>
      </c>
      <c r="D77" s="453">
        <f>IF(LN_IB32=0,0,LN_IB34/LN_IB32)</f>
        <v>0.57861462447089396</v>
      </c>
      <c r="E77" s="493">
        <f>D77-C77</f>
        <v>-1.9470915840476444E-2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4687832</v>
      </c>
      <c r="D83" s="448">
        <v>4393306</v>
      </c>
      <c r="E83" s="448">
        <f t="shared" ref="E83:E95" si="8">D83-C83</f>
        <v>-294526</v>
      </c>
      <c r="F83" s="449">
        <f t="shared" ref="F83:F95" si="9">IF(C83=0,0,E83/C83)</f>
        <v>-6.2827763452273894E-2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246577</v>
      </c>
      <c r="D84" s="448">
        <v>2420412</v>
      </c>
      <c r="E84" s="448">
        <f t="shared" si="8"/>
        <v>2173835</v>
      </c>
      <c r="F84" s="449">
        <f t="shared" si="9"/>
        <v>8.8160493476682742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5.2599367895436525E-2</v>
      </c>
      <c r="D85" s="453">
        <f>IF(LN_IC1=0,0,LN_IC2/LN_IC1)</f>
        <v>0.55093180397632213</v>
      </c>
      <c r="E85" s="454">
        <f t="shared" si="8"/>
        <v>0.49833243608088562</v>
      </c>
      <c r="F85" s="449">
        <f t="shared" si="9"/>
        <v>9.4741145382494327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167</v>
      </c>
      <c r="D86" s="456">
        <v>234</v>
      </c>
      <c r="E86" s="456">
        <f t="shared" si="8"/>
        <v>67</v>
      </c>
      <c r="F86" s="449">
        <f t="shared" si="9"/>
        <v>0.40119760479041916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1.0280499999999999</v>
      </c>
      <c r="D87" s="459">
        <v>0.98980999999999997</v>
      </c>
      <c r="E87" s="460">
        <f t="shared" si="8"/>
        <v>-3.8239999999999941E-2</v>
      </c>
      <c r="F87" s="449">
        <f t="shared" si="9"/>
        <v>-3.7196634404941337E-2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171.68434999999999</v>
      </c>
      <c r="D88" s="463">
        <f>LN_IC4*LN_IC5</f>
        <v>231.61553999999998</v>
      </c>
      <c r="E88" s="463">
        <f t="shared" si="8"/>
        <v>59.931189999999987</v>
      </c>
      <c r="F88" s="449">
        <f t="shared" si="9"/>
        <v>0.34907776975595034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1436.2229288808212</v>
      </c>
      <c r="D89" s="465">
        <f>IF(LN_IC6=0,0,LN_IC2/LN_IC6)</f>
        <v>10450.127828210492</v>
      </c>
      <c r="E89" s="465">
        <f t="shared" si="8"/>
        <v>9013.904899329671</v>
      </c>
      <c r="F89" s="449">
        <f t="shared" si="9"/>
        <v>6.2761182251516967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11694.70636249479</v>
      </c>
      <c r="D90" s="465">
        <f>LN_IB7-LN_IC7</f>
        <v>2536.5534536288378</v>
      </c>
      <c r="E90" s="465">
        <f t="shared" si="8"/>
        <v>-9158.1529088659518</v>
      </c>
      <c r="F90" s="449">
        <f t="shared" si="9"/>
        <v>-0.78310242472067304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6854.3957033441384</v>
      </c>
      <c r="D91" s="465">
        <f>LN_IA7-LN_IC7</f>
        <v>-2799.1904344976319</v>
      </c>
      <c r="E91" s="465">
        <f t="shared" si="8"/>
        <v>-9653.5861378417703</v>
      </c>
      <c r="F91" s="449">
        <f t="shared" si="9"/>
        <v>-1.4083788791376541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1176792.4709714311</v>
      </c>
      <c r="D92" s="441">
        <f>LN_IC9*LN_IC6</f>
        <v>-648336.00404900359</v>
      </c>
      <c r="E92" s="441">
        <f t="shared" si="8"/>
        <v>-1825128.4750204347</v>
      </c>
      <c r="F92" s="449">
        <f t="shared" si="9"/>
        <v>-1.5509348674824612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515</v>
      </c>
      <c r="D93" s="456">
        <v>716</v>
      </c>
      <c r="E93" s="456">
        <f t="shared" si="8"/>
        <v>201</v>
      </c>
      <c r="F93" s="449">
        <f t="shared" si="9"/>
        <v>0.39029126213592236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478.7902912621359</v>
      </c>
      <c r="D94" s="499">
        <f>IF(LN_IC11=0,0,LN_IC2/LN_IC11)</f>
        <v>3380.4636871508378</v>
      </c>
      <c r="E94" s="499">
        <f t="shared" si="8"/>
        <v>2901.6733958887021</v>
      </c>
      <c r="F94" s="449">
        <f t="shared" si="9"/>
        <v>6.0604265559345833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3.0838323353293413</v>
      </c>
      <c r="D95" s="466">
        <f>IF(LN_IC4=0,0,LN_IC11/LN_IC4)</f>
        <v>3.0598290598290596</v>
      </c>
      <c r="E95" s="466">
        <f t="shared" si="8"/>
        <v>-2.4003275500281696E-2</v>
      </c>
      <c r="F95" s="449">
        <f t="shared" si="9"/>
        <v>-7.7835864243631907E-3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26018038</v>
      </c>
      <c r="D98" s="448">
        <v>24491778</v>
      </c>
      <c r="E98" s="448">
        <f t="shared" ref="E98:E106" si="10">D98-C98</f>
        <v>-1526260</v>
      </c>
      <c r="F98" s="449">
        <f t="shared" ref="F98:F106" si="11">IF(C98=0,0,E98/C98)</f>
        <v>-5.8661610072212211E-2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1714362</v>
      </c>
      <c r="D99" s="448">
        <v>1721063</v>
      </c>
      <c r="E99" s="448">
        <f t="shared" si="10"/>
        <v>6701</v>
      </c>
      <c r="F99" s="449">
        <f t="shared" si="11"/>
        <v>3.9087427276152881E-3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6.5891286652744532E-2</v>
      </c>
      <c r="D100" s="453">
        <f>IF(LN_IC14=0,0,LN_IC15/LN_IC14)</f>
        <v>7.0271051779090932E-2</v>
      </c>
      <c r="E100" s="454">
        <f t="shared" si="10"/>
        <v>4.3797651263463994E-3</v>
      </c>
      <c r="F100" s="449">
        <f t="shared" si="11"/>
        <v>6.6469564472588297E-2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5.5501216767153769</v>
      </c>
      <c r="D101" s="453">
        <f>IF(LN_IC1=0,0,LN_IC14/LN_IC1)</f>
        <v>5.5747944714071815</v>
      </c>
      <c r="E101" s="454">
        <f t="shared" si="10"/>
        <v>2.4672794691804611E-2</v>
      </c>
      <c r="F101" s="449">
        <f t="shared" si="11"/>
        <v>4.4454511322364818E-3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926.87032001146792</v>
      </c>
      <c r="D102" s="463">
        <f>LN_IC17*LN_IC4</f>
        <v>1304.5019063092805</v>
      </c>
      <c r="E102" s="463">
        <f t="shared" si="10"/>
        <v>377.63158629781253</v>
      </c>
      <c r="F102" s="449">
        <f t="shared" si="11"/>
        <v>0.40742656026912177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1849.6244436641241</v>
      </c>
      <c r="D103" s="465">
        <f>IF(LN_IC18=0,0,LN_IC15/LN_IC18)</f>
        <v>1319.3257837922686</v>
      </c>
      <c r="E103" s="465">
        <f t="shared" si="10"/>
        <v>-530.29865987185553</v>
      </c>
      <c r="F103" s="449">
        <f t="shared" si="11"/>
        <v>-0.28670612658066341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8552.6158893418942</v>
      </c>
      <c r="D104" s="465">
        <f>LN_IB18-LN_IC19</f>
        <v>9458.9917511742569</v>
      </c>
      <c r="E104" s="465">
        <f t="shared" si="10"/>
        <v>906.37586183236272</v>
      </c>
      <c r="F104" s="449">
        <f t="shared" si="11"/>
        <v>0.10597644902559823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6500.8414760930409</v>
      </c>
      <c r="D105" s="465">
        <f>LN_IA16-LN_IC19</f>
        <v>6574.3480926459779</v>
      </c>
      <c r="E105" s="465">
        <f t="shared" si="10"/>
        <v>73.506616552936975</v>
      </c>
      <c r="F105" s="449">
        <f t="shared" si="11"/>
        <v>1.1307246426983161E-2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6025437.0192901799</v>
      </c>
      <c r="D106" s="448">
        <f>LN_IC21*LN_IC18</f>
        <v>8576249.6195974592</v>
      </c>
      <c r="E106" s="448">
        <f t="shared" si="10"/>
        <v>2550812.6003072793</v>
      </c>
      <c r="F106" s="449">
        <f t="shared" si="11"/>
        <v>0.42334067921396595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30705870</v>
      </c>
      <c r="D109" s="448">
        <f>LN_IC1+LN_IC14</f>
        <v>28885084</v>
      </c>
      <c r="E109" s="448">
        <f>D109-C109</f>
        <v>-1820786</v>
      </c>
      <c r="F109" s="449">
        <f>IF(C109=0,0,E109/C109)</f>
        <v>-5.9297652207867743E-2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1960939</v>
      </c>
      <c r="D110" s="448">
        <f>LN_IC2+LN_IC15</f>
        <v>4141475</v>
      </c>
      <c r="E110" s="448">
        <f>D110-C110</f>
        <v>2180536</v>
      </c>
      <c r="F110" s="449">
        <f>IF(C110=0,0,E110/C110)</f>
        <v>1.1119856354532192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28744931</v>
      </c>
      <c r="D111" s="448">
        <f>LN_IC23-LN_IC24</f>
        <v>24743609</v>
      </c>
      <c r="E111" s="448">
        <f>D111-C111</f>
        <v>-4001322</v>
      </c>
      <c r="F111" s="449">
        <f>IF(C111=0,0,E111/C111)</f>
        <v>-0.13920096033627632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7202229.4902616106</v>
      </c>
      <c r="D113" s="448">
        <f>LN_IC10+LN_IC22</f>
        <v>7927913.6155484561</v>
      </c>
      <c r="E113" s="448">
        <f>D113-C113</f>
        <v>725684.12528684549</v>
      </c>
      <c r="F113" s="449">
        <f>IF(C113=0,0,E113/C113)</f>
        <v>0.10075826190599295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12504838</v>
      </c>
      <c r="D118" s="448">
        <v>14294353</v>
      </c>
      <c r="E118" s="448">
        <f t="shared" ref="E118:E130" si="12">D118-C118</f>
        <v>1789515</v>
      </c>
      <c r="F118" s="449">
        <f t="shared" ref="F118:F130" si="13">IF(C118=0,0,E118/C118)</f>
        <v>0.14310581232639719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3773460</v>
      </c>
      <c r="D119" s="448">
        <v>2546966</v>
      </c>
      <c r="E119" s="448">
        <f t="shared" si="12"/>
        <v>-1226494</v>
      </c>
      <c r="F119" s="449">
        <f t="shared" si="13"/>
        <v>-0.32503166854822896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0.30176000680696541</v>
      </c>
      <c r="D120" s="453">
        <f>IF(LN_ID1=0,0,LN_1D2/LN_ID1)</f>
        <v>0.17817987284908943</v>
      </c>
      <c r="E120" s="454">
        <f t="shared" si="12"/>
        <v>-0.12358013395787598</v>
      </c>
      <c r="F120" s="449">
        <f t="shared" si="13"/>
        <v>-0.40953118760011714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416</v>
      </c>
      <c r="D121" s="456">
        <v>470</v>
      </c>
      <c r="E121" s="456">
        <f t="shared" si="12"/>
        <v>54</v>
      </c>
      <c r="F121" s="449">
        <f t="shared" si="13"/>
        <v>0.12980769230769232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0.99914999999999998</v>
      </c>
      <c r="D122" s="459">
        <v>1.0079400000000001</v>
      </c>
      <c r="E122" s="460">
        <f t="shared" si="12"/>
        <v>8.7900000000000755E-3</v>
      </c>
      <c r="F122" s="449">
        <f t="shared" si="13"/>
        <v>8.7974778561778263E-3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415.64639999999997</v>
      </c>
      <c r="D123" s="463">
        <f>LN_ID4*LN_ID5</f>
        <v>473.73180000000002</v>
      </c>
      <c r="E123" s="463">
        <f t="shared" si="12"/>
        <v>58.08540000000005</v>
      </c>
      <c r="F123" s="449">
        <f t="shared" si="13"/>
        <v>0.13974715046250866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9078.5340616447065</v>
      </c>
      <c r="D124" s="465">
        <f>IF(LN_ID6=0,0,LN_1D2/LN_ID6)</f>
        <v>5376.3880744336775</v>
      </c>
      <c r="E124" s="465">
        <f t="shared" si="12"/>
        <v>-3702.145987211029</v>
      </c>
      <c r="F124" s="449">
        <f t="shared" si="13"/>
        <v>-0.40779116563014056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4052.3952297309042</v>
      </c>
      <c r="D125" s="465">
        <f>LN_IB7-LN_ID7</f>
        <v>7610.2932074056525</v>
      </c>
      <c r="E125" s="465">
        <f t="shared" si="12"/>
        <v>3557.8979776747483</v>
      </c>
      <c r="F125" s="449">
        <f t="shared" si="13"/>
        <v>0.87797408100073382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-787.91542941974694</v>
      </c>
      <c r="D126" s="465">
        <f>LN_IA7-LN_ID7</f>
        <v>2274.5493192791828</v>
      </c>
      <c r="E126" s="465">
        <f t="shared" si="12"/>
        <v>3062.4647486989297</v>
      </c>
      <c r="F126" s="449">
        <f t="shared" si="13"/>
        <v>-3.8867937272839721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-327494.21174277191</v>
      </c>
      <c r="D127" s="479">
        <f>LN_ID9*LN_ID6</f>
        <v>1077526.3432109021</v>
      </c>
      <c r="E127" s="479">
        <f t="shared" si="12"/>
        <v>1405020.5549536739</v>
      </c>
      <c r="F127" s="449">
        <f t="shared" si="13"/>
        <v>-4.2902149246449515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1607</v>
      </c>
      <c r="D128" s="456">
        <v>1861</v>
      </c>
      <c r="E128" s="456">
        <f t="shared" si="12"/>
        <v>254</v>
      </c>
      <c r="F128" s="449">
        <f t="shared" si="13"/>
        <v>0.15805849408836342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2348.1393901680149</v>
      </c>
      <c r="D129" s="465">
        <f>IF(LN_ID11=0,0,LN_1D2/LN_ID11)</f>
        <v>1368.6007522837185</v>
      </c>
      <c r="E129" s="465">
        <f t="shared" si="12"/>
        <v>-979.53863788429635</v>
      </c>
      <c r="F129" s="449">
        <f t="shared" si="13"/>
        <v>-0.41715523447447816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3.8629807692307692</v>
      </c>
      <c r="D130" s="466">
        <f>IF(LN_ID4=0,0,LN_ID11/LN_ID4)</f>
        <v>3.9595744680851066</v>
      </c>
      <c r="E130" s="466">
        <f t="shared" si="12"/>
        <v>9.659369885433744E-2</v>
      </c>
      <c r="F130" s="449">
        <f t="shared" si="13"/>
        <v>2.5004964980338752E-2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28889349</v>
      </c>
      <c r="D133" s="448">
        <v>34932154</v>
      </c>
      <c r="E133" s="448">
        <f t="shared" ref="E133:E141" si="14">D133-C133</f>
        <v>6042805</v>
      </c>
      <c r="F133" s="449">
        <f t="shared" ref="F133:F141" si="15">IF(C133=0,0,E133/C133)</f>
        <v>0.20917068778531492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4681630</v>
      </c>
      <c r="D134" s="448">
        <v>5682064</v>
      </c>
      <c r="E134" s="448">
        <f t="shared" si="14"/>
        <v>1000434</v>
      </c>
      <c r="F134" s="449">
        <f t="shared" si="15"/>
        <v>0.21369352127357352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0.16205384205784631</v>
      </c>
      <c r="D135" s="453">
        <f>IF(LN_ID14=0,0,LN_ID15/LN_ID14)</f>
        <v>0.1626599951437292</v>
      </c>
      <c r="E135" s="454">
        <f t="shared" si="14"/>
        <v>6.061530858828823E-4</v>
      </c>
      <c r="F135" s="449">
        <f t="shared" si="15"/>
        <v>3.7404425478941221E-3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2.3102537593849677</v>
      </c>
      <c r="D136" s="453">
        <f>IF(LN_ID1=0,0,LN_ID14/LN_ID1)</f>
        <v>2.4437730060255265</v>
      </c>
      <c r="E136" s="454">
        <f t="shared" si="14"/>
        <v>0.13351924664055881</v>
      </c>
      <c r="F136" s="449">
        <f t="shared" si="15"/>
        <v>5.7794190832137896E-2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961.06556390414653</v>
      </c>
      <c r="D137" s="463">
        <f>LN_ID17*LN_ID4</f>
        <v>1148.5733128319976</v>
      </c>
      <c r="E137" s="463">
        <f t="shared" si="14"/>
        <v>187.50774892785103</v>
      </c>
      <c r="F137" s="449">
        <f t="shared" si="15"/>
        <v>0.19510401368054056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4871.2909668532566</v>
      </c>
      <c r="D138" s="465">
        <f>IF(LN_ID18=0,0,LN_ID15/LN_ID18)</f>
        <v>4947.0625309845755</v>
      </c>
      <c r="E138" s="465">
        <f t="shared" si="14"/>
        <v>75.771564131318883</v>
      </c>
      <c r="F138" s="449">
        <f t="shared" si="15"/>
        <v>1.5554719405370605E-2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5530.9493661527622</v>
      </c>
      <c r="D139" s="465">
        <f>LN_IB18-LN_ID19</f>
        <v>5831.2550039819498</v>
      </c>
      <c r="E139" s="465">
        <f t="shared" si="14"/>
        <v>300.30563782918762</v>
      </c>
      <c r="F139" s="449">
        <f t="shared" si="15"/>
        <v>5.429549575466016E-2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3479.1749529039089</v>
      </c>
      <c r="D140" s="465">
        <f>LN_IA16-LN_ID19</f>
        <v>2946.6113454536708</v>
      </c>
      <c r="E140" s="465">
        <f t="shared" si="14"/>
        <v>-532.56360745023812</v>
      </c>
      <c r="F140" s="449">
        <f t="shared" si="15"/>
        <v>-0.15307181002948173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3343715.2380337776</v>
      </c>
      <c r="D141" s="441">
        <f>LN_ID21*LN_ID18</f>
        <v>3384399.1546760723</v>
      </c>
      <c r="E141" s="441">
        <f t="shared" si="14"/>
        <v>40683.916642294731</v>
      </c>
      <c r="F141" s="449">
        <f t="shared" si="15"/>
        <v>1.2167279132961785E-2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41394187</v>
      </c>
      <c r="D144" s="448">
        <f>LN_ID1+LN_ID14</f>
        <v>49226507</v>
      </c>
      <c r="E144" s="448">
        <f>D144-C144</f>
        <v>7832320</v>
      </c>
      <c r="F144" s="449">
        <f>IF(C144=0,0,E144/C144)</f>
        <v>0.1892130409518612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8455090</v>
      </c>
      <c r="D145" s="448">
        <f>LN_1D2+LN_ID15</f>
        <v>8229030</v>
      </c>
      <c r="E145" s="448">
        <f>D145-C145</f>
        <v>-226060</v>
      </c>
      <c r="F145" s="449">
        <f>IF(C145=0,0,E145/C145)</f>
        <v>-2.6736557505597221E-2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32939097</v>
      </c>
      <c r="D146" s="448">
        <f>LN_ID23-LN_ID24</f>
        <v>40997477</v>
      </c>
      <c r="E146" s="448">
        <f>D146-C146</f>
        <v>8058380</v>
      </c>
      <c r="F146" s="449">
        <f>IF(C146=0,0,E146/C146)</f>
        <v>0.24464483649931265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3016221.0262910058</v>
      </c>
      <c r="D148" s="448">
        <f>LN_ID10+LN_ID22</f>
        <v>4461925.4978869744</v>
      </c>
      <c r="E148" s="448">
        <f>D148-C148</f>
        <v>1445704.4715959686</v>
      </c>
      <c r="F148" s="503">
        <f>IF(C148=0,0,E148/C148)</f>
        <v>0.47930985792965114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13188120</v>
      </c>
      <c r="D153" s="448">
        <v>13046673</v>
      </c>
      <c r="E153" s="448">
        <f t="shared" ref="E153:E165" si="16">D153-C153</f>
        <v>-141447</v>
      </c>
      <c r="F153" s="449">
        <f t="shared" ref="F153:F165" si="17">IF(C153=0,0,E153/C153)</f>
        <v>-1.0725334619339224E-2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1588092</v>
      </c>
      <c r="D154" s="448">
        <v>2855625</v>
      </c>
      <c r="E154" s="448">
        <f t="shared" si="16"/>
        <v>1267533</v>
      </c>
      <c r="F154" s="449">
        <f t="shared" si="17"/>
        <v>0.79814834405059654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0.120418376538885</v>
      </c>
      <c r="D155" s="453">
        <f>IF(LN_IE1=0,0,LN_IE2/LN_IE1)</f>
        <v>0.21887764029956142</v>
      </c>
      <c r="E155" s="454">
        <f t="shared" si="16"/>
        <v>9.8459263760676416E-2</v>
      </c>
      <c r="F155" s="449">
        <f t="shared" si="17"/>
        <v>0.81764317532451003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381</v>
      </c>
      <c r="D156" s="506">
        <v>443</v>
      </c>
      <c r="E156" s="506">
        <f t="shared" si="16"/>
        <v>62</v>
      </c>
      <c r="F156" s="449">
        <f t="shared" si="17"/>
        <v>0.16272965879265092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1.1597200000000001</v>
      </c>
      <c r="D157" s="459">
        <v>1.0054799999999999</v>
      </c>
      <c r="E157" s="460">
        <f t="shared" si="16"/>
        <v>-0.15424000000000015</v>
      </c>
      <c r="F157" s="449">
        <f t="shared" si="17"/>
        <v>-0.13299762011520033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441.85332000000005</v>
      </c>
      <c r="D158" s="463">
        <f>LN_IE4*LN_IE5</f>
        <v>445.42764</v>
      </c>
      <c r="E158" s="463">
        <f t="shared" si="16"/>
        <v>3.5743199999999433</v>
      </c>
      <c r="F158" s="449">
        <f t="shared" si="17"/>
        <v>8.0893813358694309E-3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3594.1610668445351</v>
      </c>
      <c r="D159" s="465">
        <f>IF(LN_IE6=0,0,LN_IE2/LN_IE6)</f>
        <v>6410.9739575209114</v>
      </c>
      <c r="E159" s="465">
        <f t="shared" si="16"/>
        <v>2816.8128906763764</v>
      </c>
      <c r="F159" s="449">
        <f t="shared" si="17"/>
        <v>0.78371915957271632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9536.7682245310752</v>
      </c>
      <c r="D160" s="465">
        <f>LN_IB7-LN_IE7</f>
        <v>6575.7073243184186</v>
      </c>
      <c r="E160" s="465">
        <f t="shared" si="16"/>
        <v>-2961.0609002126566</v>
      </c>
      <c r="F160" s="449">
        <f t="shared" si="17"/>
        <v>-0.31048892355337204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4696.4575653804241</v>
      </c>
      <c r="D161" s="465">
        <f>LN_IA7-LN_IE7</f>
        <v>1239.9634361919489</v>
      </c>
      <c r="E161" s="465">
        <f t="shared" si="16"/>
        <v>-3456.4941291884752</v>
      </c>
      <c r="F161" s="449">
        <f t="shared" si="17"/>
        <v>-0.73597899716325688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2075145.3675024577</v>
      </c>
      <c r="D162" s="479">
        <f>LN_IE9*LN_IE6</f>
        <v>552313.98706927034</v>
      </c>
      <c r="E162" s="479">
        <f t="shared" si="16"/>
        <v>-1522831.3804331874</v>
      </c>
      <c r="F162" s="449">
        <f t="shared" si="17"/>
        <v>-0.73384323059063172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1599</v>
      </c>
      <c r="D163" s="456">
        <v>1607</v>
      </c>
      <c r="E163" s="506">
        <f t="shared" si="16"/>
        <v>8</v>
      </c>
      <c r="F163" s="449">
        <f t="shared" si="17"/>
        <v>5.0031269543464665E-3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993.17823639774861</v>
      </c>
      <c r="D164" s="465">
        <f>IF(LN_IE11=0,0,LN_IE2/LN_IE11)</f>
        <v>1776.991288114499</v>
      </c>
      <c r="E164" s="465">
        <f t="shared" si="16"/>
        <v>783.81305171675035</v>
      </c>
      <c r="F164" s="449">
        <f t="shared" si="17"/>
        <v>0.78919676548656115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4.1968503937007871</v>
      </c>
      <c r="D165" s="466">
        <f>IF(LN_IE4=0,0,LN_IE11/LN_IE4)</f>
        <v>3.6275395033860045</v>
      </c>
      <c r="E165" s="466">
        <f t="shared" si="16"/>
        <v>-0.56931089031478255</v>
      </c>
      <c r="F165" s="449">
        <f t="shared" si="17"/>
        <v>-0.13565193821759361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14626542</v>
      </c>
      <c r="D168" s="511">
        <v>17742228</v>
      </c>
      <c r="E168" s="511">
        <f t="shared" ref="E168:E176" si="18">D168-C168</f>
        <v>3115686</v>
      </c>
      <c r="F168" s="449">
        <f t="shared" ref="F168:F176" si="19">IF(C168=0,0,E168/C168)</f>
        <v>0.21301589945183216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2079011</v>
      </c>
      <c r="D169" s="511">
        <v>2429597</v>
      </c>
      <c r="E169" s="511">
        <f t="shared" si="18"/>
        <v>350586</v>
      </c>
      <c r="F169" s="449">
        <f t="shared" si="19"/>
        <v>0.16863114240376795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0.14213961167308034</v>
      </c>
      <c r="D170" s="453">
        <f>IF(LN_IE14=0,0,LN_IE15/LN_IE14)</f>
        <v>0.13693866407308034</v>
      </c>
      <c r="E170" s="454">
        <f t="shared" si="18"/>
        <v>-5.2009476000000054E-3</v>
      </c>
      <c r="F170" s="449">
        <f t="shared" si="19"/>
        <v>-3.6590416554409422E-2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1.1090695262099526</v>
      </c>
      <c r="D171" s="453">
        <f>IF(LN_IE1=0,0,LN_IE14/LN_IE1)</f>
        <v>1.3599043986156472</v>
      </c>
      <c r="E171" s="454">
        <f t="shared" si="18"/>
        <v>0.25083487240569458</v>
      </c>
      <c r="F171" s="449">
        <f t="shared" si="19"/>
        <v>0.22616695029289827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422.55548948599193</v>
      </c>
      <c r="D172" s="463">
        <f>LN_IE17*LN_IE4</f>
        <v>602.43764858673171</v>
      </c>
      <c r="E172" s="463">
        <f t="shared" si="18"/>
        <v>179.88215910073978</v>
      </c>
      <c r="F172" s="449">
        <f t="shared" si="19"/>
        <v>0.42570067973688702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4920.089909443529</v>
      </c>
      <c r="D173" s="465">
        <f>IF(LN_IE18=0,0,LN_IE15/LN_IE18)</f>
        <v>4032.9435016215057</v>
      </c>
      <c r="E173" s="465">
        <f t="shared" si="18"/>
        <v>-887.14640782202332</v>
      </c>
      <c r="F173" s="449">
        <f t="shared" si="19"/>
        <v>-0.18031101547946329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5482.1504235624898</v>
      </c>
      <c r="D174" s="465">
        <f>LN_IB18-LN_IE19</f>
        <v>6745.3740333450196</v>
      </c>
      <c r="E174" s="465">
        <f t="shared" si="18"/>
        <v>1263.2236097825298</v>
      </c>
      <c r="F174" s="449">
        <f t="shared" si="19"/>
        <v>0.23042483554503485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3430.3760103136365</v>
      </c>
      <c r="D175" s="465">
        <f>LN_IA16-LN_IE19</f>
        <v>3860.7303748167406</v>
      </c>
      <c r="E175" s="465">
        <f t="shared" si="18"/>
        <v>430.35436450310408</v>
      </c>
      <c r="F175" s="449">
        <f t="shared" si="19"/>
        <v>0.12545399198490698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1449524.2141590829</v>
      </c>
      <c r="D176" s="441">
        <f>LN_IE21*LN_IE18</f>
        <v>2325849.3288319684</v>
      </c>
      <c r="E176" s="441">
        <f t="shared" si="18"/>
        <v>876325.11467288551</v>
      </c>
      <c r="F176" s="449">
        <f t="shared" si="19"/>
        <v>0.60456052138547467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27814662</v>
      </c>
      <c r="D179" s="448">
        <f>LN_IE1+LN_IE14</f>
        <v>30788901</v>
      </c>
      <c r="E179" s="448">
        <f>D179-C179</f>
        <v>2974239</v>
      </c>
      <c r="F179" s="449">
        <f>IF(C179=0,0,E179/C179)</f>
        <v>0.10693061810350239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3667103</v>
      </c>
      <c r="D180" s="448">
        <f>LN_IE15+LN_IE2</f>
        <v>5285222</v>
      </c>
      <c r="E180" s="448">
        <f>D180-C180</f>
        <v>1618119</v>
      </c>
      <c r="F180" s="449">
        <f>IF(C180=0,0,E180/C180)</f>
        <v>0.44125267275012453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24147559</v>
      </c>
      <c r="D181" s="448">
        <f>LN_IE23-LN_IE24</f>
        <v>25503679</v>
      </c>
      <c r="E181" s="448">
        <f>D181-C181</f>
        <v>1356120</v>
      </c>
      <c r="F181" s="449">
        <f>IF(C181=0,0,E181/C181)</f>
        <v>5.6159713700254341E-2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3524669.5816615405</v>
      </c>
      <c r="D183" s="448">
        <f>LN_IE10+LN_IE22</f>
        <v>2878163.3159012385</v>
      </c>
      <c r="E183" s="441">
        <f>D183-C183</f>
        <v>-646506.26576030208</v>
      </c>
      <c r="F183" s="449">
        <f>IF(C183=0,0,E183/C183)</f>
        <v>-0.18342322614409062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25692958</v>
      </c>
      <c r="D188" s="448">
        <f>LN_ID1+LN_IE1</f>
        <v>27341026</v>
      </c>
      <c r="E188" s="448">
        <f t="shared" ref="E188:E200" si="20">D188-C188</f>
        <v>1648068</v>
      </c>
      <c r="F188" s="449">
        <f t="shared" ref="F188:F200" si="21">IF(C188=0,0,E188/C188)</f>
        <v>6.4144735689833768E-2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5361552</v>
      </c>
      <c r="D189" s="448">
        <f>LN_1D2+LN_IE2</f>
        <v>5402591</v>
      </c>
      <c r="E189" s="448">
        <f t="shared" si="20"/>
        <v>41039</v>
      </c>
      <c r="F189" s="449">
        <f t="shared" si="21"/>
        <v>7.6543135271279657E-3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0.2086778797521095</v>
      </c>
      <c r="D190" s="453">
        <f>IF(LN_IF1=0,0,LN_IF2/LN_IF1)</f>
        <v>0.19760015589758775</v>
      </c>
      <c r="E190" s="454">
        <f t="shared" si="20"/>
        <v>-1.1077723854521743E-2</v>
      </c>
      <c r="F190" s="449">
        <f t="shared" si="21"/>
        <v>-5.3085280853347176E-2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797</v>
      </c>
      <c r="D191" s="456">
        <f>LN_ID4+LN_IE4</f>
        <v>913</v>
      </c>
      <c r="E191" s="456">
        <f t="shared" si="20"/>
        <v>116</v>
      </c>
      <c r="F191" s="449">
        <f t="shared" si="21"/>
        <v>0.14554579673776663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1.0759093099121706</v>
      </c>
      <c r="D192" s="459">
        <f>IF((LN_ID4+LN_IE4)=0,0,(LN_ID6+LN_IE6)/(LN_ID4+LN_IE4))</f>
        <v>1.0067463745892662</v>
      </c>
      <c r="E192" s="460">
        <f t="shared" si="20"/>
        <v>-6.9162935322904406E-2</v>
      </c>
      <c r="F192" s="449">
        <f t="shared" si="21"/>
        <v>-6.4283239010684237E-2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857.49972000000002</v>
      </c>
      <c r="D193" s="463">
        <f>LN_IF4*LN_IF5</f>
        <v>919.15944000000002</v>
      </c>
      <c r="E193" s="463">
        <f t="shared" si="20"/>
        <v>61.659719999999993</v>
      </c>
      <c r="F193" s="449">
        <f t="shared" si="21"/>
        <v>7.1906402488387977E-2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6252.5408171561849</v>
      </c>
      <c r="D194" s="465">
        <f>IF(LN_IF6=0,0,LN_IF2/LN_IF6)</f>
        <v>5877.7517423962918</v>
      </c>
      <c r="E194" s="465">
        <f t="shared" si="20"/>
        <v>-374.78907475989308</v>
      </c>
      <c r="F194" s="449">
        <f t="shared" si="21"/>
        <v>-5.9941883742928803E-2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6878.3884742194259</v>
      </c>
      <c r="D195" s="465">
        <f>LN_IB7-LN_IF7</f>
        <v>7108.9295394430383</v>
      </c>
      <c r="E195" s="465">
        <f t="shared" si="20"/>
        <v>230.54106522361235</v>
      </c>
      <c r="F195" s="449">
        <f t="shared" si="21"/>
        <v>3.3516726495994346E-2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2038.0778150687747</v>
      </c>
      <c r="D196" s="465">
        <f>LN_IA7-LN_IF7</f>
        <v>1773.1856513165685</v>
      </c>
      <c r="E196" s="465">
        <f t="shared" si="20"/>
        <v>-264.89216375220622</v>
      </c>
      <c r="F196" s="449">
        <f t="shared" si="21"/>
        <v>-0.12997156526296197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1747651.1557596857</v>
      </c>
      <c r="D197" s="479">
        <f>LN_IF9*LN_IF6</f>
        <v>1629840.3302801724</v>
      </c>
      <c r="E197" s="479">
        <f t="shared" si="20"/>
        <v>-117810.82547951327</v>
      </c>
      <c r="F197" s="449">
        <f t="shared" si="21"/>
        <v>-6.7410950458418079E-2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3206</v>
      </c>
      <c r="D198" s="456">
        <f>LN_ID11+LN_IE11</f>
        <v>3468</v>
      </c>
      <c r="E198" s="456">
        <f t="shared" si="20"/>
        <v>262</v>
      </c>
      <c r="F198" s="449">
        <f t="shared" si="21"/>
        <v>8.1721771678103558E-2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1672.3493449781658</v>
      </c>
      <c r="D199" s="519">
        <f>IF(LN_IF11=0,0,LN_IF2/LN_IF11)</f>
        <v>1557.8405420991926</v>
      </c>
      <c r="E199" s="519">
        <f t="shared" si="20"/>
        <v>-114.50880287897326</v>
      </c>
      <c r="F199" s="449">
        <f t="shared" si="21"/>
        <v>-6.8471819732418573E-2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4.0225846925972393</v>
      </c>
      <c r="D200" s="466">
        <f>IF(LN_IF4=0,0,LN_IF11/LN_IF4)</f>
        <v>3.7984665936473165</v>
      </c>
      <c r="E200" s="466">
        <f t="shared" si="20"/>
        <v>-0.22411809894992274</v>
      </c>
      <c r="F200" s="449">
        <f t="shared" si="21"/>
        <v>-5.5714948491293964E-2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43515891</v>
      </c>
      <c r="D203" s="448">
        <f>LN_ID14+LN_IE14</f>
        <v>52674382</v>
      </c>
      <c r="E203" s="448">
        <f t="shared" ref="E203:E211" si="22">D203-C203</f>
        <v>9158491</v>
      </c>
      <c r="F203" s="449">
        <f t="shared" ref="F203:F211" si="23">IF(C203=0,0,E203/C203)</f>
        <v>0.2104631386267605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6760641</v>
      </c>
      <c r="D204" s="448">
        <f>LN_ID15+LN_IE15</f>
        <v>8111661</v>
      </c>
      <c r="E204" s="448">
        <f t="shared" si="22"/>
        <v>1351020</v>
      </c>
      <c r="F204" s="449">
        <f t="shared" si="23"/>
        <v>0.19983608063199923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0.15536027976538502</v>
      </c>
      <c r="D205" s="453">
        <f>IF(LN_IF14=0,0,LN_IF15/LN_IF14)</f>
        <v>0.15399632026057752</v>
      </c>
      <c r="E205" s="454">
        <f t="shared" si="22"/>
        <v>-1.3639595048074993E-3</v>
      </c>
      <c r="F205" s="449">
        <f t="shared" si="23"/>
        <v>-8.7793321875273538E-3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1.6936894148194226</v>
      </c>
      <c r="D206" s="453">
        <f>IF(LN_IF1=0,0,LN_IF14/LN_IF1)</f>
        <v>1.9265693247941755</v>
      </c>
      <c r="E206" s="454">
        <f t="shared" si="22"/>
        <v>0.23287990997475294</v>
      </c>
      <c r="F206" s="449">
        <f t="shared" si="23"/>
        <v>0.13749859208961407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1383.6210533901385</v>
      </c>
      <c r="D207" s="463">
        <f>LN_ID18+LN_IE18</f>
        <v>1751.0109614187293</v>
      </c>
      <c r="E207" s="463">
        <f t="shared" si="22"/>
        <v>367.38990802859075</v>
      </c>
      <c r="F207" s="449">
        <f t="shared" si="23"/>
        <v>0.26552783880269426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4886.1940799723488</v>
      </c>
      <c r="D208" s="465">
        <f>IF(LN_IF18=0,0,LN_IF15/LN_IF18)</f>
        <v>4632.55866395471</v>
      </c>
      <c r="E208" s="465">
        <f t="shared" si="22"/>
        <v>-253.63541601763882</v>
      </c>
      <c r="F208" s="449">
        <f t="shared" si="23"/>
        <v>-5.1908584036243224E-2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5516.0462530336699</v>
      </c>
      <c r="D209" s="465">
        <f>LN_IB18-LN_IF19</f>
        <v>6145.7588710118152</v>
      </c>
      <c r="E209" s="465">
        <f t="shared" si="22"/>
        <v>629.71261797814532</v>
      </c>
      <c r="F209" s="449">
        <f t="shared" si="23"/>
        <v>0.1141601409944344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3464.2718397848166</v>
      </c>
      <c r="D210" s="465">
        <f>LN_IA16-LN_IF19</f>
        <v>3261.1152124835362</v>
      </c>
      <c r="E210" s="465">
        <f t="shared" si="22"/>
        <v>-203.15662730128042</v>
      </c>
      <c r="F210" s="449">
        <f t="shared" si="23"/>
        <v>-5.8643385016199971E-2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4793239.4521928607</v>
      </c>
      <c r="D211" s="441">
        <f>LN_IF21*LN_IF18</f>
        <v>5710248.4835080402</v>
      </c>
      <c r="E211" s="441">
        <f t="shared" si="22"/>
        <v>917009.03131517954</v>
      </c>
      <c r="F211" s="449">
        <f t="shared" si="23"/>
        <v>0.19131300250306851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69208849</v>
      </c>
      <c r="D214" s="448">
        <f>LN_IF1+LN_IF14</f>
        <v>80015408</v>
      </c>
      <c r="E214" s="448">
        <f>D214-C214</f>
        <v>10806559</v>
      </c>
      <c r="F214" s="449">
        <f>IF(C214=0,0,E214/C214)</f>
        <v>0.15614418034896088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12122193</v>
      </c>
      <c r="D215" s="448">
        <f>LN_IF2+LN_IF15</f>
        <v>13514252</v>
      </c>
      <c r="E215" s="448">
        <f>D215-C215</f>
        <v>1392059</v>
      </c>
      <c r="F215" s="449">
        <f>IF(C215=0,0,E215/C215)</f>
        <v>0.11483557471820487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57086656</v>
      </c>
      <c r="D216" s="448">
        <f>LN_IF23-LN_IF24</f>
        <v>66501156</v>
      </c>
      <c r="E216" s="448">
        <f>D216-C216</f>
        <v>9414500</v>
      </c>
      <c r="F216" s="449">
        <f>IF(C216=0,0,E216/C216)</f>
        <v>0.16491594813330807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423387</v>
      </c>
      <c r="D221" s="448">
        <v>435071</v>
      </c>
      <c r="E221" s="448">
        <f t="shared" ref="E221:E230" si="24">D221-C221</f>
        <v>11684</v>
      </c>
      <c r="F221" s="449">
        <f t="shared" ref="F221:F230" si="25">IF(C221=0,0,E221/C221)</f>
        <v>2.7596501545867021E-2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69245</v>
      </c>
      <c r="D222" s="448">
        <v>64687</v>
      </c>
      <c r="E222" s="448">
        <f t="shared" si="24"/>
        <v>-4558</v>
      </c>
      <c r="F222" s="449">
        <f t="shared" si="25"/>
        <v>-6.5824247238067735E-2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0.1635501326209827</v>
      </c>
      <c r="D223" s="453">
        <f>IF(LN_IG1=0,0,LN_IG2/LN_IG1)</f>
        <v>0.14868147957459818</v>
      </c>
      <c r="E223" s="454">
        <f t="shared" si="24"/>
        <v>-1.4868653046384517E-2</v>
      </c>
      <c r="F223" s="449">
        <f t="shared" si="25"/>
        <v>-9.0911898438148619E-2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14</v>
      </c>
      <c r="D224" s="456">
        <v>16</v>
      </c>
      <c r="E224" s="456">
        <f t="shared" si="24"/>
        <v>2</v>
      </c>
      <c r="F224" s="449">
        <f t="shared" si="25"/>
        <v>0.14285714285714285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1.0708</v>
      </c>
      <c r="D225" s="459">
        <v>0.90332999999999997</v>
      </c>
      <c r="E225" s="460">
        <f t="shared" si="24"/>
        <v>-0.16747000000000001</v>
      </c>
      <c r="F225" s="449">
        <f t="shared" si="25"/>
        <v>-0.15639708629062385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14.991199999999999</v>
      </c>
      <c r="D226" s="463">
        <f>LN_IG3*LN_IG4</f>
        <v>14.453279999999999</v>
      </c>
      <c r="E226" s="463">
        <f t="shared" si="24"/>
        <v>-0.53791999999999973</v>
      </c>
      <c r="F226" s="449">
        <f t="shared" si="25"/>
        <v>-3.5882384332141505E-2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4619.0431719942371</v>
      </c>
      <c r="D227" s="465">
        <f>IF(LN_IG5=0,0,LN_IG2/LN_IG5)</f>
        <v>4475.5930833693119</v>
      </c>
      <c r="E227" s="465">
        <f t="shared" si="24"/>
        <v>-143.45008862492523</v>
      </c>
      <c r="F227" s="449">
        <f t="shared" si="25"/>
        <v>-3.1056234653678662E-2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40</v>
      </c>
      <c r="D228" s="456">
        <v>66</v>
      </c>
      <c r="E228" s="456">
        <f t="shared" si="24"/>
        <v>26</v>
      </c>
      <c r="F228" s="449">
        <f t="shared" si="25"/>
        <v>0.65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1731.125</v>
      </c>
      <c r="D229" s="465">
        <f>IF(LN_IG6=0,0,LN_IG2/LN_IG6)</f>
        <v>980.10606060606062</v>
      </c>
      <c r="E229" s="465">
        <f t="shared" si="24"/>
        <v>-751.01893939393938</v>
      </c>
      <c r="F229" s="449">
        <f t="shared" si="25"/>
        <v>-0.43383287711398044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2.8571428571428572</v>
      </c>
      <c r="D230" s="466">
        <f>IF(LN_IG3=0,0,LN_IG6/LN_IG3)</f>
        <v>4.125</v>
      </c>
      <c r="E230" s="466">
        <f t="shared" si="24"/>
        <v>1.2678571428571428</v>
      </c>
      <c r="F230" s="449">
        <f t="shared" si="25"/>
        <v>0.44374999999999998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598322</v>
      </c>
      <c r="D233" s="448">
        <v>707594</v>
      </c>
      <c r="E233" s="448">
        <f>D233-C233</f>
        <v>109272</v>
      </c>
      <c r="F233" s="449">
        <f>IF(C233=0,0,E233/C233)</f>
        <v>0.18263075735139273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258984</v>
      </c>
      <c r="D234" s="448">
        <v>180036</v>
      </c>
      <c r="E234" s="448">
        <f>D234-C234</f>
        <v>-78948</v>
      </c>
      <c r="F234" s="449">
        <f>IF(C234=0,0,E234/C234)</f>
        <v>-0.304837364470392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1021709</v>
      </c>
      <c r="D237" s="448">
        <f>LN_IG1+LN_IG9</f>
        <v>1142665</v>
      </c>
      <c r="E237" s="448">
        <f>D237-C237</f>
        <v>120956</v>
      </c>
      <c r="F237" s="449">
        <f>IF(C237=0,0,E237/C237)</f>
        <v>0.11838595921147803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328229</v>
      </c>
      <c r="D238" s="448">
        <f>LN_IG2+LN_IG10</f>
        <v>244723</v>
      </c>
      <c r="E238" s="448">
        <f>D238-C238</f>
        <v>-83506</v>
      </c>
      <c r="F238" s="449">
        <f>IF(C238=0,0,E238/C238)</f>
        <v>-0.25441383911842036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693480</v>
      </c>
      <c r="D239" s="448">
        <f>LN_IG13-LN_IG14</f>
        <v>897942</v>
      </c>
      <c r="E239" s="448">
        <f>D239-C239</f>
        <v>204462</v>
      </c>
      <c r="F239" s="449">
        <f>IF(C239=0,0,E239/C239)</f>
        <v>0.29483474649593355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19028550</v>
      </c>
      <c r="D243" s="448">
        <v>20320014</v>
      </c>
      <c r="E243" s="441">
        <f>D243-C243</f>
        <v>1291464</v>
      </c>
      <c r="F243" s="503">
        <f>IF(C243=0,0,E243/C243)</f>
        <v>6.7869806159691626E-2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317854000</v>
      </c>
      <c r="D244" s="448">
        <v>328168956</v>
      </c>
      <c r="E244" s="441">
        <f>D244-C244</f>
        <v>10314956</v>
      </c>
      <c r="F244" s="503">
        <f>IF(C244=0,0,E244/C244)</f>
        <v>3.2451867838693235E-2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19751377</v>
      </c>
      <c r="D248" s="441">
        <v>20529798</v>
      </c>
      <c r="E248" s="441">
        <f>D248-C248</f>
        <v>778421</v>
      </c>
      <c r="F248" s="449">
        <f>IF(C248=0,0,E248/C248)</f>
        <v>3.9410973726034394E-2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25084845</v>
      </c>
      <c r="D249" s="441">
        <v>12337894</v>
      </c>
      <c r="E249" s="441">
        <f>D249-C249</f>
        <v>-12746951</v>
      </c>
      <c r="F249" s="449">
        <f>IF(C249=0,0,E249/C249)</f>
        <v>-0.50815346875773004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44836222</v>
      </c>
      <c r="D250" s="441">
        <f>LN_IH4+LN_IH5</f>
        <v>32867692</v>
      </c>
      <c r="E250" s="441">
        <f>D250-C250</f>
        <v>-11968530</v>
      </c>
      <c r="F250" s="449">
        <f>IF(C250=0,0,E250/C250)</f>
        <v>-0.26693886028131453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12782155.49532594</v>
      </c>
      <c r="D251" s="441">
        <f>LN_IH6*LN_III10</f>
        <v>9750760.0289391987</v>
      </c>
      <c r="E251" s="441">
        <f>D251-C251</f>
        <v>-3031395.466386741</v>
      </c>
      <c r="F251" s="449">
        <f>IF(C251=0,0,E251/C251)</f>
        <v>-0.23715839378540135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69208849</v>
      </c>
      <c r="D254" s="441">
        <f>LN_IF23</f>
        <v>80015408</v>
      </c>
      <c r="E254" s="441">
        <f>D254-C254</f>
        <v>10806559</v>
      </c>
      <c r="F254" s="449">
        <f>IF(C254=0,0,E254/C254)</f>
        <v>0.15614418034896088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12122193</v>
      </c>
      <c r="D255" s="441">
        <f>LN_IF24</f>
        <v>13514252</v>
      </c>
      <c r="E255" s="441">
        <f>D255-C255</f>
        <v>1392059</v>
      </c>
      <c r="F255" s="449">
        <f>IF(C255=0,0,E255/C255)</f>
        <v>0.11483557471820487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19730437.358672485</v>
      </c>
      <c r="D256" s="441">
        <f>LN_IH8*LN_III10</f>
        <v>23737932.131823</v>
      </c>
      <c r="E256" s="441">
        <f>D256-C256</f>
        <v>4007494.7731505148</v>
      </c>
      <c r="F256" s="449">
        <f>IF(C256=0,0,E256/C256)</f>
        <v>0.20311231323967718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7608244.3586724848</v>
      </c>
      <c r="D257" s="441">
        <f>LN_IH10-LN_IH9</f>
        <v>10223680.131823</v>
      </c>
      <c r="E257" s="441">
        <f>D257-C257</f>
        <v>2615435.7731505148</v>
      </c>
      <c r="F257" s="449">
        <f>IF(C257=0,0,E257/C257)</f>
        <v>0.34376337691746611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469569283</v>
      </c>
      <c r="D261" s="448">
        <f>LN_IA1+LN_IB1+LN_IF1+LN_IG1</f>
        <v>474859593</v>
      </c>
      <c r="E261" s="448">
        <f t="shared" ref="E261:E274" si="26">D261-C261</f>
        <v>5290310</v>
      </c>
      <c r="F261" s="503">
        <f t="shared" ref="F261:F274" si="27">IF(C261=0,0,E261/C261)</f>
        <v>1.1266303379559008E-2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150142016</v>
      </c>
      <c r="D262" s="448">
        <f>+LN_IA2+LN_IB2+LN_IF2+LN_IG2</f>
        <v>151980080</v>
      </c>
      <c r="E262" s="448">
        <f t="shared" si="26"/>
        <v>1838064</v>
      </c>
      <c r="F262" s="503">
        <f t="shared" si="27"/>
        <v>1.2242169440431652E-2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0.31974411750438114</v>
      </c>
      <c r="D263" s="453">
        <f>IF(LN_IIA1=0,0,LN_IIA2/LN_IIA1)</f>
        <v>0.3200526687053788</v>
      </c>
      <c r="E263" s="454">
        <f t="shared" si="26"/>
        <v>3.0855120099765321E-4</v>
      </c>
      <c r="F263" s="458">
        <f t="shared" si="27"/>
        <v>9.6499414408593594E-4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12538</v>
      </c>
      <c r="D264" s="456">
        <f>LN_IA4+LN_IB4+LN_IF4+LN_IG3</f>
        <v>13296</v>
      </c>
      <c r="E264" s="456">
        <f t="shared" si="26"/>
        <v>758</v>
      </c>
      <c r="F264" s="503">
        <f t="shared" si="27"/>
        <v>6.0456213112139098E-2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1.1595277165417133</v>
      </c>
      <c r="D265" s="525">
        <f>IF(LN_IIA4=0,0,LN_IIA6/LN_IIA4)</f>
        <v>1.146947681257521</v>
      </c>
      <c r="E265" s="525">
        <f t="shared" si="26"/>
        <v>-1.258003528419227E-2</v>
      </c>
      <c r="F265" s="503">
        <f t="shared" si="27"/>
        <v>-1.0849275187411798E-2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14538.158510000001</v>
      </c>
      <c r="D266" s="463">
        <f>LN_IA6+LN_IB6+LN_IF6+LN_IG5</f>
        <v>15249.816369999999</v>
      </c>
      <c r="E266" s="463">
        <f t="shared" si="26"/>
        <v>711.65785999999753</v>
      </c>
      <c r="F266" s="503">
        <f t="shared" si="27"/>
        <v>4.8951031831884838E-2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680279340</v>
      </c>
      <c r="D267" s="448">
        <f>LN_IA11+LN_IB13+LN_IF14+LN_IG9</f>
        <v>693517325</v>
      </c>
      <c r="E267" s="448">
        <f t="shared" si="26"/>
        <v>13237985</v>
      </c>
      <c r="F267" s="503">
        <f t="shared" si="27"/>
        <v>1.9459631098013356E-2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1.448730495431491</v>
      </c>
      <c r="D268" s="453">
        <f>IF(LN_IIA1=0,0,LN_IIA7/LN_IIA1)</f>
        <v>1.4604681788538703</v>
      </c>
      <c r="E268" s="454">
        <f t="shared" si="26"/>
        <v>1.1737683422379241E-2</v>
      </c>
      <c r="F268" s="458">
        <f t="shared" si="27"/>
        <v>8.1020475922840857E-3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193757412</v>
      </c>
      <c r="D269" s="448">
        <f>LN_IA12+LN_IB14+LN_IF15+LN_IG10</f>
        <v>202762895</v>
      </c>
      <c r="E269" s="448">
        <f t="shared" si="26"/>
        <v>9005483</v>
      </c>
      <c r="F269" s="503">
        <f t="shared" si="27"/>
        <v>4.6478134214550722E-2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0.28482036805645161</v>
      </c>
      <c r="D270" s="453">
        <f>IF(LN_IIA7=0,0,LN_IIA9/LN_IIA7)</f>
        <v>0.29236889647998338</v>
      </c>
      <c r="E270" s="454">
        <f t="shared" si="26"/>
        <v>7.548528423531764E-3</v>
      </c>
      <c r="F270" s="458">
        <f t="shared" si="27"/>
        <v>2.6502769008555034E-2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1149848623</v>
      </c>
      <c r="D271" s="441">
        <f>LN_IIA1+LN_IIA7</f>
        <v>1168376918</v>
      </c>
      <c r="E271" s="441">
        <f t="shared" si="26"/>
        <v>18528295</v>
      </c>
      <c r="F271" s="503">
        <f t="shared" si="27"/>
        <v>1.6113681948549848E-2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343899428</v>
      </c>
      <c r="D272" s="441">
        <f>LN_IIA2+LN_IIA9</f>
        <v>354742975</v>
      </c>
      <c r="E272" s="441">
        <f t="shared" si="26"/>
        <v>10843547</v>
      </c>
      <c r="F272" s="503">
        <f t="shared" si="27"/>
        <v>3.1531157417336558E-2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0.29908234972943915</v>
      </c>
      <c r="D273" s="453">
        <f>IF(LN_IIA11=0,0,LN_IIA12/LN_IIA11)</f>
        <v>0.30362032109230697</v>
      </c>
      <c r="E273" s="454">
        <f t="shared" si="26"/>
        <v>4.5379713628678209E-3</v>
      </c>
      <c r="F273" s="458">
        <f t="shared" si="27"/>
        <v>1.517298284894791E-2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54509</v>
      </c>
      <c r="D274" s="508">
        <f>LN_IA8+LN_IB10+LN_IF11+LN_IG6</f>
        <v>53840</v>
      </c>
      <c r="E274" s="528">
        <f t="shared" si="26"/>
        <v>-669</v>
      </c>
      <c r="F274" s="458">
        <f t="shared" si="27"/>
        <v>-1.2273202590397917E-2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266532004</v>
      </c>
      <c r="D277" s="448">
        <f>LN_IA1+LN_IF1+LN_IG1</f>
        <v>267662350</v>
      </c>
      <c r="E277" s="448">
        <f t="shared" ref="E277:E291" si="28">D277-C277</f>
        <v>1130346</v>
      </c>
      <c r="F277" s="503">
        <f t="shared" ref="F277:F291" si="29">IF(C277=0,0,E277/C277)</f>
        <v>4.2409391106367853E-3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64920211</v>
      </c>
      <c r="D278" s="448">
        <f>LN_IA2+LN_IF2+LN_IG2</f>
        <v>61973327</v>
      </c>
      <c r="E278" s="448">
        <f t="shared" si="28"/>
        <v>-2946884</v>
      </c>
      <c r="F278" s="503">
        <f t="shared" si="29"/>
        <v>-4.5392397138080777E-2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0.2435737923615357</v>
      </c>
      <c r="D279" s="453">
        <f>IF(D277=0,0,LN_IIB2/D277)</f>
        <v>0.23153546623198967</v>
      </c>
      <c r="E279" s="454">
        <f t="shared" si="28"/>
        <v>-1.2038326129546029E-2</v>
      </c>
      <c r="F279" s="458">
        <f t="shared" si="29"/>
        <v>-4.9423733205572397E-2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5356</v>
      </c>
      <c r="D280" s="456">
        <f>LN_IA4+LN_IF4+LN_IG3</f>
        <v>5642</v>
      </c>
      <c r="E280" s="456">
        <f t="shared" si="28"/>
        <v>286</v>
      </c>
      <c r="F280" s="503">
        <f t="shared" si="29"/>
        <v>5.3398058252427182E-2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1.502613997386109</v>
      </c>
      <c r="D281" s="525">
        <f>IF(LN_IIB4=0,0,LN_IIB6/LN_IIB4)</f>
        <v>1.4744982931584545</v>
      </c>
      <c r="E281" s="525">
        <f t="shared" si="28"/>
        <v>-2.8115704227654525E-2</v>
      </c>
      <c r="F281" s="503">
        <f t="shared" si="29"/>
        <v>-1.8711195474395655E-2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8048.0005700000002</v>
      </c>
      <c r="D282" s="463">
        <f>LN_IA6+LN_IF6+LN_IG5</f>
        <v>8319.1193700000003</v>
      </c>
      <c r="E282" s="463">
        <f t="shared" si="28"/>
        <v>271.11880000000019</v>
      </c>
      <c r="F282" s="503">
        <f t="shared" si="29"/>
        <v>3.368772127211718E-2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269458814</v>
      </c>
      <c r="D283" s="448">
        <f>LN_IA11+LN_IF14+LN_IG9</f>
        <v>301883237</v>
      </c>
      <c r="E283" s="448">
        <f t="shared" si="28"/>
        <v>32424423</v>
      </c>
      <c r="F283" s="503">
        <f t="shared" si="29"/>
        <v>0.12033164741829525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1.0109810827820886</v>
      </c>
      <c r="D284" s="453">
        <f>IF(D277=0,0,LN_IIB7/D277)</f>
        <v>1.1278509547569915</v>
      </c>
      <c r="E284" s="454">
        <f t="shared" si="28"/>
        <v>0.11686987197490284</v>
      </c>
      <c r="F284" s="458">
        <f t="shared" si="29"/>
        <v>0.11560045382183821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42593322</v>
      </c>
      <c r="D285" s="448">
        <f>LN_IA12+LN_IF15+LN_IG10</f>
        <v>46830645</v>
      </c>
      <c r="E285" s="448">
        <f t="shared" si="28"/>
        <v>4237323</v>
      </c>
      <c r="F285" s="503">
        <f t="shared" si="29"/>
        <v>9.9483271109964133E-2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0.15806987853809823</v>
      </c>
      <c r="D286" s="453">
        <f>IF(LN_IIB7=0,0,LN_IIB9/LN_IIB7)</f>
        <v>0.15512833857681207</v>
      </c>
      <c r="E286" s="454">
        <f t="shared" si="28"/>
        <v>-2.9415399612861548E-3</v>
      </c>
      <c r="F286" s="458">
        <f t="shared" si="29"/>
        <v>-1.8609111289834897E-2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535990818</v>
      </c>
      <c r="D287" s="441">
        <f>D277+LN_IIB7</f>
        <v>569545587</v>
      </c>
      <c r="E287" s="441">
        <f t="shared" si="28"/>
        <v>33554769</v>
      </c>
      <c r="F287" s="503">
        <f t="shared" si="29"/>
        <v>6.2603253401255096E-2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107513533</v>
      </c>
      <c r="D288" s="441">
        <f>LN_IIB2+LN_IIB9</f>
        <v>108803972</v>
      </c>
      <c r="E288" s="441">
        <f t="shared" si="28"/>
        <v>1290439</v>
      </c>
      <c r="F288" s="503">
        <f t="shared" si="29"/>
        <v>1.2002572736587495E-2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0.20058838582566912</v>
      </c>
      <c r="D289" s="453">
        <f>IF(LN_IIB11=0,0,LN_IIB12/LN_IIB11)</f>
        <v>0.19103645868473737</v>
      </c>
      <c r="E289" s="454">
        <f t="shared" si="28"/>
        <v>-9.5519271409317541E-3</v>
      </c>
      <c r="F289" s="458">
        <f t="shared" si="29"/>
        <v>-4.7619542385835392E-2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29200</v>
      </c>
      <c r="D290" s="508">
        <f>LN_IA8+LN_IF11+LN_IG6</f>
        <v>28851</v>
      </c>
      <c r="E290" s="528">
        <f t="shared" si="28"/>
        <v>-349</v>
      </c>
      <c r="F290" s="458">
        <f t="shared" si="29"/>
        <v>-1.1952054794520548E-2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428477285</v>
      </c>
      <c r="D291" s="516">
        <f>LN_IIB11-LN_IIB12</f>
        <v>460741615</v>
      </c>
      <c r="E291" s="441">
        <f t="shared" si="28"/>
        <v>32264330</v>
      </c>
      <c r="F291" s="503">
        <f t="shared" si="29"/>
        <v>7.5299977687265263E-2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5.7104510451045103</v>
      </c>
      <c r="D294" s="466">
        <f>IF(LN_IA4=0,0,LN_IA8/LN_IA4)</f>
        <v>5.3717377466581793</v>
      </c>
      <c r="E294" s="466">
        <f t="shared" ref="E294:E300" si="30">D294-C294</f>
        <v>-0.33871329844633102</v>
      </c>
      <c r="F294" s="503">
        <f t="shared" ref="F294:F300" si="31">IF(C294=0,0,E294/C294)</f>
        <v>-5.9314631326137575E-2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3.5239487607908662</v>
      </c>
      <c r="D295" s="466">
        <f>IF(LN_IB4=0,0,(LN_IB10)/(LN_IB4))</f>
        <v>3.2648288476613536</v>
      </c>
      <c r="E295" s="466">
        <f t="shared" si="30"/>
        <v>-0.25911991312951255</v>
      </c>
      <c r="F295" s="503">
        <f t="shared" si="31"/>
        <v>-7.3531123951802085E-2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3.0838323353293413</v>
      </c>
      <c r="D296" s="466">
        <f>IF(LN_IC4=0,0,LN_IC11/LN_IC4)</f>
        <v>3.0598290598290596</v>
      </c>
      <c r="E296" s="466">
        <f t="shared" si="30"/>
        <v>-2.4003275500281696E-2</v>
      </c>
      <c r="F296" s="503">
        <f t="shared" si="31"/>
        <v>-7.7835864243631907E-3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3.8629807692307692</v>
      </c>
      <c r="D297" s="466">
        <f>IF(LN_ID4=0,0,LN_ID11/LN_ID4)</f>
        <v>3.9595744680851066</v>
      </c>
      <c r="E297" s="466">
        <f t="shared" si="30"/>
        <v>9.659369885433744E-2</v>
      </c>
      <c r="F297" s="503">
        <f t="shared" si="31"/>
        <v>2.5004964980338752E-2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4.1968503937007871</v>
      </c>
      <c r="D298" s="466">
        <f>IF(LN_IE4=0,0,LN_IE11/LN_IE4)</f>
        <v>3.6275395033860045</v>
      </c>
      <c r="E298" s="466">
        <f t="shared" si="30"/>
        <v>-0.56931089031478255</v>
      </c>
      <c r="F298" s="503">
        <f t="shared" si="31"/>
        <v>-0.13565193821759361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2.8571428571428572</v>
      </c>
      <c r="D299" s="466">
        <f>IF(LN_IG3=0,0,LN_IG6/LN_IG3)</f>
        <v>4.125</v>
      </c>
      <c r="E299" s="466">
        <f t="shared" si="30"/>
        <v>1.2678571428571428</v>
      </c>
      <c r="F299" s="503">
        <f t="shared" si="31"/>
        <v>0.44374999999999998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4.3475035890891691</v>
      </c>
      <c r="D300" s="466">
        <f>IF(LN_IIA4=0,0,LN_IIA14/LN_IIA4)</f>
        <v>4.0493381468110714</v>
      </c>
      <c r="E300" s="466">
        <f t="shared" si="30"/>
        <v>-0.29816544227809771</v>
      </c>
      <c r="F300" s="503">
        <f t="shared" si="31"/>
        <v>-6.8583138844645633E-2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1149848623</v>
      </c>
      <c r="D304" s="441">
        <f>LN_IIA11</f>
        <v>1168376918</v>
      </c>
      <c r="E304" s="441">
        <f t="shared" ref="E304:E316" si="32">D304-C304</f>
        <v>18528295</v>
      </c>
      <c r="F304" s="449">
        <f>IF(C304=0,0,E304/C304)</f>
        <v>1.6113681948549848E-2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428477285</v>
      </c>
      <c r="D305" s="441">
        <f>LN_IIB14</f>
        <v>460741615</v>
      </c>
      <c r="E305" s="441">
        <f t="shared" si="32"/>
        <v>32264330</v>
      </c>
      <c r="F305" s="449">
        <f>IF(C305=0,0,E305/C305)</f>
        <v>7.5299977687265263E-2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44836222</v>
      </c>
      <c r="D306" s="441">
        <f>LN_IH6</f>
        <v>32867692</v>
      </c>
      <c r="E306" s="441">
        <f t="shared" si="32"/>
        <v>-11968530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335633616</v>
      </c>
      <c r="D307" s="441">
        <f>LN_IB32-LN_IB33</f>
        <v>318720339</v>
      </c>
      <c r="E307" s="441">
        <f t="shared" si="32"/>
        <v>-16913277</v>
      </c>
      <c r="F307" s="449">
        <f t="shared" ref="F307:F316" si="33">IF(C307=0,0,E307/C307)</f>
        <v>-5.0392082895534519E-2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13096363</v>
      </c>
      <c r="D308" s="441">
        <v>9428381</v>
      </c>
      <c r="E308" s="441">
        <f t="shared" si="32"/>
        <v>-3667982</v>
      </c>
      <c r="F308" s="449">
        <f t="shared" si="33"/>
        <v>-0.28007638456569967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822043486</v>
      </c>
      <c r="D309" s="441">
        <f>LN_III2+LN_III3+LN_III4+LN_III5</f>
        <v>821758027</v>
      </c>
      <c r="E309" s="441">
        <f t="shared" si="32"/>
        <v>-285459</v>
      </c>
      <c r="F309" s="449">
        <f t="shared" si="33"/>
        <v>-3.4725535189022836E-4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327805137</v>
      </c>
      <c r="D310" s="441">
        <f>LN_III1-LN_III6</f>
        <v>346618891</v>
      </c>
      <c r="E310" s="441">
        <f t="shared" si="32"/>
        <v>18813754</v>
      </c>
      <c r="F310" s="449">
        <f t="shared" si="33"/>
        <v>5.7393103025106043E-2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327805137</v>
      </c>
      <c r="D312" s="441">
        <f>LN_III7+LN_III8</f>
        <v>346618891</v>
      </c>
      <c r="E312" s="441">
        <f t="shared" si="32"/>
        <v>18813754</v>
      </c>
      <c r="F312" s="449">
        <f t="shared" si="33"/>
        <v>5.7393103025106043E-2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0.28508547163777403</v>
      </c>
      <c r="D313" s="532">
        <f>IF(LN_III1=0,0,LN_III9/LN_III1)</f>
        <v>0.29666701358097181</v>
      </c>
      <c r="E313" s="532">
        <f t="shared" si="32"/>
        <v>1.1581541943197771E-2</v>
      </c>
      <c r="F313" s="449">
        <f t="shared" si="33"/>
        <v>4.0624805875457345E-2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12782155.49532594</v>
      </c>
      <c r="D314" s="441">
        <f>D313*LN_III5</f>
        <v>9750760.0289391987</v>
      </c>
      <c r="E314" s="441">
        <f t="shared" si="32"/>
        <v>-3031395.466386741</v>
      </c>
      <c r="F314" s="449">
        <f t="shared" si="33"/>
        <v>-0.23715839378540135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7608244.3586724848</v>
      </c>
      <c r="D315" s="441">
        <f>D313*LN_IH8-LN_IH9</f>
        <v>10223680.131823</v>
      </c>
      <c r="E315" s="441">
        <f t="shared" si="32"/>
        <v>2615435.7731505148</v>
      </c>
      <c r="F315" s="449">
        <f t="shared" si="33"/>
        <v>0.34376337691746611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20390399.853998423</v>
      </c>
      <c r="D318" s="441">
        <f>D314+D315+D316</f>
        <v>19974440.160762198</v>
      </c>
      <c r="E318" s="441">
        <f>D318-C318</f>
        <v>-415959.69323622435</v>
      </c>
      <c r="F318" s="449">
        <f>IF(C318=0,0,E318/C318)</f>
        <v>-2.0399781083972092E-2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3343715.2380337776</v>
      </c>
      <c r="D322" s="441">
        <f>LN_ID22</f>
        <v>3384399.1546760723</v>
      </c>
      <c r="E322" s="441">
        <f>LN_IV2-C322</f>
        <v>40683.916642294731</v>
      </c>
      <c r="F322" s="449">
        <f>IF(C322=0,0,E322/C322)</f>
        <v>1.2167279132961785E-2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3524669.5816615405</v>
      </c>
      <c r="D323" s="441">
        <f>LN_IE10+LN_IE22</f>
        <v>2878163.3159012385</v>
      </c>
      <c r="E323" s="441">
        <f>LN_IV3-C323</f>
        <v>-646506.26576030208</v>
      </c>
      <c r="F323" s="449">
        <f>IF(C323=0,0,E323/C323)</f>
        <v>-0.18342322614409062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7202229.4902616106</v>
      </c>
      <c r="D324" s="441">
        <f>LN_IC10+LN_IC22</f>
        <v>7927913.6155484561</v>
      </c>
      <c r="E324" s="441">
        <f>LN_IV1-C324</f>
        <v>725684.12528684549</v>
      </c>
      <c r="F324" s="449">
        <f>IF(C324=0,0,E324/C324)</f>
        <v>0.10075826190599295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14070614.309956929</v>
      </c>
      <c r="D325" s="516">
        <f>LN_IV1+LN_IV2+LN_IV3</f>
        <v>14190476.086125767</v>
      </c>
      <c r="E325" s="441">
        <f>LN_IV4-C325</f>
        <v>119861.77616883814</v>
      </c>
      <c r="F325" s="449">
        <f>IF(C325=0,0,E325/C325)</f>
        <v>8.518588707532063E-3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21974981</v>
      </c>
      <c r="D329" s="518">
        <v>19112712</v>
      </c>
      <c r="E329" s="518">
        <f t="shared" ref="E329:E335" si="34">D329-C329</f>
        <v>-2862269</v>
      </c>
      <c r="F329" s="542">
        <f t="shared" ref="F329:F335" si="35">IF(C329=0,0,E329/C329)</f>
        <v>-0.13025126165069267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-11692829</v>
      </c>
      <c r="D330" s="516">
        <v>-14005763</v>
      </c>
      <c r="E330" s="518">
        <f t="shared" si="34"/>
        <v>-2312934</v>
      </c>
      <c r="F330" s="543">
        <f t="shared" si="35"/>
        <v>0.19780790431468723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332206599</v>
      </c>
      <c r="D331" s="516">
        <v>340737210</v>
      </c>
      <c r="E331" s="518">
        <f t="shared" si="34"/>
        <v>8530611</v>
      </c>
      <c r="F331" s="542">
        <f t="shared" si="35"/>
        <v>2.5678631988884724E-2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1149848623</v>
      </c>
      <c r="D333" s="516">
        <v>1168376920</v>
      </c>
      <c r="E333" s="518">
        <f t="shared" si="34"/>
        <v>18528297</v>
      </c>
      <c r="F333" s="542">
        <f t="shared" si="35"/>
        <v>1.611368368790924E-2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2121</v>
      </c>
      <c r="D334" s="516">
        <v>33353</v>
      </c>
      <c r="E334" s="516">
        <f t="shared" si="34"/>
        <v>31232</v>
      </c>
      <c r="F334" s="543">
        <f t="shared" si="35"/>
        <v>14.725129655822725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44838343</v>
      </c>
      <c r="D335" s="516">
        <v>32901045</v>
      </c>
      <c r="E335" s="516">
        <f t="shared" si="34"/>
        <v>-11937298</v>
      </c>
      <c r="F335" s="542">
        <f t="shared" si="35"/>
        <v>-0.26622968649845069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FILING&amp;RGREENWICH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203037279</v>
      </c>
      <c r="D14" s="589">
        <v>207197243</v>
      </c>
      <c r="E14" s="590">
        <f t="shared" ref="E14:E22" si="0">D14-C14</f>
        <v>4159964</v>
      </c>
    </row>
    <row r="15" spans="1:5" s="421" customFormat="1" x14ac:dyDescent="0.2">
      <c r="A15" s="588">
        <v>2</v>
      </c>
      <c r="B15" s="587" t="s">
        <v>638</v>
      </c>
      <c r="C15" s="589">
        <v>240415659</v>
      </c>
      <c r="D15" s="591">
        <v>239886253</v>
      </c>
      <c r="E15" s="590">
        <f t="shared" si="0"/>
        <v>-529406</v>
      </c>
    </row>
    <row r="16" spans="1:5" s="421" customFormat="1" x14ac:dyDescent="0.2">
      <c r="A16" s="588">
        <v>3</v>
      </c>
      <c r="B16" s="587" t="s">
        <v>780</v>
      </c>
      <c r="C16" s="589">
        <v>25692958</v>
      </c>
      <c r="D16" s="591">
        <v>27341026</v>
      </c>
      <c r="E16" s="590">
        <f t="shared" si="0"/>
        <v>1648068</v>
      </c>
    </row>
    <row r="17" spans="1:5" s="421" customFormat="1" x14ac:dyDescent="0.2">
      <c r="A17" s="588">
        <v>4</v>
      </c>
      <c r="B17" s="587" t="s">
        <v>115</v>
      </c>
      <c r="C17" s="589">
        <v>12504838</v>
      </c>
      <c r="D17" s="591">
        <v>14294353</v>
      </c>
      <c r="E17" s="590">
        <f t="shared" si="0"/>
        <v>1789515</v>
      </c>
    </row>
    <row r="18" spans="1:5" s="421" customFormat="1" x14ac:dyDescent="0.2">
      <c r="A18" s="588">
        <v>5</v>
      </c>
      <c r="B18" s="587" t="s">
        <v>746</v>
      </c>
      <c r="C18" s="589">
        <v>13188120</v>
      </c>
      <c r="D18" s="591">
        <v>13046673</v>
      </c>
      <c r="E18" s="590">
        <f t="shared" si="0"/>
        <v>-141447</v>
      </c>
    </row>
    <row r="19" spans="1:5" s="421" customFormat="1" x14ac:dyDescent="0.2">
      <c r="A19" s="588">
        <v>6</v>
      </c>
      <c r="B19" s="587" t="s">
        <v>424</v>
      </c>
      <c r="C19" s="589">
        <v>423387</v>
      </c>
      <c r="D19" s="591">
        <v>435071</v>
      </c>
      <c r="E19" s="590">
        <f t="shared" si="0"/>
        <v>11684</v>
      </c>
    </row>
    <row r="20" spans="1:5" s="421" customFormat="1" x14ac:dyDescent="0.2">
      <c r="A20" s="588">
        <v>7</v>
      </c>
      <c r="B20" s="587" t="s">
        <v>761</v>
      </c>
      <c r="C20" s="589">
        <v>4687832</v>
      </c>
      <c r="D20" s="591">
        <v>4393306</v>
      </c>
      <c r="E20" s="590">
        <f t="shared" si="0"/>
        <v>-294526</v>
      </c>
    </row>
    <row r="21" spans="1:5" s="421" customFormat="1" x14ac:dyDescent="0.2">
      <c r="A21" s="588"/>
      <c r="B21" s="592" t="s">
        <v>781</v>
      </c>
      <c r="C21" s="593">
        <f>SUM(C15+C16+C19)</f>
        <v>266532004</v>
      </c>
      <c r="D21" s="593">
        <f>SUM(D15+D16+D19)</f>
        <v>267662350</v>
      </c>
      <c r="E21" s="593">
        <f t="shared" si="0"/>
        <v>1130346</v>
      </c>
    </row>
    <row r="22" spans="1:5" s="421" customFormat="1" x14ac:dyDescent="0.2">
      <c r="A22" s="588"/>
      <c r="B22" s="592" t="s">
        <v>465</v>
      </c>
      <c r="C22" s="593">
        <f>SUM(C14+C21)</f>
        <v>469569283</v>
      </c>
      <c r="D22" s="593">
        <f>SUM(D14+D21)</f>
        <v>474859593</v>
      </c>
      <c r="E22" s="593">
        <f t="shared" si="0"/>
        <v>5290310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410820526</v>
      </c>
      <c r="D25" s="589">
        <v>391634088</v>
      </c>
      <c r="E25" s="590">
        <f t="shared" ref="E25:E33" si="1">D25-C25</f>
        <v>-19186438</v>
      </c>
    </row>
    <row r="26" spans="1:5" s="421" customFormat="1" x14ac:dyDescent="0.2">
      <c r="A26" s="588">
        <v>2</v>
      </c>
      <c r="B26" s="587" t="s">
        <v>638</v>
      </c>
      <c r="C26" s="589">
        <v>225344601</v>
      </c>
      <c r="D26" s="591">
        <v>248501261</v>
      </c>
      <c r="E26" s="590">
        <f t="shared" si="1"/>
        <v>23156660</v>
      </c>
    </row>
    <row r="27" spans="1:5" s="421" customFormat="1" x14ac:dyDescent="0.2">
      <c r="A27" s="588">
        <v>3</v>
      </c>
      <c r="B27" s="587" t="s">
        <v>780</v>
      </c>
      <c r="C27" s="589">
        <v>43515891</v>
      </c>
      <c r="D27" s="591">
        <v>52674382</v>
      </c>
      <c r="E27" s="590">
        <f t="shared" si="1"/>
        <v>9158491</v>
      </c>
    </row>
    <row r="28" spans="1:5" s="421" customFormat="1" x14ac:dyDescent="0.2">
      <c r="A28" s="588">
        <v>4</v>
      </c>
      <c r="B28" s="587" t="s">
        <v>115</v>
      </c>
      <c r="C28" s="589">
        <v>28889349</v>
      </c>
      <c r="D28" s="591">
        <v>34932154</v>
      </c>
      <c r="E28" s="590">
        <f t="shared" si="1"/>
        <v>6042805</v>
      </c>
    </row>
    <row r="29" spans="1:5" s="421" customFormat="1" x14ac:dyDescent="0.2">
      <c r="A29" s="588">
        <v>5</v>
      </c>
      <c r="B29" s="587" t="s">
        <v>746</v>
      </c>
      <c r="C29" s="589">
        <v>14626542</v>
      </c>
      <c r="D29" s="591">
        <v>17742228</v>
      </c>
      <c r="E29" s="590">
        <f t="shared" si="1"/>
        <v>3115686</v>
      </c>
    </row>
    <row r="30" spans="1:5" s="421" customFormat="1" x14ac:dyDescent="0.2">
      <c r="A30" s="588">
        <v>6</v>
      </c>
      <c r="B30" s="587" t="s">
        <v>424</v>
      </c>
      <c r="C30" s="589">
        <v>598322</v>
      </c>
      <c r="D30" s="591">
        <v>707594</v>
      </c>
      <c r="E30" s="590">
        <f t="shared" si="1"/>
        <v>109272</v>
      </c>
    </row>
    <row r="31" spans="1:5" s="421" customFormat="1" x14ac:dyDescent="0.2">
      <c r="A31" s="588">
        <v>7</v>
      </c>
      <c r="B31" s="587" t="s">
        <v>761</v>
      </c>
      <c r="C31" s="590">
        <v>26018038</v>
      </c>
      <c r="D31" s="594">
        <v>24491778</v>
      </c>
      <c r="E31" s="590">
        <f t="shared" si="1"/>
        <v>-1526260</v>
      </c>
    </row>
    <row r="32" spans="1:5" s="421" customFormat="1" x14ac:dyDescent="0.2">
      <c r="A32" s="588"/>
      <c r="B32" s="592" t="s">
        <v>783</v>
      </c>
      <c r="C32" s="593">
        <f>SUM(C26+C27+C30)</f>
        <v>269458814</v>
      </c>
      <c r="D32" s="593">
        <f>SUM(D26+D27+D30)</f>
        <v>301883237</v>
      </c>
      <c r="E32" s="593">
        <f t="shared" si="1"/>
        <v>32424423</v>
      </c>
    </row>
    <row r="33" spans="1:5" s="421" customFormat="1" x14ac:dyDescent="0.2">
      <c r="A33" s="588"/>
      <c r="B33" s="592" t="s">
        <v>467</v>
      </c>
      <c r="C33" s="593">
        <f>SUM(C25+C32)</f>
        <v>680279340</v>
      </c>
      <c r="D33" s="593">
        <f>SUM(D25+D32)</f>
        <v>693517325</v>
      </c>
      <c r="E33" s="593">
        <f t="shared" si="1"/>
        <v>13237985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613857805</v>
      </c>
      <c r="D36" s="590">
        <f t="shared" si="2"/>
        <v>598831331</v>
      </c>
      <c r="E36" s="590">
        <f t="shared" ref="E36:E44" si="3">D36-C36</f>
        <v>-15026474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465760260</v>
      </c>
      <c r="D37" s="590">
        <f t="shared" si="2"/>
        <v>488387514</v>
      </c>
      <c r="E37" s="590">
        <f t="shared" si="3"/>
        <v>22627254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69208849</v>
      </c>
      <c r="D38" s="590">
        <f t="shared" si="2"/>
        <v>80015408</v>
      </c>
      <c r="E38" s="590">
        <f t="shared" si="3"/>
        <v>10806559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41394187</v>
      </c>
      <c r="D39" s="590">
        <f t="shared" si="2"/>
        <v>49226507</v>
      </c>
      <c r="E39" s="590">
        <f t="shared" si="3"/>
        <v>7832320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27814662</v>
      </c>
      <c r="D40" s="590">
        <f t="shared" si="2"/>
        <v>30788901</v>
      </c>
      <c r="E40" s="590">
        <f t="shared" si="3"/>
        <v>2974239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1021709</v>
      </c>
      <c r="D41" s="590">
        <f t="shared" si="2"/>
        <v>1142665</v>
      </c>
      <c r="E41" s="590">
        <f t="shared" si="3"/>
        <v>120956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30705870</v>
      </c>
      <c r="D42" s="590">
        <f t="shared" si="2"/>
        <v>28885084</v>
      </c>
      <c r="E42" s="590">
        <f t="shared" si="3"/>
        <v>-1820786</v>
      </c>
    </row>
    <row r="43" spans="1:5" s="421" customFormat="1" x14ac:dyDescent="0.2">
      <c r="A43" s="588"/>
      <c r="B43" s="592" t="s">
        <v>791</v>
      </c>
      <c r="C43" s="593">
        <f>SUM(C37+C38+C41)</f>
        <v>535990818</v>
      </c>
      <c r="D43" s="593">
        <f>SUM(D37+D38+D41)</f>
        <v>569545587</v>
      </c>
      <c r="E43" s="593">
        <f t="shared" si="3"/>
        <v>33554769</v>
      </c>
    </row>
    <row r="44" spans="1:5" s="421" customFormat="1" x14ac:dyDescent="0.2">
      <c r="A44" s="588"/>
      <c r="B44" s="592" t="s">
        <v>728</v>
      </c>
      <c r="C44" s="593">
        <f>SUM(C36+C43)</f>
        <v>1149848623</v>
      </c>
      <c r="D44" s="593">
        <f>SUM(D36+D43)</f>
        <v>1168376918</v>
      </c>
      <c r="E44" s="593">
        <f t="shared" si="3"/>
        <v>18528295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85221805</v>
      </c>
      <c r="D47" s="589">
        <v>90006753</v>
      </c>
      <c r="E47" s="590">
        <f t="shared" ref="E47:E55" si="4">D47-C47</f>
        <v>4784948</v>
      </c>
    </row>
    <row r="48" spans="1:5" s="421" customFormat="1" x14ac:dyDescent="0.2">
      <c r="A48" s="588">
        <v>2</v>
      </c>
      <c r="B48" s="587" t="s">
        <v>638</v>
      </c>
      <c r="C48" s="589">
        <v>59489414</v>
      </c>
      <c r="D48" s="591">
        <v>56506049</v>
      </c>
      <c r="E48" s="590">
        <f t="shared" si="4"/>
        <v>-2983365</v>
      </c>
    </row>
    <row r="49" spans="1:5" s="421" customFormat="1" x14ac:dyDescent="0.2">
      <c r="A49" s="588">
        <v>3</v>
      </c>
      <c r="B49" s="587" t="s">
        <v>780</v>
      </c>
      <c r="C49" s="589">
        <v>5361552</v>
      </c>
      <c r="D49" s="591">
        <v>5402591</v>
      </c>
      <c r="E49" s="590">
        <f t="shared" si="4"/>
        <v>41039</v>
      </c>
    </row>
    <row r="50" spans="1:5" s="421" customFormat="1" x14ac:dyDescent="0.2">
      <c r="A50" s="588">
        <v>4</v>
      </c>
      <c r="B50" s="587" t="s">
        <v>115</v>
      </c>
      <c r="C50" s="589">
        <v>3773460</v>
      </c>
      <c r="D50" s="591">
        <v>2546966</v>
      </c>
      <c r="E50" s="590">
        <f t="shared" si="4"/>
        <v>-1226494</v>
      </c>
    </row>
    <row r="51" spans="1:5" s="421" customFormat="1" x14ac:dyDescent="0.2">
      <c r="A51" s="588">
        <v>5</v>
      </c>
      <c r="B51" s="587" t="s">
        <v>746</v>
      </c>
      <c r="C51" s="589">
        <v>1588092</v>
      </c>
      <c r="D51" s="591">
        <v>2855625</v>
      </c>
      <c r="E51" s="590">
        <f t="shared" si="4"/>
        <v>1267533</v>
      </c>
    </row>
    <row r="52" spans="1:5" s="421" customFormat="1" x14ac:dyDescent="0.2">
      <c r="A52" s="588">
        <v>6</v>
      </c>
      <c r="B52" s="587" t="s">
        <v>424</v>
      </c>
      <c r="C52" s="589">
        <v>69245</v>
      </c>
      <c r="D52" s="591">
        <v>64687</v>
      </c>
      <c r="E52" s="590">
        <f t="shared" si="4"/>
        <v>-4558</v>
      </c>
    </row>
    <row r="53" spans="1:5" s="421" customFormat="1" x14ac:dyDescent="0.2">
      <c r="A53" s="588">
        <v>7</v>
      </c>
      <c r="B53" s="587" t="s">
        <v>761</v>
      </c>
      <c r="C53" s="589">
        <v>246577</v>
      </c>
      <c r="D53" s="591">
        <v>2420412</v>
      </c>
      <c r="E53" s="590">
        <f t="shared" si="4"/>
        <v>2173835</v>
      </c>
    </row>
    <row r="54" spans="1:5" s="421" customFormat="1" x14ac:dyDescent="0.2">
      <c r="A54" s="588"/>
      <c r="B54" s="592" t="s">
        <v>793</v>
      </c>
      <c r="C54" s="593">
        <f>SUM(C48+C49+C52)</f>
        <v>64920211</v>
      </c>
      <c r="D54" s="593">
        <f>SUM(D48+D49+D52)</f>
        <v>61973327</v>
      </c>
      <c r="E54" s="593">
        <f t="shared" si="4"/>
        <v>-2946884</v>
      </c>
    </row>
    <row r="55" spans="1:5" s="421" customFormat="1" x14ac:dyDescent="0.2">
      <c r="A55" s="588"/>
      <c r="B55" s="592" t="s">
        <v>466</v>
      </c>
      <c r="C55" s="593">
        <f>SUM(C47+C54)</f>
        <v>150142016</v>
      </c>
      <c r="D55" s="593">
        <f>SUM(D47+D54)</f>
        <v>151980080</v>
      </c>
      <c r="E55" s="593">
        <f t="shared" si="4"/>
        <v>1838064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151164090</v>
      </c>
      <c r="D58" s="589">
        <v>155932250</v>
      </c>
      <c r="E58" s="590">
        <f t="shared" ref="E58:E66" si="5">D58-C58</f>
        <v>4768160</v>
      </c>
    </row>
    <row r="59" spans="1:5" s="421" customFormat="1" x14ac:dyDescent="0.2">
      <c r="A59" s="588">
        <v>2</v>
      </c>
      <c r="B59" s="587" t="s">
        <v>638</v>
      </c>
      <c r="C59" s="589">
        <v>35573697</v>
      </c>
      <c r="D59" s="591">
        <v>38538948</v>
      </c>
      <c r="E59" s="590">
        <f t="shared" si="5"/>
        <v>2965251</v>
      </c>
    </row>
    <row r="60" spans="1:5" s="421" customFormat="1" x14ac:dyDescent="0.2">
      <c r="A60" s="588">
        <v>3</v>
      </c>
      <c r="B60" s="587" t="s">
        <v>780</v>
      </c>
      <c r="C60" s="589">
        <f>C61+C62</f>
        <v>6760641</v>
      </c>
      <c r="D60" s="591">
        <f>D61+D62</f>
        <v>8111661</v>
      </c>
      <c r="E60" s="590">
        <f t="shared" si="5"/>
        <v>1351020</v>
      </c>
    </row>
    <row r="61" spans="1:5" s="421" customFormat="1" x14ac:dyDescent="0.2">
      <c r="A61" s="588">
        <v>4</v>
      </c>
      <c r="B61" s="587" t="s">
        <v>115</v>
      </c>
      <c r="C61" s="589">
        <v>4681630</v>
      </c>
      <c r="D61" s="591">
        <v>5682064</v>
      </c>
      <c r="E61" s="590">
        <f t="shared" si="5"/>
        <v>1000434</v>
      </c>
    </row>
    <row r="62" spans="1:5" s="421" customFormat="1" x14ac:dyDescent="0.2">
      <c r="A62" s="588">
        <v>5</v>
      </c>
      <c r="B62" s="587" t="s">
        <v>746</v>
      </c>
      <c r="C62" s="589">
        <v>2079011</v>
      </c>
      <c r="D62" s="591">
        <v>2429597</v>
      </c>
      <c r="E62" s="590">
        <f t="shared" si="5"/>
        <v>350586</v>
      </c>
    </row>
    <row r="63" spans="1:5" s="421" customFormat="1" x14ac:dyDescent="0.2">
      <c r="A63" s="588">
        <v>6</v>
      </c>
      <c r="B63" s="587" t="s">
        <v>424</v>
      </c>
      <c r="C63" s="589">
        <v>258984</v>
      </c>
      <c r="D63" s="591">
        <v>180036</v>
      </c>
      <c r="E63" s="590">
        <f t="shared" si="5"/>
        <v>-78948</v>
      </c>
    </row>
    <row r="64" spans="1:5" s="421" customFormat="1" x14ac:dyDescent="0.2">
      <c r="A64" s="588">
        <v>7</v>
      </c>
      <c r="B64" s="587" t="s">
        <v>761</v>
      </c>
      <c r="C64" s="589">
        <v>1714362</v>
      </c>
      <c r="D64" s="591">
        <v>1721063</v>
      </c>
      <c r="E64" s="590">
        <f t="shared" si="5"/>
        <v>6701</v>
      </c>
    </row>
    <row r="65" spans="1:5" s="421" customFormat="1" x14ac:dyDescent="0.2">
      <c r="A65" s="588"/>
      <c r="B65" s="592" t="s">
        <v>795</v>
      </c>
      <c r="C65" s="593">
        <f>SUM(C59+C60+C63)</f>
        <v>42593322</v>
      </c>
      <c r="D65" s="593">
        <f>SUM(D59+D60+D63)</f>
        <v>46830645</v>
      </c>
      <c r="E65" s="593">
        <f t="shared" si="5"/>
        <v>4237323</v>
      </c>
    </row>
    <row r="66" spans="1:5" s="421" customFormat="1" x14ac:dyDescent="0.2">
      <c r="A66" s="588"/>
      <c r="B66" s="592" t="s">
        <v>468</v>
      </c>
      <c r="C66" s="593">
        <f>SUM(C58+C65)</f>
        <v>193757412</v>
      </c>
      <c r="D66" s="593">
        <f>SUM(D58+D65)</f>
        <v>202762895</v>
      </c>
      <c r="E66" s="593">
        <f t="shared" si="5"/>
        <v>9005483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236385895</v>
      </c>
      <c r="D69" s="590">
        <f t="shared" si="6"/>
        <v>245939003</v>
      </c>
      <c r="E69" s="590">
        <f t="shared" ref="E69:E77" si="7">D69-C69</f>
        <v>9553108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95063111</v>
      </c>
      <c r="D70" s="590">
        <f t="shared" si="6"/>
        <v>95044997</v>
      </c>
      <c r="E70" s="590">
        <f t="shared" si="7"/>
        <v>-18114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12122193</v>
      </c>
      <c r="D71" s="590">
        <f t="shared" si="6"/>
        <v>13514252</v>
      </c>
      <c r="E71" s="590">
        <f t="shared" si="7"/>
        <v>1392059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8455090</v>
      </c>
      <c r="D72" s="590">
        <f t="shared" si="6"/>
        <v>8229030</v>
      </c>
      <c r="E72" s="590">
        <f t="shared" si="7"/>
        <v>-226060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3667103</v>
      </c>
      <c r="D73" s="590">
        <f t="shared" si="6"/>
        <v>5285222</v>
      </c>
      <c r="E73" s="590">
        <f t="shared" si="7"/>
        <v>1618119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328229</v>
      </c>
      <c r="D74" s="590">
        <f t="shared" si="6"/>
        <v>244723</v>
      </c>
      <c r="E74" s="590">
        <f t="shared" si="7"/>
        <v>-83506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1960939</v>
      </c>
      <c r="D75" s="590">
        <f t="shared" si="6"/>
        <v>4141475</v>
      </c>
      <c r="E75" s="590">
        <f t="shared" si="7"/>
        <v>2180536</v>
      </c>
    </row>
    <row r="76" spans="1:5" s="421" customFormat="1" x14ac:dyDescent="0.2">
      <c r="A76" s="588"/>
      <c r="B76" s="592" t="s">
        <v>796</v>
      </c>
      <c r="C76" s="593">
        <f>SUM(C70+C71+C74)</f>
        <v>107513533</v>
      </c>
      <c r="D76" s="593">
        <f>SUM(D70+D71+D74)</f>
        <v>108803972</v>
      </c>
      <c r="E76" s="593">
        <f t="shared" si="7"/>
        <v>1290439</v>
      </c>
    </row>
    <row r="77" spans="1:5" s="421" customFormat="1" x14ac:dyDescent="0.2">
      <c r="A77" s="588"/>
      <c r="B77" s="592" t="s">
        <v>729</v>
      </c>
      <c r="C77" s="593">
        <f>SUM(C69+C76)</f>
        <v>343899428</v>
      </c>
      <c r="D77" s="593">
        <f>SUM(D69+D76)</f>
        <v>354742975</v>
      </c>
      <c r="E77" s="593">
        <f t="shared" si="7"/>
        <v>10843547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0.17657739891905755</v>
      </c>
      <c r="D83" s="599">
        <f t="shared" si="8"/>
        <v>0.17733767229386502</v>
      </c>
      <c r="E83" s="599">
        <f t="shared" ref="E83:E91" si="9">D83-C83</f>
        <v>7.6027337480746859E-4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0.20908461704528214</v>
      </c>
      <c r="D84" s="599">
        <f t="shared" si="8"/>
        <v>0.20531580973940466</v>
      </c>
      <c r="E84" s="599">
        <f t="shared" si="9"/>
        <v>-3.7688073058774751E-3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2.2344643882745249E-2</v>
      </c>
      <c r="D85" s="599">
        <f t="shared" si="8"/>
        <v>2.3400861125193847E-2</v>
      </c>
      <c r="E85" s="599">
        <f t="shared" si="9"/>
        <v>1.0562172424485976E-3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1.0875203700617902E-2</v>
      </c>
      <c r="D86" s="599">
        <f t="shared" si="8"/>
        <v>1.2234367848064592E-2</v>
      </c>
      <c r="E86" s="599">
        <f t="shared" si="9"/>
        <v>1.3591641474466898E-3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1.1469440182127347E-2</v>
      </c>
      <c r="D87" s="599">
        <f t="shared" si="8"/>
        <v>1.1166493277129257E-2</v>
      </c>
      <c r="E87" s="599">
        <f t="shared" si="9"/>
        <v>-3.0294690499809047E-4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3.6821107712019236E-4</v>
      </c>
      <c r="D88" s="599">
        <f t="shared" si="8"/>
        <v>3.7237212863186671E-4</v>
      </c>
      <c r="E88" s="599">
        <f t="shared" si="9"/>
        <v>4.1610515116743507E-6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4.0769123050034732E-3</v>
      </c>
      <c r="D89" s="599">
        <f t="shared" si="8"/>
        <v>3.7601786994563E-3</v>
      </c>
      <c r="E89" s="599">
        <f t="shared" si="9"/>
        <v>-3.167336055471732E-4</v>
      </c>
    </row>
    <row r="90" spans="1:5" s="421" customFormat="1" x14ac:dyDescent="0.2">
      <c r="A90" s="588"/>
      <c r="B90" s="592" t="s">
        <v>799</v>
      </c>
      <c r="C90" s="600">
        <f>SUM(C84+C85+C88)</f>
        <v>0.23179747200514758</v>
      </c>
      <c r="D90" s="600">
        <f>SUM(D84+D85+D88)</f>
        <v>0.22908904299323038</v>
      </c>
      <c r="E90" s="601">
        <f t="shared" si="9"/>
        <v>-2.7084290119172016E-3</v>
      </c>
    </row>
    <row r="91" spans="1:5" s="421" customFormat="1" x14ac:dyDescent="0.2">
      <c r="A91" s="588"/>
      <c r="B91" s="592" t="s">
        <v>800</v>
      </c>
      <c r="C91" s="600">
        <f>SUM(C83+C90)</f>
        <v>0.4083748709242051</v>
      </c>
      <c r="D91" s="600">
        <f>SUM(D83+D90)</f>
        <v>0.4064267152870954</v>
      </c>
      <c r="E91" s="601">
        <f t="shared" si="9"/>
        <v>-1.9481556371097053E-3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0.35728226984187988</v>
      </c>
      <c r="D95" s="599">
        <f t="shared" si="10"/>
        <v>0.33519498884862425</v>
      </c>
      <c r="E95" s="599">
        <f t="shared" ref="E95:E103" si="11">D95-C95</f>
        <v>-2.2087280993255631E-2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0.19597762391719628</v>
      </c>
      <c r="D96" s="599">
        <f t="shared" si="10"/>
        <v>0.21268929330218075</v>
      </c>
      <c r="E96" s="599">
        <f t="shared" si="11"/>
        <v>1.6711669384984473E-2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3.784488682211519E-2</v>
      </c>
      <c r="D97" s="599">
        <f t="shared" si="10"/>
        <v>4.5083381217566984E-2</v>
      </c>
      <c r="E97" s="599">
        <f t="shared" si="11"/>
        <v>7.2384943954517944E-3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2.5124480233429822E-2</v>
      </c>
      <c r="D98" s="599">
        <f t="shared" si="10"/>
        <v>2.9898017892886857E-2</v>
      </c>
      <c r="E98" s="599">
        <f t="shared" si="11"/>
        <v>4.7735376594570354E-3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1.272040658868537E-2</v>
      </c>
      <c r="D99" s="599">
        <f t="shared" si="10"/>
        <v>1.5185363324680127E-2</v>
      </c>
      <c r="E99" s="599">
        <f t="shared" si="11"/>
        <v>2.4649567359947572E-3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5.2034849460353707E-4</v>
      </c>
      <c r="D100" s="599">
        <f t="shared" si="10"/>
        <v>6.056213445325869E-4</v>
      </c>
      <c r="E100" s="599">
        <f t="shared" si="11"/>
        <v>8.5272849929049835E-5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2.2627359358067433E-2</v>
      </c>
      <c r="D101" s="599">
        <f t="shared" si="10"/>
        <v>2.0962223425232029E-2</v>
      </c>
      <c r="E101" s="599">
        <f t="shared" si="11"/>
        <v>-1.6651359328354043E-3</v>
      </c>
    </row>
    <row r="102" spans="1:5" s="421" customFormat="1" x14ac:dyDescent="0.2">
      <c r="A102" s="588"/>
      <c r="B102" s="592" t="s">
        <v>802</v>
      </c>
      <c r="C102" s="600">
        <f>SUM(C96+C97+C100)</f>
        <v>0.23434285923391501</v>
      </c>
      <c r="D102" s="600">
        <f>SUM(D96+D97+D100)</f>
        <v>0.25837829586428029</v>
      </c>
      <c r="E102" s="601">
        <f t="shared" si="11"/>
        <v>2.4035436630365281E-2</v>
      </c>
    </row>
    <row r="103" spans="1:5" s="421" customFormat="1" x14ac:dyDescent="0.2">
      <c r="A103" s="588"/>
      <c r="B103" s="592" t="s">
        <v>803</v>
      </c>
      <c r="C103" s="600">
        <f>SUM(C95+C102)</f>
        <v>0.5916251290757949</v>
      </c>
      <c r="D103" s="600">
        <f>SUM(D95+D102)</f>
        <v>0.59357328471290449</v>
      </c>
      <c r="E103" s="601">
        <f t="shared" si="11"/>
        <v>1.9481556371095943E-3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0.99999999999999989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0.24781025515401556</v>
      </c>
      <c r="D109" s="599">
        <f t="shared" si="12"/>
        <v>0.25372384893597966</v>
      </c>
      <c r="E109" s="599">
        <f t="shared" ref="E109:E117" si="13">D109-C109</f>
        <v>5.9135937819640993E-3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0.17298491697404045</v>
      </c>
      <c r="D110" s="599">
        <f t="shared" si="12"/>
        <v>0.1592872952593353</v>
      </c>
      <c r="E110" s="599">
        <f t="shared" si="13"/>
        <v>-1.3697621714705149E-2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1.5590465012346575E-2</v>
      </c>
      <c r="D111" s="599">
        <f t="shared" si="12"/>
        <v>1.5229592636753412E-2</v>
      </c>
      <c r="E111" s="599">
        <f t="shared" si="13"/>
        <v>-3.608723755931624E-4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1.097256841032024E-2</v>
      </c>
      <c r="D112" s="599">
        <f t="shared" si="12"/>
        <v>7.1797503530549129E-3</v>
      </c>
      <c r="E112" s="599">
        <f t="shared" si="13"/>
        <v>-3.7928180572653269E-3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4.617896602026334E-3</v>
      </c>
      <c r="D113" s="599">
        <f t="shared" si="12"/>
        <v>8.0498422836985002E-3</v>
      </c>
      <c r="E113" s="599">
        <f t="shared" si="13"/>
        <v>3.4319456816721662E-3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2.0135247215357393E-4</v>
      </c>
      <c r="D114" s="599">
        <f t="shared" si="12"/>
        <v>1.8234892459815448E-4</v>
      </c>
      <c r="E114" s="599">
        <f t="shared" si="13"/>
        <v>-1.9003547555419457E-5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7.1700322804840494E-4</v>
      </c>
      <c r="D115" s="599">
        <f t="shared" si="12"/>
        <v>6.8230019213206409E-3</v>
      </c>
      <c r="E115" s="599">
        <f t="shared" si="13"/>
        <v>6.1059986932722361E-3</v>
      </c>
    </row>
    <row r="116" spans="1:5" s="421" customFormat="1" x14ac:dyDescent="0.2">
      <c r="A116" s="588"/>
      <c r="B116" s="592" t="s">
        <v>799</v>
      </c>
      <c r="C116" s="600">
        <f>SUM(C110+C111+C114)</f>
        <v>0.1887767344585406</v>
      </c>
      <c r="D116" s="600">
        <f>SUM(D110+D111+D114)</f>
        <v>0.17469923682068686</v>
      </c>
      <c r="E116" s="601">
        <f t="shared" si="13"/>
        <v>-1.4077497637853736E-2</v>
      </c>
    </row>
    <row r="117" spans="1:5" s="421" customFormat="1" x14ac:dyDescent="0.2">
      <c r="A117" s="588"/>
      <c r="B117" s="592" t="s">
        <v>800</v>
      </c>
      <c r="C117" s="600">
        <f>SUM(C109+C116)</f>
        <v>0.43658698961255615</v>
      </c>
      <c r="D117" s="600">
        <f>SUM(D109+D116)</f>
        <v>0.42842308575666654</v>
      </c>
      <c r="E117" s="601">
        <f t="shared" si="13"/>
        <v>-8.1639038558896093E-3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0.43955900386086133</v>
      </c>
      <c r="D121" s="599">
        <f t="shared" si="14"/>
        <v>0.43956402519316978</v>
      </c>
      <c r="E121" s="599">
        <f t="shared" ref="E121:E129" si="15">D121-C121</f>
        <v>5.0213323084524752E-6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0.10344215227947398</v>
      </c>
      <c r="D122" s="599">
        <f t="shared" si="14"/>
        <v>0.10863907312047547</v>
      </c>
      <c r="E122" s="599">
        <f t="shared" si="15"/>
        <v>5.1969208410014844E-3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1.965877361098722E-2</v>
      </c>
      <c r="D123" s="599">
        <f t="shared" si="14"/>
        <v>2.286630482252679E-2</v>
      </c>
      <c r="E123" s="599">
        <f t="shared" si="15"/>
        <v>3.2075312115395702E-3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1.361336954593597E-2</v>
      </c>
      <c r="D124" s="599">
        <f t="shared" si="14"/>
        <v>1.601741091560728E-2</v>
      </c>
      <c r="E124" s="599">
        <f t="shared" si="15"/>
        <v>2.40404136967131E-3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6.0454040650512507E-3</v>
      </c>
      <c r="D125" s="599">
        <f t="shared" si="14"/>
        <v>6.84889390691951E-3</v>
      </c>
      <c r="E125" s="599">
        <f t="shared" si="15"/>
        <v>8.0348984186825925E-4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7.5308063612132558E-4</v>
      </c>
      <c r="D126" s="599">
        <f t="shared" si="14"/>
        <v>5.075111071614596E-4</v>
      </c>
      <c r="E126" s="599">
        <f t="shared" si="15"/>
        <v>-2.4556952895986599E-4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4.9850679018867113E-3</v>
      </c>
      <c r="D127" s="599">
        <f t="shared" si="14"/>
        <v>4.8515773991014196E-3</v>
      </c>
      <c r="E127" s="599">
        <f t="shared" si="15"/>
        <v>-1.334905027852917E-4</v>
      </c>
    </row>
    <row r="128" spans="1:5" s="421" customFormat="1" x14ac:dyDescent="0.2">
      <c r="A128" s="588"/>
      <c r="B128" s="592" t="s">
        <v>802</v>
      </c>
      <c r="C128" s="600">
        <f>SUM(C122+C123+C126)</f>
        <v>0.12385400652658253</v>
      </c>
      <c r="D128" s="600">
        <f>SUM(D122+D123+D126)</f>
        <v>0.13201288905016373</v>
      </c>
      <c r="E128" s="601">
        <f t="shared" si="15"/>
        <v>8.1588825235811985E-3</v>
      </c>
    </row>
    <row r="129" spans="1:5" s="421" customFormat="1" x14ac:dyDescent="0.2">
      <c r="A129" s="588"/>
      <c r="B129" s="592" t="s">
        <v>803</v>
      </c>
      <c r="C129" s="600">
        <f>SUM(C121+C128)</f>
        <v>0.56341301038744385</v>
      </c>
      <c r="D129" s="600">
        <f>SUM(D121+D128)</f>
        <v>0.57157691424333357</v>
      </c>
      <c r="E129" s="601">
        <f t="shared" si="15"/>
        <v>8.1639038558897203E-3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7182</v>
      </c>
      <c r="D137" s="606">
        <v>7654</v>
      </c>
      <c r="E137" s="607">
        <f t="shared" ref="E137:E145" si="16">D137-C137</f>
        <v>472</v>
      </c>
    </row>
    <row r="138" spans="1:5" s="421" customFormat="1" x14ac:dyDescent="0.2">
      <c r="A138" s="588">
        <v>2</v>
      </c>
      <c r="B138" s="587" t="s">
        <v>638</v>
      </c>
      <c r="C138" s="606">
        <v>4545</v>
      </c>
      <c r="D138" s="606">
        <v>4713</v>
      </c>
      <c r="E138" s="607">
        <f t="shared" si="16"/>
        <v>168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797</v>
      </c>
      <c r="D139" s="606">
        <f>D140+D141</f>
        <v>913</v>
      </c>
      <c r="E139" s="607">
        <f t="shared" si="16"/>
        <v>116</v>
      </c>
    </row>
    <row r="140" spans="1:5" s="421" customFormat="1" x14ac:dyDescent="0.2">
      <c r="A140" s="588">
        <v>4</v>
      </c>
      <c r="B140" s="587" t="s">
        <v>115</v>
      </c>
      <c r="C140" s="606">
        <v>416</v>
      </c>
      <c r="D140" s="606">
        <v>470</v>
      </c>
      <c r="E140" s="607">
        <f t="shared" si="16"/>
        <v>54</v>
      </c>
    </row>
    <row r="141" spans="1:5" s="421" customFormat="1" x14ac:dyDescent="0.2">
      <c r="A141" s="588">
        <v>5</v>
      </c>
      <c r="B141" s="587" t="s">
        <v>746</v>
      </c>
      <c r="C141" s="606">
        <v>381</v>
      </c>
      <c r="D141" s="606">
        <v>443</v>
      </c>
      <c r="E141" s="607">
        <f t="shared" si="16"/>
        <v>62</v>
      </c>
    </row>
    <row r="142" spans="1:5" s="421" customFormat="1" x14ac:dyDescent="0.2">
      <c r="A142" s="588">
        <v>6</v>
      </c>
      <c r="B142" s="587" t="s">
        <v>424</v>
      </c>
      <c r="C142" s="606">
        <v>14</v>
      </c>
      <c r="D142" s="606">
        <v>16</v>
      </c>
      <c r="E142" s="607">
        <f t="shared" si="16"/>
        <v>2</v>
      </c>
    </row>
    <row r="143" spans="1:5" s="421" customFormat="1" x14ac:dyDescent="0.2">
      <c r="A143" s="588">
        <v>7</v>
      </c>
      <c r="B143" s="587" t="s">
        <v>761</v>
      </c>
      <c r="C143" s="606">
        <v>167</v>
      </c>
      <c r="D143" s="606">
        <v>234</v>
      </c>
      <c r="E143" s="607">
        <f t="shared" si="16"/>
        <v>67</v>
      </c>
    </row>
    <row r="144" spans="1:5" s="421" customFormat="1" x14ac:dyDescent="0.2">
      <c r="A144" s="588"/>
      <c r="B144" s="592" t="s">
        <v>810</v>
      </c>
      <c r="C144" s="608">
        <f>SUM(C138+C139+C142)</f>
        <v>5356</v>
      </c>
      <c r="D144" s="608">
        <f>SUM(D138+D139+D142)</f>
        <v>5642</v>
      </c>
      <c r="E144" s="609">
        <f t="shared" si="16"/>
        <v>286</v>
      </c>
    </row>
    <row r="145" spans="1:5" s="421" customFormat="1" x14ac:dyDescent="0.2">
      <c r="A145" s="588"/>
      <c r="B145" s="592" t="s">
        <v>138</v>
      </c>
      <c r="C145" s="608">
        <f>SUM(C137+C144)</f>
        <v>12538</v>
      </c>
      <c r="D145" s="608">
        <f>SUM(D137+D144)</f>
        <v>13296</v>
      </c>
      <c r="E145" s="609">
        <f t="shared" si="16"/>
        <v>758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25309</v>
      </c>
      <c r="D149" s="610">
        <v>24989</v>
      </c>
      <c r="E149" s="607">
        <f t="shared" ref="E149:E157" si="17">D149-C149</f>
        <v>-320</v>
      </c>
    </row>
    <row r="150" spans="1:5" s="421" customFormat="1" x14ac:dyDescent="0.2">
      <c r="A150" s="588">
        <v>2</v>
      </c>
      <c r="B150" s="587" t="s">
        <v>638</v>
      </c>
      <c r="C150" s="610">
        <v>25954</v>
      </c>
      <c r="D150" s="610">
        <v>25317</v>
      </c>
      <c r="E150" s="607">
        <f t="shared" si="17"/>
        <v>-637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3206</v>
      </c>
      <c r="D151" s="610">
        <f>D152+D153</f>
        <v>3468</v>
      </c>
      <c r="E151" s="607">
        <f t="shared" si="17"/>
        <v>262</v>
      </c>
    </row>
    <row r="152" spans="1:5" s="421" customFormat="1" x14ac:dyDescent="0.2">
      <c r="A152" s="588">
        <v>4</v>
      </c>
      <c r="B152" s="587" t="s">
        <v>115</v>
      </c>
      <c r="C152" s="610">
        <v>1607</v>
      </c>
      <c r="D152" s="610">
        <v>1861</v>
      </c>
      <c r="E152" s="607">
        <f t="shared" si="17"/>
        <v>254</v>
      </c>
    </row>
    <row r="153" spans="1:5" s="421" customFormat="1" x14ac:dyDescent="0.2">
      <c r="A153" s="588">
        <v>5</v>
      </c>
      <c r="B153" s="587" t="s">
        <v>746</v>
      </c>
      <c r="C153" s="611">
        <v>1599</v>
      </c>
      <c r="D153" s="610">
        <v>1607</v>
      </c>
      <c r="E153" s="607">
        <f t="shared" si="17"/>
        <v>8</v>
      </c>
    </row>
    <row r="154" spans="1:5" s="421" customFormat="1" x14ac:dyDescent="0.2">
      <c r="A154" s="588">
        <v>6</v>
      </c>
      <c r="B154" s="587" t="s">
        <v>424</v>
      </c>
      <c r="C154" s="610">
        <v>40</v>
      </c>
      <c r="D154" s="610">
        <v>66</v>
      </c>
      <c r="E154" s="607">
        <f t="shared" si="17"/>
        <v>26</v>
      </c>
    </row>
    <row r="155" spans="1:5" s="421" customFormat="1" x14ac:dyDescent="0.2">
      <c r="A155" s="588">
        <v>7</v>
      </c>
      <c r="B155" s="587" t="s">
        <v>761</v>
      </c>
      <c r="C155" s="610">
        <v>515</v>
      </c>
      <c r="D155" s="610">
        <v>716</v>
      </c>
      <c r="E155" s="607">
        <f t="shared" si="17"/>
        <v>201</v>
      </c>
    </row>
    <row r="156" spans="1:5" s="421" customFormat="1" x14ac:dyDescent="0.2">
      <c r="A156" s="588"/>
      <c r="B156" s="592" t="s">
        <v>811</v>
      </c>
      <c r="C156" s="608">
        <f>SUM(C150+C151+C154)</f>
        <v>29200</v>
      </c>
      <c r="D156" s="608">
        <f>SUM(D150+D151+D154)</f>
        <v>28851</v>
      </c>
      <c r="E156" s="609">
        <f t="shared" si="17"/>
        <v>-349</v>
      </c>
    </row>
    <row r="157" spans="1:5" s="421" customFormat="1" x14ac:dyDescent="0.2">
      <c r="A157" s="588"/>
      <c r="B157" s="592" t="s">
        <v>140</v>
      </c>
      <c r="C157" s="608">
        <f>SUM(C149+C156)</f>
        <v>54509</v>
      </c>
      <c r="D157" s="608">
        <f>SUM(D149+D156)</f>
        <v>53840</v>
      </c>
      <c r="E157" s="609">
        <f t="shared" si="17"/>
        <v>-669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3.5239487607908662</v>
      </c>
      <c r="D161" s="612">
        <f t="shared" si="18"/>
        <v>3.2648288476613536</v>
      </c>
      <c r="E161" s="613">
        <f t="shared" ref="E161:E169" si="19">D161-C161</f>
        <v>-0.25911991312951255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5.7104510451045103</v>
      </c>
      <c r="D162" s="612">
        <f t="shared" si="18"/>
        <v>5.3717377466581793</v>
      </c>
      <c r="E162" s="613">
        <f t="shared" si="19"/>
        <v>-0.33871329844633102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4.0225846925972393</v>
      </c>
      <c r="D163" s="612">
        <f t="shared" si="18"/>
        <v>3.7984665936473165</v>
      </c>
      <c r="E163" s="613">
        <f t="shared" si="19"/>
        <v>-0.22411809894992274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3.8629807692307692</v>
      </c>
      <c r="D164" s="612">
        <f t="shared" si="18"/>
        <v>3.9595744680851066</v>
      </c>
      <c r="E164" s="613">
        <f t="shared" si="19"/>
        <v>9.659369885433744E-2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4.1968503937007871</v>
      </c>
      <c r="D165" s="612">
        <f t="shared" si="18"/>
        <v>3.6275395033860045</v>
      </c>
      <c r="E165" s="613">
        <f t="shared" si="19"/>
        <v>-0.56931089031478255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2.8571428571428572</v>
      </c>
      <c r="D166" s="612">
        <f t="shared" si="18"/>
        <v>4.125</v>
      </c>
      <c r="E166" s="613">
        <f t="shared" si="19"/>
        <v>1.2678571428571428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3.0838323353293413</v>
      </c>
      <c r="D167" s="612">
        <f t="shared" si="18"/>
        <v>3.0598290598290596</v>
      </c>
      <c r="E167" s="613">
        <f t="shared" si="19"/>
        <v>-2.4003275500281696E-2</v>
      </c>
    </row>
    <row r="168" spans="1:5" s="421" customFormat="1" x14ac:dyDescent="0.2">
      <c r="A168" s="588"/>
      <c r="B168" s="592" t="s">
        <v>813</v>
      </c>
      <c r="C168" s="614">
        <f t="shared" si="18"/>
        <v>5.4518297236743836</v>
      </c>
      <c r="D168" s="614">
        <f t="shared" si="18"/>
        <v>5.1136121942573558</v>
      </c>
      <c r="E168" s="615">
        <f t="shared" si="19"/>
        <v>-0.33821752941702776</v>
      </c>
    </row>
    <row r="169" spans="1:5" s="421" customFormat="1" x14ac:dyDescent="0.2">
      <c r="A169" s="588"/>
      <c r="B169" s="592" t="s">
        <v>747</v>
      </c>
      <c r="C169" s="614">
        <f t="shared" si="18"/>
        <v>4.3475035890891691</v>
      </c>
      <c r="D169" s="614">
        <f t="shared" si="18"/>
        <v>4.0493381468110714</v>
      </c>
      <c r="E169" s="615">
        <f t="shared" si="19"/>
        <v>-0.29816544227809771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0.90366999999999997</v>
      </c>
      <c r="D173" s="617">
        <f t="shared" si="20"/>
        <v>0.90549999999999997</v>
      </c>
      <c r="E173" s="618">
        <f t="shared" ref="E173:E181" si="21">D173-C173</f>
        <v>1.8299999999999983E-3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1.57877</v>
      </c>
      <c r="D174" s="617">
        <f t="shared" si="20"/>
        <v>1.5670500000000001</v>
      </c>
      <c r="E174" s="618">
        <f t="shared" si="21"/>
        <v>-1.1719999999999953E-2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1.0759093099121706</v>
      </c>
      <c r="D175" s="617">
        <f t="shared" si="20"/>
        <v>1.0067463745892662</v>
      </c>
      <c r="E175" s="618">
        <f t="shared" si="21"/>
        <v>-6.9162935322904406E-2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0.99914999999999998</v>
      </c>
      <c r="D176" s="617">
        <f t="shared" si="20"/>
        <v>1.0079400000000001</v>
      </c>
      <c r="E176" s="618">
        <f t="shared" si="21"/>
        <v>8.7900000000000755E-3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1.1597200000000001</v>
      </c>
      <c r="D177" s="617">
        <f t="shared" si="20"/>
        <v>1.0054799999999999</v>
      </c>
      <c r="E177" s="618">
        <f t="shared" si="21"/>
        <v>-0.15424000000000015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1.0708</v>
      </c>
      <c r="D178" s="617">
        <f t="shared" si="20"/>
        <v>0.90332999999999997</v>
      </c>
      <c r="E178" s="618">
        <f t="shared" si="21"/>
        <v>-0.16747000000000001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1.0280499999999999</v>
      </c>
      <c r="D179" s="617">
        <f t="shared" si="20"/>
        <v>0.98980999999999997</v>
      </c>
      <c r="E179" s="618">
        <f t="shared" si="21"/>
        <v>-3.8239999999999941E-2</v>
      </c>
    </row>
    <row r="180" spans="1:5" s="421" customFormat="1" x14ac:dyDescent="0.2">
      <c r="A180" s="588"/>
      <c r="B180" s="592" t="s">
        <v>815</v>
      </c>
      <c r="C180" s="619">
        <f t="shared" si="20"/>
        <v>1.502613997386109</v>
      </c>
      <c r="D180" s="619">
        <f t="shared" si="20"/>
        <v>1.4744982931584545</v>
      </c>
      <c r="E180" s="620">
        <f t="shared" si="21"/>
        <v>-2.8115704227654525E-2</v>
      </c>
    </row>
    <row r="181" spans="1:5" s="421" customFormat="1" x14ac:dyDescent="0.2">
      <c r="A181" s="588"/>
      <c r="B181" s="592" t="s">
        <v>726</v>
      </c>
      <c r="C181" s="619">
        <f t="shared" si="20"/>
        <v>1.1595277165417133</v>
      </c>
      <c r="D181" s="619">
        <f t="shared" si="20"/>
        <v>1.146947681257521</v>
      </c>
      <c r="E181" s="620">
        <f t="shared" si="21"/>
        <v>-1.258003528419227E-2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561179954</v>
      </c>
      <c r="D185" s="589">
        <v>550833535</v>
      </c>
      <c r="E185" s="590">
        <f>D185-C185</f>
        <v>-10346419</v>
      </c>
    </row>
    <row r="186" spans="1:5" s="421" customFormat="1" ht="25.5" x14ac:dyDescent="0.2">
      <c r="A186" s="588">
        <v>2</v>
      </c>
      <c r="B186" s="587" t="s">
        <v>818</v>
      </c>
      <c r="C186" s="589">
        <v>225546338</v>
      </c>
      <c r="D186" s="589">
        <v>232113196</v>
      </c>
      <c r="E186" s="590">
        <f>D186-C186</f>
        <v>6566858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335633616</v>
      </c>
      <c r="D188" s="622">
        <f>+D185-D186</f>
        <v>318720339</v>
      </c>
      <c r="E188" s="590">
        <f t="shared" ref="E188:E197" si="22">D188-C188</f>
        <v>-16913277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0.5980855403113704</v>
      </c>
      <c r="D189" s="623">
        <f>IF(D185=0,0,+D188/D185)</f>
        <v>0.57861462447089396</v>
      </c>
      <c r="E189" s="599">
        <f t="shared" si="22"/>
        <v>-1.9470915840476444E-2</v>
      </c>
    </row>
    <row r="190" spans="1:5" s="421" customFormat="1" x14ac:dyDescent="0.2">
      <c r="A190" s="588">
        <v>5</v>
      </c>
      <c r="B190" s="587" t="s">
        <v>765</v>
      </c>
      <c r="C190" s="589">
        <v>21974981</v>
      </c>
      <c r="D190" s="589">
        <v>19112712</v>
      </c>
      <c r="E190" s="622">
        <f t="shared" si="22"/>
        <v>-2862269</v>
      </c>
    </row>
    <row r="191" spans="1:5" s="421" customFormat="1" x14ac:dyDescent="0.2">
      <c r="A191" s="588">
        <v>6</v>
      </c>
      <c r="B191" s="587" t="s">
        <v>751</v>
      </c>
      <c r="C191" s="589">
        <v>13096363</v>
      </c>
      <c r="D191" s="589">
        <v>9428381</v>
      </c>
      <c r="E191" s="622">
        <f t="shared" si="22"/>
        <v>-3667982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19751377</v>
      </c>
      <c r="D193" s="589">
        <v>20529798</v>
      </c>
      <c r="E193" s="622">
        <f t="shared" si="22"/>
        <v>778421</v>
      </c>
    </row>
    <row r="194" spans="1:5" s="421" customFormat="1" x14ac:dyDescent="0.2">
      <c r="A194" s="588">
        <v>9</v>
      </c>
      <c r="B194" s="587" t="s">
        <v>821</v>
      </c>
      <c r="C194" s="589">
        <v>25084845</v>
      </c>
      <c r="D194" s="589">
        <v>12337894</v>
      </c>
      <c r="E194" s="622">
        <f t="shared" si="22"/>
        <v>-12746951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44836222</v>
      </c>
      <c r="D195" s="589">
        <f>+D193+D194</f>
        <v>32867692</v>
      </c>
      <c r="E195" s="625">
        <f t="shared" si="22"/>
        <v>-11968530</v>
      </c>
    </row>
    <row r="196" spans="1:5" s="421" customFormat="1" x14ac:dyDescent="0.2">
      <c r="A196" s="588">
        <v>11</v>
      </c>
      <c r="B196" s="587" t="s">
        <v>823</v>
      </c>
      <c r="C196" s="589">
        <v>19028550</v>
      </c>
      <c r="D196" s="589">
        <v>20320014</v>
      </c>
      <c r="E196" s="622">
        <f t="shared" si="22"/>
        <v>1291464</v>
      </c>
    </row>
    <row r="197" spans="1:5" s="421" customFormat="1" x14ac:dyDescent="0.2">
      <c r="A197" s="588">
        <v>12</v>
      </c>
      <c r="B197" s="587" t="s">
        <v>713</v>
      </c>
      <c r="C197" s="589">
        <v>317854000</v>
      </c>
      <c r="D197" s="589">
        <v>328168956</v>
      </c>
      <c r="E197" s="622">
        <f t="shared" si="22"/>
        <v>10314956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6490.1579400000001</v>
      </c>
      <c r="D203" s="629">
        <v>6930.6970000000001</v>
      </c>
      <c r="E203" s="630">
        <f t="shared" ref="E203:E211" si="23">D203-C203</f>
        <v>440.53906000000006</v>
      </c>
    </row>
    <row r="204" spans="1:5" s="421" customFormat="1" x14ac:dyDescent="0.2">
      <c r="A204" s="588">
        <v>2</v>
      </c>
      <c r="B204" s="587" t="s">
        <v>638</v>
      </c>
      <c r="C204" s="629">
        <v>7175.50965</v>
      </c>
      <c r="D204" s="629">
        <v>7385.5066500000003</v>
      </c>
      <c r="E204" s="630">
        <f t="shared" si="23"/>
        <v>209.9970000000003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857.49972000000002</v>
      </c>
      <c r="D205" s="629">
        <f>D206+D207</f>
        <v>919.15944000000002</v>
      </c>
      <c r="E205" s="630">
        <f t="shared" si="23"/>
        <v>61.659719999999993</v>
      </c>
    </row>
    <row r="206" spans="1:5" s="421" customFormat="1" x14ac:dyDescent="0.2">
      <c r="A206" s="588">
        <v>4</v>
      </c>
      <c r="B206" s="587" t="s">
        <v>115</v>
      </c>
      <c r="C206" s="629">
        <v>415.64639999999997</v>
      </c>
      <c r="D206" s="629">
        <v>473.73180000000002</v>
      </c>
      <c r="E206" s="630">
        <f t="shared" si="23"/>
        <v>58.08540000000005</v>
      </c>
    </row>
    <row r="207" spans="1:5" s="421" customFormat="1" x14ac:dyDescent="0.2">
      <c r="A207" s="588">
        <v>5</v>
      </c>
      <c r="B207" s="587" t="s">
        <v>746</v>
      </c>
      <c r="C207" s="629">
        <v>441.85332000000005</v>
      </c>
      <c r="D207" s="629">
        <v>445.42764</v>
      </c>
      <c r="E207" s="630">
        <f t="shared" si="23"/>
        <v>3.5743199999999433</v>
      </c>
    </row>
    <row r="208" spans="1:5" s="421" customFormat="1" x14ac:dyDescent="0.2">
      <c r="A208" s="588">
        <v>6</v>
      </c>
      <c r="B208" s="587" t="s">
        <v>424</v>
      </c>
      <c r="C208" s="629">
        <v>14.991199999999999</v>
      </c>
      <c r="D208" s="629">
        <v>14.453279999999999</v>
      </c>
      <c r="E208" s="630">
        <f t="shared" si="23"/>
        <v>-0.53791999999999973</v>
      </c>
    </row>
    <row r="209" spans="1:5" s="421" customFormat="1" x14ac:dyDescent="0.2">
      <c r="A209" s="588">
        <v>7</v>
      </c>
      <c r="B209" s="587" t="s">
        <v>761</v>
      </c>
      <c r="C209" s="629">
        <v>171.68434999999999</v>
      </c>
      <c r="D209" s="629">
        <v>231.61553999999998</v>
      </c>
      <c r="E209" s="630">
        <f t="shared" si="23"/>
        <v>59.931189999999987</v>
      </c>
    </row>
    <row r="210" spans="1:5" s="421" customFormat="1" x14ac:dyDescent="0.2">
      <c r="A210" s="588"/>
      <c r="B210" s="592" t="s">
        <v>826</v>
      </c>
      <c r="C210" s="631">
        <f>C204+C205+C208</f>
        <v>8048.0005700000002</v>
      </c>
      <c r="D210" s="631">
        <f>D204+D205+D208</f>
        <v>8319.1193700000003</v>
      </c>
      <c r="E210" s="632">
        <f t="shared" si="23"/>
        <v>271.11880000000019</v>
      </c>
    </row>
    <row r="211" spans="1:5" s="421" customFormat="1" x14ac:dyDescent="0.2">
      <c r="A211" s="588"/>
      <c r="B211" s="592" t="s">
        <v>727</v>
      </c>
      <c r="C211" s="631">
        <f>C210+C203</f>
        <v>14538.158510000001</v>
      </c>
      <c r="D211" s="631">
        <f>D210+D203</f>
        <v>15249.81637</v>
      </c>
      <c r="E211" s="632">
        <f t="shared" si="23"/>
        <v>711.65785999999935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14531.878245531452</v>
      </c>
      <c r="D215" s="633">
        <f>IF(D14*D137=0,0,D25/D14*D137)</f>
        <v>14467.216195304296</v>
      </c>
      <c r="E215" s="633">
        <f t="shared" ref="E215:E223" si="24">D215-C215</f>
        <v>-64.662050227156215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4260.0852864787812</v>
      </c>
      <c r="D216" s="633">
        <f>IF(D15*D138=0,0,D26/D15*D138)</f>
        <v>4882.2574384577183</v>
      </c>
      <c r="E216" s="633">
        <f t="shared" si="24"/>
        <v>622.17215197893711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1383.6210533901385</v>
      </c>
      <c r="D217" s="633">
        <f>D218+D219</f>
        <v>1751.0109614187293</v>
      </c>
      <c r="E217" s="633">
        <f t="shared" si="24"/>
        <v>367.38990802859075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961.06556390414653</v>
      </c>
      <c r="D218" s="633">
        <f t="shared" si="25"/>
        <v>1148.5733128319976</v>
      </c>
      <c r="E218" s="633">
        <f t="shared" si="24"/>
        <v>187.50774892785103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422.55548948599193</v>
      </c>
      <c r="D219" s="633">
        <f t="shared" si="25"/>
        <v>602.43764858673171</v>
      </c>
      <c r="E219" s="633">
        <f t="shared" si="24"/>
        <v>179.88215910073978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19.784518655509025</v>
      </c>
      <c r="D220" s="633">
        <f t="shared" si="25"/>
        <v>26.022198675618462</v>
      </c>
      <c r="E220" s="633">
        <f t="shared" si="24"/>
        <v>6.2376800201094369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926.87032001146792</v>
      </c>
      <c r="D221" s="633">
        <f t="shared" si="25"/>
        <v>1304.5019063092805</v>
      </c>
      <c r="E221" s="633">
        <f t="shared" si="24"/>
        <v>377.63158629781253</v>
      </c>
    </row>
    <row r="222" spans="1:5" s="421" customFormat="1" x14ac:dyDescent="0.2">
      <c r="A222" s="588"/>
      <c r="B222" s="592" t="s">
        <v>828</v>
      </c>
      <c r="C222" s="634">
        <f>C216+C218+C219+C220</f>
        <v>5663.4908585244284</v>
      </c>
      <c r="D222" s="634">
        <f>D216+D218+D219+D220</f>
        <v>6659.2905985520656</v>
      </c>
      <c r="E222" s="634">
        <f t="shared" si="24"/>
        <v>995.7997400276372</v>
      </c>
    </row>
    <row r="223" spans="1:5" s="421" customFormat="1" x14ac:dyDescent="0.2">
      <c r="A223" s="588"/>
      <c r="B223" s="592" t="s">
        <v>829</v>
      </c>
      <c r="C223" s="634">
        <f>C215+C222</f>
        <v>20195.369104055881</v>
      </c>
      <c r="D223" s="634">
        <f>D215+D222</f>
        <v>21126.506793856362</v>
      </c>
      <c r="E223" s="634">
        <f t="shared" si="24"/>
        <v>931.13768980048189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13130.929291375611</v>
      </c>
      <c r="D227" s="636">
        <f t="shared" si="26"/>
        <v>12986.68128183933</v>
      </c>
      <c r="E227" s="636">
        <f t="shared" ref="E227:E235" si="27">D227-C227</f>
        <v>-144.24800953628073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8290.6186322249596</v>
      </c>
      <c r="D228" s="636">
        <f t="shared" si="26"/>
        <v>7650.9373937128603</v>
      </c>
      <c r="E228" s="636">
        <f t="shared" si="27"/>
        <v>-639.6812385120993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6252.5408171561849</v>
      </c>
      <c r="D229" s="636">
        <f t="shared" si="26"/>
        <v>5877.7517423962918</v>
      </c>
      <c r="E229" s="636">
        <f t="shared" si="27"/>
        <v>-374.78907475989308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9078.5340616447065</v>
      </c>
      <c r="D230" s="636">
        <f t="shared" si="26"/>
        <v>5376.3880744336775</v>
      </c>
      <c r="E230" s="636">
        <f t="shared" si="27"/>
        <v>-3702.145987211029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3594.1610668445351</v>
      </c>
      <c r="D231" s="636">
        <f t="shared" si="26"/>
        <v>6410.9739575209114</v>
      </c>
      <c r="E231" s="636">
        <f t="shared" si="27"/>
        <v>2816.8128906763764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4619.0431719942371</v>
      </c>
      <c r="D232" s="636">
        <f t="shared" si="26"/>
        <v>4475.5930833693119</v>
      </c>
      <c r="E232" s="636">
        <f t="shared" si="27"/>
        <v>-143.45008862492523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1436.2229288808212</v>
      </c>
      <c r="D233" s="636">
        <f t="shared" si="26"/>
        <v>10450.127828210492</v>
      </c>
      <c r="E233" s="636">
        <f t="shared" si="27"/>
        <v>9013.904899329671</v>
      </c>
    </row>
    <row r="234" spans="1:5" x14ac:dyDescent="0.2">
      <c r="A234" s="588"/>
      <c r="B234" s="592" t="s">
        <v>831</v>
      </c>
      <c r="C234" s="637">
        <f t="shared" si="26"/>
        <v>8066.6260439889602</v>
      </c>
      <c r="D234" s="637">
        <f t="shared" si="26"/>
        <v>7449.5056800705579</v>
      </c>
      <c r="E234" s="637">
        <f t="shared" si="27"/>
        <v>-617.12036391840229</v>
      </c>
    </row>
    <row r="235" spans="1:5" s="421" customFormat="1" x14ac:dyDescent="0.2">
      <c r="A235" s="588"/>
      <c r="B235" s="592" t="s">
        <v>832</v>
      </c>
      <c r="C235" s="637">
        <f t="shared" si="26"/>
        <v>10327.443871018846</v>
      </c>
      <c r="D235" s="637">
        <f t="shared" si="26"/>
        <v>9966.0268892798467</v>
      </c>
      <c r="E235" s="637">
        <f t="shared" si="27"/>
        <v>-361.41698173899931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10402.240333006019</v>
      </c>
      <c r="D239" s="636">
        <f t="shared" si="28"/>
        <v>10778.317534966525</v>
      </c>
      <c r="E239" s="638">
        <f t="shared" ref="E239:E247" si="29">D239-C239</f>
        <v>376.0772019605065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8350.4659197571655</v>
      </c>
      <c r="D240" s="636">
        <f t="shared" si="28"/>
        <v>7893.6738764382462</v>
      </c>
      <c r="E240" s="638">
        <f t="shared" si="29"/>
        <v>-456.79204331891924</v>
      </c>
    </row>
    <row r="241" spans="1:5" x14ac:dyDescent="0.2">
      <c r="A241" s="588">
        <v>3</v>
      </c>
      <c r="B241" s="587" t="s">
        <v>780</v>
      </c>
      <c r="C241" s="636">
        <f t="shared" si="28"/>
        <v>4886.1940799723488</v>
      </c>
      <c r="D241" s="636">
        <f t="shared" si="28"/>
        <v>4632.55866395471</v>
      </c>
      <c r="E241" s="638">
        <f t="shared" si="29"/>
        <v>-253.63541601763882</v>
      </c>
    </row>
    <row r="242" spans="1:5" x14ac:dyDescent="0.2">
      <c r="A242" s="588">
        <v>4</v>
      </c>
      <c r="B242" s="587" t="s">
        <v>115</v>
      </c>
      <c r="C242" s="636">
        <f t="shared" si="28"/>
        <v>4871.2909668532566</v>
      </c>
      <c r="D242" s="636">
        <f t="shared" si="28"/>
        <v>4947.0625309845755</v>
      </c>
      <c r="E242" s="638">
        <f t="shared" si="29"/>
        <v>75.771564131318883</v>
      </c>
    </row>
    <row r="243" spans="1:5" x14ac:dyDescent="0.2">
      <c r="A243" s="588">
        <v>5</v>
      </c>
      <c r="B243" s="587" t="s">
        <v>746</v>
      </c>
      <c r="C243" s="636">
        <f t="shared" si="28"/>
        <v>4920.089909443529</v>
      </c>
      <c r="D243" s="636">
        <f t="shared" si="28"/>
        <v>4032.9435016215057</v>
      </c>
      <c r="E243" s="638">
        <f t="shared" si="29"/>
        <v>-887.14640782202332</v>
      </c>
    </row>
    <row r="244" spans="1:5" x14ac:dyDescent="0.2">
      <c r="A244" s="588">
        <v>6</v>
      </c>
      <c r="B244" s="587" t="s">
        <v>424</v>
      </c>
      <c r="C244" s="636">
        <f t="shared" si="28"/>
        <v>13090.235072657963</v>
      </c>
      <c r="D244" s="636">
        <f t="shared" si="28"/>
        <v>6918.5545097188506</v>
      </c>
      <c r="E244" s="638">
        <f t="shared" si="29"/>
        <v>-6171.680562939112</v>
      </c>
    </row>
    <row r="245" spans="1:5" x14ac:dyDescent="0.2">
      <c r="A245" s="588">
        <v>7</v>
      </c>
      <c r="B245" s="587" t="s">
        <v>761</v>
      </c>
      <c r="C245" s="636">
        <f t="shared" si="28"/>
        <v>1849.6244436641241</v>
      </c>
      <c r="D245" s="636">
        <f t="shared" si="28"/>
        <v>1319.3257837922686</v>
      </c>
      <c r="E245" s="638">
        <f t="shared" si="29"/>
        <v>-530.29865987185553</v>
      </c>
    </row>
    <row r="246" spans="1:5" ht="25.5" x14ac:dyDescent="0.2">
      <c r="A246" s="588"/>
      <c r="B246" s="592" t="s">
        <v>834</v>
      </c>
      <c r="C246" s="637">
        <f t="shared" si="28"/>
        <v>7520.683455485846</v>
      </c>
      <c r="D246" s="637">
        <f t="shared" si="28"/>
        <v>7032.3774442554623</v>
      </c>
      <c r="E246" s="639">
        <f t="shared" si="29"/>
        <v>-488.30601123038377</v>
      </c>
    </row>
    <row r="247" spans="1:5" x14ac:dyDescent="0.2">
      <c r="A247" s="588"/>
      <c r="B247" s="592" t="s">
        <v>835</v>
      </c>
      <c r="C247" s="637">
        <f t="shared" si="28"/>
        <v>9594.150569948597</v>
      </c>
      <c r="D247" s="637">
        <f t="shared" si="28"/>
        <v>9597.5589802173981</v>
      </c>
      <c r="E247" s="639">
        <f t="shared" si="29"/>
        <v>3.4084102688011626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3343715.2380337776</v>
      </c>
      <c r="D251" s="622">
        <f>((IF((IF(D15=0,0,D26/D15)*D138)=0,0,D59/(IF(D15=0,0,D26/D15)*D138)))-(IF((IF(D17=0,0,D28/D17)*D140)=0,0,D61/(IF(D17=0,0,D28/D17)*D140))))*(IF(D17=0,0,D28/D17)*D140)</f>
        <v>3384399.1546760723</v>
      </c>
      <c r="E251" s="622">
        <f>D251-C251</f>
        <v>40683.916642294731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3524669.5816615405</v>
      </c>
      <c r="D252" s="622">
        <f>IF(D231=0,0,(D228-D231)*D207)+IF(D243=0,0,(D240-D243)*D219)</f>
        <v>2878163.3159012385</v>
      </c>
      <c r="E252" s="622">
        <f>D252-C252</f>
        <v>-646506.26576030208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7202229.4902616106</v>
      </c>
      <c r="D253" s="622">
        <f>IF(D233=0,0,(D228-D233)*D209+IF(D221=0,0,(D240-D245)*D221))</f>
        <v>7927913.6155484561</v>
      </c>
      <c r="E253" s="622">
        <f>D253-C253</f>
        <v>725684.12528684549</v>
      </c>
    </row>
    <row r="254" spans="1:5" ht="15" customHeight="1" x14ac:dyDescent="0.2">
      <c r="A254" s="588"/>
      <c r="B254" s="592" t="s">
        <v>762</v>
      </c>
      <c r="C254" s="640">
        <f>+C251+C252+C253</f>
        <v>14070614.309956929</v>
      </c>
      <c r="D254" s="640">
        <f>+D251+D252+D253</f>
        <v>14190476.086125767</v>
      </c>
      <c r="E254" s="640">
        <f>D254-C254</f>
        <v>119861.77616883814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1149848623</v>
      </c>
      <c r="D258" s="625">
        <f>+D44</f>
        <v>1168376918</v>
      </c>
      <c r="E258" s="622">
        <f t="shared" ref="E258:E271" si="30">D258-C258</f>
        <v>18528295</v>
      </c>
    </row>
    <row r="259" spans="1:5" x14ac:dyDescent="0.2">
      <c r="A259" s="588">
        <v>2</v>
      </c>
      <c r="B259" s="587" t="s">
        <v>745</v>
      </c>
      <c r="C259" s="622">
        <f>+(C43-C76)</f>
        <v>428477285</v>
      </c>
      <c r="D259" s="625">
        <f>+(D43-D76)</f>
        <v>460741615</v>
      </c>
      <c r="E259" s="622">
        <f t="shared" si="30"/>
        <v>32264330</v>
      </c>
    </row>
    <row r="260" spans="1:5" x14ac:dyDescent="0.2">
      <c r="A260" s="588">
        <v>3</v>
      </c>
      <c r="B260" s="587" t="s">
        <v>749</v>
      </c>
      <c r="C260" s="622">
        <f>C195</f>
        <v>44836222</v>
      </c>
      <c r="D260" s="622">
        <f>D195</f>
        <v>32867692</v>
      </c>
      <c r="E260" s="622">
        <f t="shared" si="30"/>
        <v>-11968530</v>
      </c>
    </row>
    <row r="261" spans="1:5" x14ac:dyDescent="0.2">
      <c r="A261" s="588">
        <v>4</v>
      </c>
      <c r="B261" s="587" t="s">
        <v>750</v>
      </c>
      <c r="C261" s="622">
        <f>C188</f>
        <v>335633616</v>
      </c>
      <c r="D261" s="622">
        <f>D188</f>
        <v>318720339</v>
      </c>
      <c r="E261" s="622">
        <f t="shared" si="30"/>
        <v>-16913277</v>
      </c>
    </row>
    <row r="262" spans="1:5" x14ac:dyDescent="0.2">
      <c r="A262" s="588">
        <v>5</v>
      </c>
      <c r="B262" s="587" t="s">
        <v>751</v>
      </c>
      <c r="C262" s="622">
        <f>C191</f>
        <v>13096363</v>
      </c>
      <c r="D262" s="622">
        <f>D191</f>
        <v>9428381</v>
      </c>
      <c r="E262" s="622">
        <f t="shared" si="30"/>
        <v>-3667982</v>
      </c>
    </row>
    <row r="263" spans="1:5" x14ac:dyDescent="0.2">
      <c r="A263" s="588">
        <v>6</v>
      </c>
      <c r="B263" s="587" t="s">
        <v>752</v>
      </c>
      <c r="C263" s="622">
        <f>+C259+C260+C261+C262</f>
        <v>822043486</v>
      </c>
      <c r="D263" s="622">
        <f>+D259+D260+D261+D262</f>
        <v>821758027</v>
      </c>
      <c r="E263" s="622">
        <f t="shared" si="30"/>
        <v>-285459</v>
      </c>
    </row>
    <row r="264" spans="1:5" x14ac:dyDescent="0.2">
      <c r="A264" s="588">
        <v>7</v>
      </c>
      <c r="B264" s="587" t="s">
        <v>657</v>
      </c>
      <c r="C264" s="622">
        <f>+C258-C263</f>
        <v>327805137</v>
      </c>
      <c r="D264" s="622">
        <f>+D258-D263</f>
        <v>346618891</v>
      </c>
      <c r="E264" s="622">
        <f t="shared" si="30"/>
        <v>18813754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327805137</v>
      </c>
      <c r="D266" s="622">
        <f>+D264+D265</f>
        <v>346618891</v>
      </c>
      <c r="E266" s="641">
        <f t="shared" si="30"/>
        <v>18813754</v>
      </c>
    </row>
    <row r="267" spans="1:5" x14ac:dyDescent="0.2">
      <c r="A267" s="588">
        <v>10</v>
      </c>
      <c r="B267" s="587" t="s">
        <v>840</v>
      </c>
      <c r="C267" s="642">
        <f>IF(C258=0,0,C266/C258)</f>
        <v>0.28508547163777403</v>
      </c>
      <c r="D267" s="642">
        <f>IF(D258=0,0,D266/D258)</f>
        <v>0.29666701358097181</v>
      </c>
      <c r="E267" s="643">
        <f t="shared" si="30"/>
        <v>1.1581541943197771E-2</v>
      </c>
    </row>
    <row r="268" spans="1:5" x14ac:dyDescent="0.2">
      <c r="A268" s="588">
        <v>11</v>
      </c>
      <c r="B268" s="587" t="s">
        <v>719</v>
      </c>
      <c r="C268" s="622">
        <f>+C260*C267</f>
        <v>12782155.49532594</v>
      </c>
      <c r="D268" s="644">
        <f>+D260*D267</f>
        <v>9750760.0289391987</v>
      </c>
      <c r="E268" s="622">
        <f t="shared" si="30"/>
        <v>-3031395.466386741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7608244.3586724848</v>
      </c>
      <c r="D269" s="644">
        <f>((D17+D18+D28+D29)*D267)-(D50+D51+D61+D62)</f>
        <v>10223680.131823</v>
      </c>
      <c r="E269" s="622">
        <f t="shared" si="30"/>
        <v>2615435.7731505148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20390399.853998423</v>
      </c>
      <c r="D271" s="622">
        <f>+D268+D269+D270</f>
        <v>19974440.160762198</v>
      </c>
      <c r="E271" s="625">
        <f t="shared" si="30"/>
        <v>-415959.69323622435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0.41973476703260981</v>
      </c>
      <c r="D276" s="623">
        <f t="shared" si="31"/>
        <v>0.43440130619884743</v>
      </c>
      <c r="E276" s="650">
        <f t="shared" ref="E276:E284" si="32">D276-C276</f>
        <v>1.4666539166237613E-2</v>
      </c>
    </row>
    <row r="277" spans="1:5" x14ac:dyDescent="0.2">
      <c r="A277" s="588">
        <v>2</v>
      </c>
      <c r="B277" s="587" t="s">
        <v>638</v>
      </c>
      <c r="C277" s="623">
        <f t="shared" si="31"/>
        <v>0.24744400696462121</v>
      </c>
      <c r="D277" s="623">
        <f t="shared" si="31"/>
        <v>0.23555351043813252</v>
      </c>
      <c r="E277" s="650">
        <f t="shared" si="32"/>
        <v>-1.1890496526488686E-2</v>
      </c>
    </row>
    <row r="278" spans="1:5" x14ac:dyDescent="0.2">
      <c r="A278" s="588">
        <v>3</v>
      </c>
      <c r="B278" s="587" t="s">
        <v>780</v>
      </c>
      <c r="C278" s="623">
        <f t="shared" si="31"/>
        <v>0.2086778797521095</v>
      </c>
      <c r="D278" s="623">
        <f t="shared" si="31"/>
        <v>0.19760015589758775</v>
      </c>
      <c r="E278" s="650">
        <f t="shared" si="32"/>
        <v>-1.1077723854521743E-2</v>
      </c>
    </row>
    <row r="279" spans="1:5" x14ac:dyDescent="0.2">
      <c r="A279" s="588">
        <v>4</v>
      </c>
      <c r="B279" s="587" t="s">
        <v>115</v>
      </c>
      <c r="C279" s="623">
        <f t="shared" si="31"/>
        <v>0.30176000680696541</v>
      </c>
      <c r="D279" s="623">
        <f t="shared" si="31"/>
        <v>0.17817987284908943</v>
      </c>
      <c r="E279" s="650">
        <f t="shared" si="32"/>
        <v>-0.12358013395787598</v>
      </c>
    </row>
    <row r="280" spans="1:5" x14ac:dyDescent="0.2">
      <c r="A280" s="588">
        <v>5</v>
      </c>
      <c r="B280" s="587" t="s">
        <v>746</v>
      </c>
      <c r="C280" s="623">
        <f t="shared" si="31"/>
        <v>0.120418376538885</v>
      </c>
      <c r="D280" s="623">
        <f t="shared" si="31"/>
        <v>0.21887764029956142</v>
      </c>
      <c r="E280" s="650">
        <f t="shared" si="32"/>
        <v>9.8459263760676416E-2</v>
      </c>
    </row>
    <row r="281" spans="1:5" x14ac:dyDescent="0.2">
      <c r="A281" s="588">
        <v>6</v>
      </c>
      <c r="B281" s="587" t="s">
        <v>424</v>
      </c>
      <c r="C281" s="623">
        <f t="shared" si="31"/>
        <v>0.1635501326209827</v>
      </c>
      <c r="D281" s="623">
        <f t="shared" si="31"/>
        <v>0.14868147957459818</v>
      </c>
      <c r="E281" s="650">
        <f t="shared" si="32"/>
        <v>-1.4868653046384517E-2</v>
      </c>
    </row>
    <row r="282" spans="1:5" x14ac:dyDescent="0.2">
      <c r="A282" s="588">
        <v>7</v>
      </c>
      <c r="B282" s="587" t="s">
        <v>761</v>
      </c>
      <c r="C282" s="623">
        <f t="shared" si="31"/>
        <v>5.2599367895436525E-2</v>
      </c>
      <c r="D282" s="623">
        <f t="shared" si="31"/>
        <v>0.55093180397632213</v>
      </c>
      <c r="E282" s="650">
        <f t="shared" si="32"/>
        <v>0.49833243608088562</v>
      </c>
    </row>
    <row r="283" spans="1:5" ht="29.25" customHeight="1" x14ac:dyDescent="0.2">
      <c r="A283" s="588"/>
      <c r="B283" s="592" t="s">
        <v>847</v>
      </c>
      <c r="C283" s="651">
        <f t="shared" si="31"/>
        <v>0.2435737923615357</v>
      </c>
      <c r="D283" s="651">
        <f t="shared" si="31"/>
        <v>0.23153546623198967</v>
      </c>
      <c r="E283" s="652">
        <f t="shared" si="32"/>
        <v>-1.2038326129546029E-2</v>
      </c>
    </row>
    <row r="284" spans="1:5" x14ac:dyDescent="0.2">
      <c r="A284" s="588"/>
      <c r="B284" s="592" t="s">
        <v>848</v>
      </c>
      <c r="C284" s="651">
        <f t="shared" si="31"/>
        <v>0.31974411750438114</v>
      </c>
      <c r="D284" s="651">
        <f t="shared" si="31"/>
        <v>0.3200526687053788</v>
      </c>
      <c r="E284" s="652">
        <f t="shared" si="32"/>
        <v>3.0855120099765321E-4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0.36795651734305018</v>
      </c>
      <c r="D287" s="623">
        <f t="shared" si="33"/>
        <v>0.39815801223104974</v>
      </c>
      <c r="E287" s="650">
        <f t="shared" ref="E287:E295" si="34">D287-C287</f>
        <v>3.0201494887999558E-2</v>
      </c>
    </row>
    <row r="288" spans="1:5" x14ac:dyDescent="0.2">
      <c r="A288" s="588">
        <v>2</v>
      </c>
      <c r="B288" s="587" t="s">
        <v>638</v>
      </c>
      <c r="C288" s="623">
        <f t="shared" si="33"/>
        <v>0.15786354251282905</v>
      </c>
      <c r="D288" s="623">
        <f t="shared" si="33"/>
        <v>0.15508552288593819</v>
      </c>
      <c r="E288" s="650">
        <f t="shared" si="34"/>
        <v>-2.7780196268908652E-3</v>
      </c>
    </row>
    <row r="289" spans="1:5" x14ac:dyDescent="0.2">
      <c r="A289" s="588">
        <v>3</v>
      </c>
      <c r="B289" s="587" t="s">
        <v>780</v>
      </c>
      <c r="C289" s="623">
        <f t="shared" si="33"/>
        <v>0.15536027976538502</v>
      </c>
      <c r="D289" s="623">
        <f t="shared" si="33"/>
        <v>0.15399632026057752</v>
      </c>
      <c r="E289" s="650">
        <f t="shared" si="34"/>
        <v>-1.3639595048074993E-3</v>
      </c>
    </row>
    <row r="290" spans="1:5" x14ac:dyDescent="0.2">
      <c r="A290" s="588">
        <v>4</v>
      </c>
      <c r="B290" s="587" t="s">
        <v>115</v>
      </c>
      <c r="C290" s="623">
        <f t="shared" si="33"/>
        <v>0.16205384205784631</v>
      </c>
      <c r="D290" s="623">
        <f t="shared" si="33"/>
        <v>0.1626599951437292</v>
      </c>
      <c r="E290" s="650">
        <f t="shared" si="34"/>
        <v>6.061530858828823E-4</v>
      </c>
    </row>
    <row r="291" spans="1:5" x14ac:dyDescent="0.2">
      <c r="A291" s="588">
        <v>5</v>
      </c>
      <c r="B291" s="587" t="s">
        <v>746</v>
      </c>
      <c r="C291" s="623">
        <f t="shared" si="33"/>
        <v>0.14213961167308034</v>
      </c>
      <c r="D291" s="623">
        <f t="shared" si="33"/>
        <v>0.13693866407308034</v>
      </c>
      <c r="E291" s="650">
        <f t="shared" si="34"/>
        <v>-5.2009476000000054E-3</v>
      </c>
    </row>
    <row r="292" spans="1:5" x14ac:dyDescent="0.2">
      <c r="A292" s="588">
        <v>6</v>
      </c>
      <c r="B292" s="587" t="s">
        <v>424</v>
      </c>
      <c r="C292" s="623">
        <f t="shared" si="33"/>
        <v>0.43285053867315593</v>
      </c>
      <c r="D292" s="623">
        <f t="shared" si="33"/>
        <v>0.25443403985901519</v>
      </c>
      <c r="E292" s="650">
        <f t="shared" si="34"/>
        <v>-0.17841649881414073</v>
      </c>
    </row>
    <row r="293" spans="1:5" x14ac:dyDescent="0.2">
      <c r="A293" s="588">
        <v>7</v>
      </c>
      <c r="B293" s="587" t="s">
        <v>761</v>
      </c>
      <c r="C293" s="623">
        <f t="shared" si="33"/>
        <v>6.5891286652744532E-2</v>
      </c>
      <c r="D293" s="623">
        <f t="shared" si="33"/>
        <v>7.0271051779090932E-2</v>
      </c>
      <c r="E293" s="650">
        <f t="shared" si="34"/>
        <v>4.3797651263463994E-3</v>
      </c>
    </row>
    <row r="294" spans="1:5" ht="29.25" customHeight="1" x14ac:dyDescent="0.2">
      <c r="A294" s="588"/>
      <c r="B294" s="592" t="s">
        <v>850</v>
      </c>
      <c r="C294" s="651">
        <f t="shared" si="33"/>
        <v>0.15806987853809823</v>
      </c>
      <c r="D294" s="651">
        <f t="shared" si="33"/>
        <v>0.15512833857681207</v>
      </c>
      <c r="E294" s="652">
        <f t="shared" si="34"/>
        <v>-2.9415399612861548E-3</v>
      </c>
    </row>
    <row r="295" spans="1:5" x14ac:dyDescent="0.2">
      <c r="A295" s="588"/>
      <c r="B295" s="592" t="s">
        <v>851</v>
      </c>
      <c r="C295" s="651">
        <f t="shared" si="33"/>
        <v>0.28482036805645161</v>
      </c>
      <c r="D295" s="651">
        <f t="shared" si="33"/>
        <v>0.29236889647998338</v>
      </c>
      <c r="E295" s="652">
        <f t="shared" si="34"/>
        <v>7.548528423531764E-3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343899428</v>
      </c>
      <c r="D301" s="590">
        <f>+D48+D47+D50+D51+D52+D59+D58+D61+D62+D63</f>
        <v>354742975</v>
      </c>
      <c r="E301" s="590">
        <f>D301-C301</f>
        <v>10843547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343899428</v>
      </c>
      <c r="D303" s="593">
        <f>+D301+D302</f>
        <v>354742975</v>
      </c>
      <c r="E303" s="593">
        <f>D303-C303</f>
        <v>10843547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-11692829</v>
      </c>
      <c r="D305" s="654">
        <v>-14005763</v>
      </c>
      <c r="E305" s="655">
        <f>D305-C305</f>
        <v>-2312934</v>
      </c>
    </row>
    <row r="306" spans="1:5" x14ac:dyDescent="0.2">
      <c r="A306" s="588">
        <v>4</v>
      </c>
      <c r="B306" s="592" t="s">
        <v>858</v>
      </c>
      <c r="C306" s="593">
        <f>+C303+C305+C194+C190-C191</f>
        <v>366170062</v>
      </c>
      <c r="D306" s="593">
        <f>+D303+D305</f>
        <v>340737212</v>
      </c>
      <c r="E306" s="656">
        <f>D306-C306</f>
        <v>-25432850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332206599</v>
      </c>
      <c r="D308" s="589">
        <v>340737210</v>
      </c>
      <c r="E308" s="590">
        <f>D308-C308</f>
        <v>8530611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33963463</v>
      </c>
      <c r="D310" s="658">
        <f>D306-D308</f>
        <v>2</v>
      </c>
      <c r="E310" s="656">
        <f>D310-C310</f>
        <v>-33963461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1149848623</v>
      </c>
      <c r="D314" s="590">
        <f>+D14+D15+D16+D19+D25+D26+D27+D30</f>
        <v>1168376918</v>
      </c>
      <c r="E314" s="590">
        <f>D314-C314</f>
        <v>18528295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1149848623</v>
      </c>
      <c r="D316" s="657">
        <f>D314+D315</f>
        <v>1168376918</v>
      </c>
      <c r="E316" s="593">
        <f>D316-C316</f>
        <v>18528295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1149848623</v>
      </c>
      <c r="D318" s="589">
        <v>1168376920</v>
      </c>
      <c r="E318" s="590">
        <f>D318-C318</f>
        <v>18528297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-2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44836222</v>
      </c>
      <c r="D324" s="589">
        <f>+D193+D194</f>
        <v>32867692</v>
      </c>
      <c r="E324" s="590">
        <f>D324-C324</f>
        <v>-11968530</v>
      </c>
    </row>
    <row r="325" spans="1:5" x14ac:dyDescent="0.2">
      <c r="A325" s="588">
        <v>2</v>
      </c>
      <c r="B325" s="587" t="s">
        <v>868</v>
      </c>
      <c r="C325" s="589">
        <v>2121</v>
      </c>
      <c r="D325" s="589">
        <v>33353</v>
      </c>
      <c r="E325" s="590">
        <f>D325-C325</f>
        <v>31232</v>
      </c>
    </row>
    <row r="326" spans="1:5" x14ac:dyDescent="0.2">
      <c r="A326" s="588"/>
      <c r="B326" s="592" t="s">
        <v>869</v>
      </c>
      <c r="C326" s="657">
        <f>C324+C325</f>
        <v>44838343</v>
      </c>
      <c r="D326" s="657">
        <f>D324+D325</f>
        <v>32901045</v>
      </c>
      <c r="E326" s="593">
        <f>D326-C326</f>
        <v>-11937298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44838343</v>
      </c>
      <c r="D328" s="589">
        <v>32901045</v>
      </c>
      <c r="E328" s="590">
        <f>D328-C328</f>
        <v>-11937298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FILING&amp;RGREENWICH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207197243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239886253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27341026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14294353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13046673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435071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4393306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267662350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474859593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391634088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248501261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52674382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34932154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17742228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707594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24491778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301883237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693517325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598831331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569545587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1168376918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90006753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56506049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5402591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2546966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2855625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64687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2420412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61973327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151980080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155932250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38538948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8111661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5682064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2429597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180036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1721063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46830645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202762895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245939003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108803972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354742975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7654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4713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913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470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443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234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5642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13296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0.90549999999999997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1.5670500000000001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1.0067463745892662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1.0079400000000001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1.0054799999999999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0.90332999999999997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0.98980999999999997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1.4744982931584545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1.146947681257521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550833535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232113196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318720339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0.57861462447089396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19112712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9428381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20529798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12337894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32867692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20320014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328168956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354742975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354742975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-14005763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340737212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340737210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1168376918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1168376918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1168376920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-2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32867692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33353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32901045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32901045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FILING&amp;RGREENWICH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885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3619</v>
      </c>
      <c r="D12" s="185">
        <v>3953</v>
      </c>
      <c r="E12" s="185">
        <f>+D12-C12</f>
        <v>334</v>
      </c>
      <c r="F12" s="77">
        <f>IF(C12=0,0,+E12/C12)</f>
        <v>9.2290688035368884E-2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3185</v>
      </c>
      <c r="D13" s="185">
        <v>3953</v>
      </c>
      <c r="E13" s="185">
        <f>+D13-C13</f>
        <v>768</v>
      </c>
      <c r="F13" s="77">
        <f>IF(C13=0,0,+E13/C13)</f>
        <v>0.24113029827315541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19751377</v>
      </c>
      <c r="D15" s="76">
        <v>20529798</v>
      </c>
      <c r="E15" s="76">
        <f>+D15-C15</f>
        <v>778421</v>
      </c>
      <c r="F15" s="77">
        <f>IF(C15=0,0,+E15/C15)</f>
        <v>3.9410973726034394E-2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6201.3742543171111</v>
      </c>
      <c r="D16" s="79">
        <f>IF(D13=0,0,+D15/+D13)</f>
        <v>5193.4728054642046</v>
      </c>
      <c r="E16" s="79">
        <f>+D16-C16</f>
        <v>-1007.9014488529065</v>
      </c>
      <c r="F16" s="80">
        <f>IF(C16=0,0,+E16/C16)</f>
        <v>-0.16252872468570204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0.28178900000000001</v>
      </c>
      <c r="D18" s="704">
        <v>0.27193099999999998</v>
      </c>
      <c r="E18" s="704">
        <f>+D18-C18</f>
        <v>-9.8580000000000334E-3</v>
      </c>
      <c r="F18" s="77">
        <f>IF(C18=0,0,+E18/C18)</f>
        <v>-3.4983622497684552E-2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5565720.773453</v>
      </c>
      <c r="D19" s="79">
        <f>+D15*D18</f>
        <v>5582688.499938</v>
      </c>
      <c r="E19" s="79">
        <f>+D19-C19</f>
        <v>16967.726484999992</v>
      </c>
      <c r="F19" s="80">
        <f>IF(C19=0,0,+E19/C19)</f>
        <v>3.0486126012522065E-3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1747.4790497497645</v>
      </c>
      <c r="D20" s="79">
        <f>IF(D13=0,0,+D19/D13)</f>
        <v>1412.2662534626866</v>
      </c>
      <c r="E20" s="79">
        <f>+D20-C20</f>
        <v>-335.21279628707794</v>
      </c>
      <c r="F20" s="80">
        <f>IF(C20=0,0,+E20/C20)</f>
        <v>-0.19182650363395184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3000704</v>
      </c>
      <c r="D22" s="76">
        <v>4018796</v>
      </c>
      <c r="E22" s="76">
        <f>+D22-C22</f>
        <v>1018092</v>
      </c>
      <c r="F22" s="77">
        <f>IF(C22=0,0,+E22/C22)</f>
        <v>0.33928438126519644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9159408</v>
      </c>
      <c r="D23" s="185">
        <v>9407050</v>
      </c>
      <c r="E23" s="185">
        <f>+D23-C23</f>
        <v>247642</v>
      </c>
      <c r="F23" s="77">
        <f>IF(C23=0,0,+E23/C23)</f>
        <v>2.7036900201410398E-2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7591265</v>
      </c>
      <c r="D24" s="185">
        <v>7103952</v>
      </c>
      <c r="E24" s="185">
        <f>+D24-C24</f>
        <v>-487313</v>
      </c>
      <c r="F24" s="77">
        <f>IF(C24=0,0,+E24/C24)</f>
        <v>-6.41939123453074E-2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19751377</v>
      </c>
      <c r="D25" s="79">
        <f>+D22+D23+D24</f>
        <v>20529798</v>
      </c>
      <c r="E25" s="79">
        <f>+E22+E23+E24</f>
        <v>778421</v>
      </c>
      <c r="F25" s="80">
        <f>IF(C25=0,0,+E25/C25)</f>
        <v>3.9410973726034394E-2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1191</v>
      </c>
      <c r="D27" s="185">
        <v>1076</v>
      </c>
      <c r="E27" s="185">
        <f>+D27-C27</f>
        <v>-115</v>
      </c>
      <c r="F27" s="77">
        <f>IF(C27=0,0,+E27/C27)</f>
        <v>-9.6557514693534838E-2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353</v>
      </c>
      <c r="D28" s="185">
        <v>376</v>
      </c>
      <c r="E28" s="185">
        <f>+D28-C28</f>
        <v>23</v>
      </c>
      <c r="F28" s="77">
        <f>IF(C28=0,0,+E28/C28)</f>
        <v>6.5155807365439092E-2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4301</v>
      </c>
      <c r="D29" s="185">
        <v>3452</v>
      </c>
      <c r="E29" s="185">
        <f>+D29-C29</f>
        <v>-849</v>
      </c>
      <c r="F29" s="77">
        <f>IF(C29=0,0,+E29/C29)</f>
        <v>-0.19739595442920252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11821</v>
      </c>
      <c r="D30" s="185">
        <v>10056</v>
      </c>
      <c r="E30" s="185">
        <f>+D30-C30</f>
        <v>-1765</v>
      </c>
      <c r="F30" s="77">
        <f>IF(C30=0,0,+E30/C30)</f>
        <v>-0.14931054902292532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6385577</v>
      </c>
      <c r="D33" s="76">
        <v>3903217</v>
      </c>
      <c r="E33" s="76">
        <f>+D33-C33</f>
        <v>-2482360</v>
      </c>
      <c r="F33" s="77">
        <f>IF(C33=0,0,+E33/C33)</f>
        <v>-0.38874482290323958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10788114</v>
      </c>
      <c r="D34" s="185">
        <v>5279396</v>
      </c>
      <c r="E34" s="185">
        <f>+D34-C34</f>
        <v>-5508718</v>
      </c>
      <c r="F34" s="77">
        <f>IF(C34=0,0,+E34/C34)</f>
        <v>-0.51062845646607002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7911154</v>
      </c>
      <c r="D35" s="185">
        <v>3155281</v>
      </c>
      <c r="E35" s="185">
        <f>+D35-C35</f>
        <v>-4755873</v>
      </c>
      <c r="F35" s="77">
        <f>IF(C35=0,0,+E35/C35)</f>
        <v>-0.60116046280985047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25084845</v>
      </c>
      <c r="D36" s="79">
        <f>+D33+D34+D35</f>
        <v>12337894</v>
      </c>
      <c r="E36" s="79">
        <f>+E33+E34+E35</f>
        <v>-12746951</v>
      </c>
      <c r="F36" s="80">
        <f>IF(C36=0,0,+E36/C36)</f>
        <v>-0.50815346875773004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19751377</v>
      </c>
      <c r="D39" s="76">
        <f>+D25</f>
        <v>20529798</v>
      </c>
      <c r="E39" s="76">
        <f>+D39-C39</f>
        <v>778421</v>
      </c>
      <c r="F39" s="77">
        <f>IF(C39=0,0,+E39/C39)</f>
        <v>3.9410973726034394E-2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25084845</v>
      </c>
      <c r="D40" s="185">
        <f>+D36</f>
        <v>12337894</v>
      </c>
      <c r="E40" s="185">
        <f>+D40-C40</f>
        <v>-12746951</v>
      </c>
      <c r="F40" s="77">
        <f>IF(C40=0,0,+E40/C40)</f>
        <v>-0.50815346875773004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44836222</v>
      </c>
      <c r="D41" s="79">
        <f>+D39+D40</f>
        <v>32867692</v>
      </c>
      <c r="E41" s="79">
        <f>+E39+E40</f>
        <v>-11968530</v>
      </c>
      <c r="F41" s="80">
        <f>IF(C41=0,0,+E41/C41)</f>
        <v>-0.26693886028131453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9386281</v>
      </c>
      <c r="D43" s="76">
        <f t="shared" si="0"/>
        <v>7922013</v>
      </c>
      <c r="E43" s="76">
        <f>+D43-C43</f>
        <v>-1464268</v>
      </c>
      <c r="F43" s="77">
        <f>IF(C43=0,0,+E43/C43)</f>
        <v>-0.15600086978005454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19947522</v>
      </c>
      <c r="D44" s="185">
        <f t="shared" si="0"/>
        <v>14686446</v>
      </c>
      <c r="E44" s="185">
        <f>+D44-C44</f>
        <v>-5261076</v>
      </c>
      <c r="F44" s="77">
        <f>IF(C44=0,0,+E44/C44)</f>
        <v>-0.26374584271670437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15502419</v>
      </c>
      <c r="D45" s="185">
        <f t="shared" si="0"/>
        <v>10259233</v>
      </c>
      <c r="E45" s="185">
        <f>+D45-C45</f>
        <v>-5243186</v>
      </c>
      <c r="F45" s="77">
        <f>IF(C45=0,0,+E45/C45)</f>
        <v>-0.33821728079985452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44836222</v>
      </c>
      <c r="D46" s="79">
        <f>+D43+D44+D45</f>
        <v>32867692</v>
      </c>
      <c r="E46" s="79">
        <f>+E43+E44+E45</f>
        <v>-11968530</v>
      </c>
      <c r="F46" s="80">
        <f>IF(C46=0,0,+E46/C46)</f>
        <v>-0.26693886028131453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914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FILING&amp;RGREENWICH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632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915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916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561179954</v>
      </c>
      <c r="D15" s="76">
        <v>550833535</v>
      </c>
      <c r="E15" s="76">
        <f>+D15-C15</f>
        <v>-10346419</v>
      </c>
      <c r="F15" s="77">
        <f>IF(C15=0,0,E15/C15)</f>
        <v>-1.8436900545453196E-2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335633616</v>
      </c>
      <c r="D17" s="76">
        <v>318720339</v>
      </c>
      <c r="E17" s="76">
        <f>+D17-C17</f>
        <v>-16913277</v>
      </c>
      <c r="F17" s="77">
        <f>IF(C17=0,0,E17/C17)</f>
        <v>-5.0392082895534519E-2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225546338</v>
      </c>
      <c r="D19" s="79">
        <f>+D15-D17</f>
        <v>232113196</v>
      </c>
      <c r="E19" s="79">
        <f>+D19-C19</f>
        <v>6566858</v>
      </c>
      <c r="F19" s="80">
        <f>IF(C19=0,0,E19/C19)</f>
        <v>2.911533859618683E-2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0.5980855403113704</v>
      </c>
      <c r="D21" s="720">
        <f>IF(D15=0,0,D17/D15)</f>
        <v>0.57861462447089396</v>
      </c>
      <c r="E21" s="720">
        <f>+D21-C21</f>
        <v>-1.9470915840476444E-2</v>
      </c>
      <c r="F21" s="80">
        <f>IF(C21=0,0,E21/C21)</f>
        <v>-3.2555403078863357E-2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FILING&amp;R&amp;12GREENWICH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434620880</v>
      </c>
      <c r="D10" s="744">
        <v>469569283</v>
      </c>
      <c r="E10" s="744">
        <v>474859593</v>
      </c>
    </row>
    <row r="11" spans="1:6" ht="26.1" customHeight="1" x14ac:dyDescent="0.25">
      <c r="A11" s="742">
        <v>2</v>
      </c>
      <c r="B11" s="743" t="s">
        <v>935</v>
      </c>
      <c r="C11" s="744">
        <v>646521658</v>
      </c>
      <c r="D11" s="744">
        <v>680279340</v>
      </c>
      <c r="E11" s="744">
        <v>693517325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1081142538</v>
      </c>
      <c r="D12" s="744">
        <f>+D11+D10</f>
        <v>1149848623</v>
      </c>
      <c r="E12" s="744">
        <f>+E11+E10</f>
        <v>1168376918</v>
      </c>
    </row>
    <row r="13" spans="1:6" ht="26.1" customHeight="1" x14ac:dyDescent="0.25">
      <c r="A13" s="742">
        <v>4</v>
      </c>
      <c r="B13" s="743" t="s">
        <v>507</v>
      </c>
      <c r="C13" s="744">
        <v>312982000</v>
      </c>
      <c r="D13" s="744">
        <v>332207000</v>
      </c>
      <c r="E13" s="744">
        <v>340737210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311019000</v>
      </c>
      <c r="D16" s="744">
        <v>317854000</v>
      </c>
      <c r="E16" s="744">
        <v>328168956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51964</v>
      </c>
      <c r="D19" s="747">
        <v>54509</v>
      </c>
      <c r="E19" s="747">
        <v>53840</v>
      </c>
    </row>
    <row r="20" spans="1:5" ht="26.1" customHeight="1" x14ac:dyDescent="0.25">
      <c r="A20" s="742">
        <v>2</v>
      </c>
      <c r="B20" s="743" t="s">
        <v>381</v>
      </c>
      <c r="C20" s="748">
        <v>12439</v>
      </c>
      <c r="D20" s="748">
        <v>12538</v>
      </c>
      <c r="E20" s="748">
        <v>13296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4.1775062304043731</v>
      </c>
      <c r="D21" s="749">
        <f>IF(D20=0,0,+D19/D20)</f>
        <v>4.3475035890891691</v>
      </c>
      <c r="E21" s="749">
        <f>IF(E20=0,0,+E19/E20)</f>
        <v>4.0493381468110714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129263.21175510943</v>
      </c>
      <c r="D22" s="748">
        <f>IF(D10=0,0,D19*(D12/D10))</f>
        <v>133477.85057547514</v>
      </c>
      <c r="E22" s="748">
        <f>IF(E10=0,0,E19*(E12/E10))</f>
        <v>132471.60674949238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30942.673601374147</v>
      </c>
      <c r="D23" s="748">
        <f>IF(D10=0,0,D20*(D12/D10))</f>
        <v>30702.182951720031</v>
      </c>
      <c r="E23" s="748">
        <f>IF(E10=0,0,E20*(E12/E10))</f>
        <v>32714.384906041058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1.1096108634134576</v>
      </c>
      <c r="D26" s="750">
        <v>1.1595277165417133</v>
      </c>
      <c r="E26" s="750">
        <v>1.146947681257521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57659.818906416913</v>
      </c>
      <c r="D27" s="748">
        <f>D19*D26</f>
        <v>63204.696300972246</v>
      </c>
      <c r="E27" s="748">
        <f>E19*E26</f>
        <v>61751.663158904928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13802.44953</v>
      </c>
      <c r="D28" s="748">
        <f>D20*D26</f>
        <v>14538.158510000001</v>
      </c>
      <c r="E28" s="748">
        <f>E20*E26</f>
        <v>15249.816369999999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143431.86400318358</v>
      </c>
      <c r="D29" s="748">
        <f>D22*D26</f>
        <v>154771.26728667671</v>
      </c>
      <c r="E29" s="748">
        <f>E22*E26</f>
        <v>151938.00219378844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34334.326771141568</v>
      </c>
      <c r="D30" s="748">
        <f>D23*D26</f>
        <v>35600.032090853849</v>
      </c>
      <c r="E30" s="748">
        <f>E23*E26</f>
        <v>37521.687911749832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20805.606535293664</v>
      </c>
      <c r="D33" s="744">
        <f>IF(D19=0,0,D12/D19)</f>
        <v>21094.65635032747</v>
      </c>
      <c r="E33" s="744">
        <f>IF(E19=0,0,E12/E19)</f>
        <v>21700.908580980682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86915.550928531229</v>
      </c>
      <c r="D34" s="744">
        <f>IF(D20=0,0,D12/D20)</f>
        <v>91709.094193651297</v>
      </c>
      <c r="E34" s="744">
        <f>IF(E20=0,0,E12/E20)</f>
        <v>87874.316937424795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8363.8842275421448</v>
      </c>
      <c r="D35" s="744">
        <f>IF(D22=0,0,D12/D22)</f>
        <v>8614.5275642554443</v>
      </c>
      <c r="E35" s="744">
        <f>IF(E22=0,0,E12/E22)</f>
        <v>8819.8289933135202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34940.178470938175</v>
      </c>
      <c r="D36" s="744">
        <f>IF(D23=0,0,D12/D23)</f>
        <v>37451.689503908121</v>
      </c>
      <c r="E36" s="744">
        <f>IF(E23=0,0,E12/E23)</f>
        <v>35714.469990974729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7537.6733441601455</v>
      </c>
      <c r="D37" s="744">
        <f>IF(D29=0,0,D12/D29)</f>
        <v>7429.3416546766448</v>
      </c>
      <c r="E37" s="744">
        <f>IF(E29=0,0,E12/E29)</f>
        <v>7689.8267788844587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31488.677357981978</v>
      </c>
      <c r="D38" s="744">
        <f>IF(D30=0,0,D12/D30)</f>
        <v>32299.089508276382</v>
      </c>
      <c r="E38" s="744">
        <f>IF(E30=0,0,E12/E30)</f>
        <v>31138.708918106146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3362.2936804587066</v>
      </c>
      <c r="D39" s="744">
        <f>IF(D22=0,0,D10/D22)</f>
        <v>3517.9565821258243</v>
      </c>
      <c r="E39" s="744">
        <f>IF(E22=0,0,E10/E22)</f>
        <v>3584.6141271463034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14046.002798565498</v>
      </c>
      <c r="D40" s="744">
        <f>IF(D23=0,0,D10/D23)</f>
        <v>15294.328867051887</v>
      </c>
      <c r="E40" s="744">
        <f>IF(E23=0,0,E10/E23)</f>
        <v>14515.314726651399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6023.0544222923563</v>
      </c>
      <c r="D43" s="744">
        <f>IF(D19=0,0,D13/D19)</f>
        <v>6094.5348474563834</v>
      </c>
      <c r="E43" s="744">
        <f>IF(E19=0,0,E13/E19)</f>
        <v>6328.7000371471022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25161.347375190933</v>
      </c>
      <c r="D44" s="744">
        <f>IF(D20=0,0,D13/D20)</f>
        <v>26496.012123145636</v>
      </c>
      <c r="E44" s="744">
        <f>IF(E20=0,0,E13/E20)</f>
        <v>25627.046480144403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2421.2766784175828</v>
      </c>
      <c r="D45" s="744">
        <f>IF(D22=0,0,D13/D22)</f>
        <v>2488.8548816730708</v>
      </c>
      <c r="E45" s="744">
        <f>IF(E22=0,0,E13/E22)</f>
        <v>2572.1527681350153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10114.898409622259</v>
      </c>
      <c r="D46" s="744">
        <f>IF(D23=0,0,D13/D23)</f>
        <v>10820.305530795775</v>
      </c>
      <c r="E46" s="744">
        <f>IF(E23=0,0,E13/E23)</f>
        <v>10415.516323434809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2182.0953257154429</v>
      </c>
      <c r="D47" s="744">
        <f>IF(D29=0,0,D13/D29)</f>
        <v>2146.438456077678</v>
      </c>
      <c r="E47" s="744">
        <f>IF(E29=0,0,E13/E29)</f>
        <v>2242.6068862311927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9115.7168185125247</v>
      </c>
      <c r="D48" s="744">
        <f>IF(D30=0,0,D13/D30)</f>
        <v>9331.6488915567206</v>
      </c>
      <c r="E48" s="744">
        <f>IF(E30=0,0,E13/E30)</f>
        <v>9081.073612717164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5985.2782695712413</v>
      </c>
      <c r="D51" s="744">
        <f>IF(D19=0,0,D16/D19)</f>
        <v>5831.2205323891467</v>
      </c>
      <c r="E51" s="744">
        <f>IF(E19=0,0,E16/E19)</f>
        <v>6095.2629271916794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25003.53726183777</v>
      </c>
      <c r="D52" s="744">
        <f>IF(D20=0,0,D16/D20)</f>
        <v>25351.252193332271</v>
      </c>
      <c r="E52" s="744">
        <f>IF(E20=0,0,E16/E20)</f>
        <v>24681.780685920578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2406.0906098266296</v>
      </c>
      <c r="D53" s="744">
        <f>IF(D22=0,0,D16/D22)</f>
        <v>2381.3239322449926</v>
      </c>
      <c r="E53" s="744">
        <f>IF(E22=0,0,E16/E22)</f>
        <v>2477.2776903097201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10051.458513468204</v>
      </c>
      <c r="D54" s="744">
        <f>IF(D23=0,0,D16/D23)</f>
        <v>10352.814342219039</v>
      </c>
      <c r="E54" s="744">
        <f>IF(E23=0,0,E16/E23)</f>
        <v>10031.335051615173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2168.4093849125234</v>
      </c>
      <c r="D55" s="744">
        <f>IF(D29=0,0,D16/D29)</f>
        <v>2053.7016047768839</v>
      </c>
      <c r="E55" s="744">
        <f>IF(E29=0,0,E16/E29)</f>
        <v>2159.8872649479677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9058.5437155393811</v>
      </c>
      <c r="D56" s="744">
        <f>IF(D30=0,0,D16/D30)</f>
        <v>8928.4750976856903</v>
      </c>
      <c r="E56" s="744">
        <f>IF(E30=0,0,E16/E30)</f>
        <v>8746.1138947652362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39074720</v>
      </c>
      <c r="D59" s="752">
        <v>39440686</v>
      </c>
      <c r="E59" s="752">
        <v>33844899</v>
      </c>
    </row>
    <row r="60" spans="1:6" ht="26.1" customHeight="1" x14ac:dyDescent="0.25">
      <c r="A60" s="742">
        <v>2</v>
      </c>
      <c r="B60" s="743" t="s">
        <v>971</v>
      </c>
      <c r="C60" s="752">
        <v>14296983</v>
      </c>
      <c r="D60" s="752">
        <v>12951118</v>
      </c>
      <c r="E60" s="752">
        <v>10584076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53371703</v>
      </c>
      <c r="D61" s="755">
        <f>D59+D60</f>
        <v>52391804</v>
      </c>
      <c r="E61" s="755">
        <f>E59+E60</f>
        <v>44428975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6590578</v>
      </c>
      <c r="D64" s="744">
        <v>8035783</v>
      </c>
      <c r="E64" s="752">
        <v>9115648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2450740</v>
      </c>
      <c r="D65" s="752">
        <v>2220192</v>
      </c>
      <c r="E65" s="752">
        <v>2850672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9041318</v>
      </c>
      <c r="D66" s="757">
        <f>D64+D65</f>
        <v>10255975</v>
      </c>
      <c r="E66" s="757">
        <f>E64+E65</f>
        <v>11966320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65784702</v>
      </c>
      <c r="D69" s="752">
        <v>65742531</v>
      </c>
      <c r="E69" s="752">
        <v>73765140</v>
      </c>
    </row>
    <row r="70" spans="1:6" ht="26.1" customHeight="1" x14ac:dyDescent="0.25">
      <c r="A70" s="742">
        <v>2</v>
      </c>
      <c r="B70" s="743" t="s">
        <v>979</v>
      </c>
      <c r="C70" s="752">
        <v>24098277</v>
      </c>
      <c r="D70" s="752">
        <v>21831690</v>
      </c>
      <c r="E70" s="752">
        <v>23068051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89882979</v>
      </c>
      <c r="D71" s="755">
        <f>D69+D70</f>
        <v>87574221</v>
      </c>
      <c r="E71" s="755">
        <f>E69+E70</f>
        <v>96833191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111450000</v>
      </c>
      <c r="D75" s="744">
        <f t="shared" si="0"/>
        <v>113219000</v>
      </c>
      <c r="E75" s="744">
        <f t="shared" si="0"/>
        <v>116725687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40846000</v>
      </c>
      <c r="D76" s="744">
        <f t="shared" si="0"/>
        <v>37003000</v>
      </c>
      <c r="E76" s="744">
        <f t="shared" si="0"/>
        <v>36502799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152296000</v>
      </c>
      <c r="D77" s="757">
        <f>D75+D76</f>
        <v>150222000</v>
      </c>
      <c r="E77" s="757">
        <f>E75+E76</f>
        <v>153228486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361.4</v>
      </c>
      <c r="D80" s="749">
        <v>359.3</v>
      </c>
      <c r="E80" s="749">
        <v>389</v>
      </c>
    </row>
    <row r="81" spans="1:5" ht="26.1" customHeight="1" x14ac:dyDescent="0.25">
      <c r="A81" s="742">
        <v>2</v>
      </c>
      <c r="B81" s="743" t="s">
        <v>617</v>
      </c>
      <c r="C81" s="749">
        <v>33.5</v>
      </c>
      <c r="D81" s="749">
        <v>43.5</v>
      </c>
      <c r="E81" s="749">
        <v>47.8</v>
      </c>
    </row>
    <row r="82" spans="1:5" ht="26.1" customHeight="1" x14ac:dyDescent="0.25">
      <c r="A82" s="742">
        <v>3</v>
      </c>
      <c r="B82" s="743" t="s">
        <v>985</v>
      </c>
      <c r="C82" s="749">
        <v>1070.2</v>
      </c>
      <c r="D82" s="749">
        <v>1072.5</v>
      </c>
      <c r="E82" s="749">
        <v>1038.9000000000001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1465.1</v>
      </c>
      <c r="D83" s="759">
        <f>D80+D81+D82</f>
        <v>1475.3</v>
      </c>
      <c r="E83" s="759">
        <f>E80+E81+E82</f>
        <v>1475.7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108120.42058660764</v>
      </c>
      <c r="D86" s="752">
        <f>IF(D80=0,0,D59/D80)</f>
        <v>109770.90453659894</v>
      </c>
      <c r="E86" s="752">
        <f>IF(E80=0,0,E59/E80)</f>
        <v>87004.881748071974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39559.997232982845</v>
      </c>
      <c r="D87" s="752">
        <f>IF(D80=0,0,D60/D80)</f>
        <v>36045.41608683551</v>
      </c>
      <c r="E87" s="752">
        <f>IF(E80=0,0,E60/E80)</f>
        <v>27208.421593830335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147680.41781959048</v>
      </c>
      <c r="D88" s="755">
        <f>+D86+D87</f>
        <v>145816.32062343444</v>
      </c>
      <c r="E88" s="755">
        <f>+E86+E87</f>
        <v>114213.30334190231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196733.67164179104</v>
      </c>
      <c r="D91" s="744">
        <f>IF(D81=0,0,D64/D81)</f>
        <v>184730.64367816091</v>
      </c>
      <c r="E91" s="744">
        <f>IF(E81=0,0,E64/E81)</f>
        <v>190703.9330543933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73156.417910447766</v>
      </c>
      <c r="D92" s="744">
        <f>IF(D81=0,0,D65/D81)</f>
        <v>51038.896551724138</v>
      </c>
      <c r="E92" s="744">
        <f>IF(E81=0,0,E65/E81)</f>
        <v>59637.48953974896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269890.08955223882</v>
      </c>
      <c r="D93" s="757">
        <f>+D91+D92</f>
        <v>235769.54022988505</v>
      </c>
      <c r="E93" s="757">
        <f>+E91+E92</f>
        <v>250341.42259414226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61469.540272846192</v>
      </c>
      <c r="D96" s="752">
        <f>IF(D82=0,0,D69/D82)</f>
        <v>61298.397202797205</v>
      </c>
      <c r="E96" s="752">
        <f>IF(E82=0,0,E69/E82)</f>
        <v>71003.118683222638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22517.54531863203</v>
      </c>
      <c r="D97" s="752">
        <f>IF(D82=0,0,D70/D82)</f>
        <v>20355.888111888111</v>
      </c>
      <c r="E97" s="752">
        <f>IF(E82=0,0,E70/E82)</f>
        <v>22204.30359033593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83987.085591478215</v>
      </c>
      <c r="D98" s="757">
        <f>+D96+D97</f>
        <v>81654.285314685316</v>
      </c>
      <c r="E98" s="757">
        <f>+E96+E97</f>
        <v>93207.422273558564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76069.892840079177</v>
      </c>
      <c r="D101" s="744">
        <f>IF(D83=0,0,D75/D83)</f>
        <v>76743.035314851222</v>
      </c>
      <c r="E101" s="744">
        <f>IF(E83=0,0,E75/E83)</f>
        <v>79098.520702039707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27879.325643300799</v>
      </c>
      <c r="D102" s="761">
        <f>IF(D83=0,0,D76/D83)</f>
        <v>25081.678302718094</v>
      </c>
      <c r="E102" s="761">
        <f>IF(E83=0,0,E76/E83)</f>
        <v>24735.921257708207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103949.21848337998</v>
      </c>
      <c r="D103" s="757">
        <f>+D101+D102</f>
        <v>101824.71361756932</v>
      </c>
      <c r="E103" s="757">
        <f>+E101+E102</f>
        <v>103834.44195974791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2930.7982449388037</v>
      </c>
      <c r="D108" s="744">
        <f>IF(D19=0,0,D77/D19)</f>
        <v>2755.9118677649562</v>
      </c>
      <c r="E108" s="744">
        <f>IF(E19=0,0,E77/E19)</f>
        <v>2845.9971396731057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12243.427928290055</v>
      </c>
      <c r="D109" s="744">
        <f>IF(D20=0,0,D77/D20)</f>
        <v>11981.336736321582</v>
      </c>
      <c r="E109" s="744">
        <f>IF(E20=0,0,E77/E20)</f>
        <v>11524.404783393502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1178.1851768353586</v>
      </c>
      <c r="D110" s="744">
        <f>IF(D22=0,0,D77/D22)</f>
        <v>1125.445153276999</v>
      </c>
      <c r="E110" s="744">
        <f>IF(E22=0,0,E77/E22)</f>
        <v>1156.689269193809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4921.8759167997887</v>
      </c>
      <c r="D111" s="744">
        <f>IF(D23=0,0,D77/D23)</f>
        <v>4892.8768431947638</v>
      </c>
      <c r="E111" s="744">
        <f>IF(E23=0,0,E77/E23)</f>
        <v>4683.8259817535109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1061.8003262972284</v>
      </c>
      <c r="D112" s="744">
        <f>IF(D29=0,0,D77/D29)</f>
        <v>970.60651265295724</v>
      </c>
      <c r="E112" s="744">
        <f>IF(E29=0,0,E77/E29)</f>
        <v>1008.4934893678911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4435.6774785520684</v>
      </c>
      <c r="D113" s="744">
        <f>IF(D30=0,0,D77/D30)</f>
        <v>4219.7152973520533</v>
      </c>
      <c r="E113" s="744">
        <f>IF(E30=0,0,E77/E30)</f>
        <v>4083.7311573080069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FILING&amp;R&amp;"Arial,Bold"&amp;12GREENWICH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1149849000</v>
      </c>
      <c r="D12" s="76">
        <v>1168376920</v>
      </c>
      <c r="E12" s="76">
        <f t="shared" ref="E12:E21" si="0">D12-C12</f>
        <v>18527920</v>
      </c>
      <c r="F12" s="77">
        <f t="shared" ref="F12:F21" si="1">IF(C12=0,0,E12/C12)</f>
        <v>1.6113350535592066E-2</v>
      </c>
    </row>
    <row r="13" spans="1:8" ht="23.1" customHeight="1" x14ac:dyDescent="0.2">
      <c r="A13" s="74">
        <v>2</v>
      </c>
      <c r="B13" s="75" t="s">
        <v>72</v>
      </c>
      <c r="C13" s="76">
        <v>754434000</v>
      </c>
      <c r="D13" s="76">
        <v>773044000</v>
      </c>
      <c r="E13" s="76">
        <f t="shared" si="0"/>
        <v>18610000</v>
      </c>
      <c r="F13" s="77">
        <f t="shared" si="1"/>
        <v>2.4667499078779589E-2</v>
      </c>
    </row>
    <row r="14" spans="1:8" ht="23.1" customHeight="1" x14ac:dyDescent="0.2">
      <c r="A14" s="74">
        <v>3</v>
      </c>
      <c r="B14" s="75" t="s">
        <v>73</v>
      </c>
      <c r="C14" s="76">
        <v>19753000</v>
      </c>
      <c r="D14" s="76">
        <v>20563000</v>
      </c>
      <c r="E14" s="76">
        <f t="shared" si="0"/>
        <v>810000</v>
      </c>
      <c r="F14" s="77">
        <f t="shared" si="1"/>
        <v>4.1006429403128639E-2</v>
      </c>
    </row>
    <row r="15" spans="1:8" ht="23.1" customHeight="1" x14ac:dyDescent="0.2">
      <c r="A15" s="74">
        <v>4</v>
      </c>
      <c r="B15" s="75" t="s">
        <v>74</v>
      </c>
      <c r="C15" s="76">
        <v>18370000</v>
      </c>
      <c r="D15" s="76">
        <v>21694710</v>
      </c>
      <c r="E15" s="76">
        <f t="shared" si="0"/>
        <v>3324710</v>
      </c>
      <c r="F15" s="77">
        <f t="shared" si="1"/>
        <v>0.1809858464888405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357292000</v>
      </c>
      <c r="D16" s="79">
        <f>D12-D13-D14-D15</f>
        <v>353075210</v>
      </c>
      <c r="E16" s="79">
        <f t="shared" si="0"/>
        <v>-4216790</v>
      </c>
      <c r="F16" s="80">
        <f t="shared" si="1"/>
        <v>-1.18020834499513E-2</v>
      </c>
    </row>
    <row r="17" spans="1:7" ht="23.1" customHeight="1" x14ac:dyDescent="0.2">
      <c r="A17" s="74">
        <v>5</v>
      </c>
      <c r="B17" s="75" t="s">
        <v>76</v>
      </c>
      <c r="C17" s="76">
        <v>25085000</v>
      </c>
      <c r="D17" s="76">
        <v>12338000</v>
      </c>
      <c r="E17" s="76">
        <f t="shared" si="0"/>
        <v>-12747000</v>
      </c>
      <c r="F17" s="77">
        <f t="shared" si="1"/>
        <v>-0.50815228224038267</v>
      </c>
      <c r="G17" s="65"/>
    </row>
    <row r="18" spans="1:7" ht="31.5" customHeight="1" x14ac:dyDescent="0.25">
      <c r="A18" s="71"/>
      <c r="B18" s="81" t="s">
        <v>77</v>
      </c>
      <c r="C18" s="79">
        <f>C16-C17</f>
        <v>332207000</v>
      </c>
      <c r="D18" s="79">
        <f>D16-D17</f>
        <v>340737210</v>
      </c>
      <c r="E18" s="79">
        <f t="shared" si="0"/>
        <v>8530210</v>
      </c>
      <c r="F18" s="80">
        <f t="shared" si="1"/>
        <v>2.5677393914035528E-2</v>
      </c>
    </row>
    <row r="19" spans="1:7" ht="23.1" customHeight="1" x14ac:dyDescent="0.2">
      <c r="A19" s="74">
        <v>6</v>
      </c>
      <c r="B19" s="75" t="s">
        <v>78</v>
      </c>
      <c r="C19" s="76">
        <v>14839000</v>
      </c>
      <c r="D19" s="76">
        <v>15127276</v>
      </c>
      <c r="E19" s="76">
        <f t="shared" si="0"/>
        <v>288276</v>
      </c>
      <c r="F19" s="77">
        <f t="shared" si="1"/>
        <v>1.9426915560347733E-2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3009000</v>
      </c>
      <c r="D20" s="76">
        <v>4783198</v>
      </c>
      <c r="E20" s="76">
        <f t="shared" si="0"/>
        <v>1774198</v>
      </c>
      <c r="F20" s="77">
        <f t="shared" si="1"/>
        <v>0.58963044200731141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350055000</v>
      </c>
      <c r="D21" s="79">
        <f>SUM(D18:D20)</f>
        <v>360647684</v>
      </c>
      <c r="E21" s="79">
        <f t="shared" si="0"/>
        <v>10592684</v>
      </c>
      <c r="F21" s="80">
        <f t="shared" si="1"/>
        <v>3.0260056276870777E-2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113219000</v>
      </c>
      <c r="D24" s="76">
        <v>116725687</v>
      </c>
      <c r="E24" s="76">
        <f t="shared" ref="E24:E33" si="2">D24-C24</f>
        <v>3506687</v>
      </c>
      <c r="F24" s="77">
        <f t="shared" ref="F24:F33" si="3">IF(C24=0,0,E24/C24)</f>
        <v>3.0972601771787421E-2</v>
      </c>
    </row>
    <row r="25" spans="1:7" ht="23.1" customHeight="1" x14ac:dyDescent="0.2">
      <c r="A25" s="74">
        <v>2</v>
      </c>
      <c r="B25" s="75" t="s">
        <v>83</v>
      </c>
      <c r="C25" s="76">
        <v>37003000</v>
      </c>
      <c r="D25" s="76">
        <v>36502799</v>
      </c>
      <c r="E25" s="76">
        <f t="shared" si="2"/>
        <v>-500201</v>
      </c>
      <c r="F25" s="77">
        <f t="shared" si="3"/>
        <v>-1.3517849904061833E-2</v>
      </c>
    </row>
    <row r="26" spans="1:7" ht="23.1" customHeight="1" x14ac:dyDescent="0.2">
      <c r="A26" s="74">
        <v>3</v>
      </c>
      <c r="B26" s="75" t="s">
        <v>84</v>
      </c>
      <c r="C26" s="76">
        <v>9386000</v>
      </c>
      <c r="D26" s="76">
        <v>10436943</v>
      </c>
      <c r="E26" s="76">
        <f t="shared" si="2"/>
        <v>1050943</v>
      </c>
      <c r="F26" s="77">
        <f t="shared" si="3"/>
        <v>0.11196920946089921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46591780</v>
      </c>
      <c r="D27" s="76">
        <v>51195100</v>
      </c>
      <c r="E27" s="76">
        <f t="shared" si="2"/>
        <v>4603320</v>
      </c>
      <c r="F27" s="77">
        <f t="shared" si="3"/>
        <v>9.8801118995668333E-2</v>
      </c>
    </row>
    <row r="28" spans="1:7" ht="23.1" customHeight="1" x14ac:dyDescent="0.2">
      <c r="A28" s="74">
        <v>5</v>
      </c>
      <c r="B28" s="75" t="s">
        <v>86</v>
      </c>
      <c r="C28" s="76">
        <v>24929000</v>
      </c>
      <c r="D28" s="76">
        <v>23853013</v>
      </c>
      <c r="E28" s="76">
        <f t="shared" si="2"/>
        <v>-1075987</v>
      </c>
      <c r="F28" s="77">
        <f t="shared" si="3"/>
        <v>-4.316206025111316E-2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343000</v>
      </c>
      <c r="D30" s="76">
        <v>310142</v>
      </c>
      <c r="E30" s="76">
        <f t="shared" si="2"/>
        <v>-32858</v>
      </c>
      <c r="F30" s="77">
        <f t="shared" si="3"/>
        <v>-9.5795918367346938E-2</v>
      </c>
    </row>
    <row r="31" spans="1:7" ht="23.1" customHeight="1" x14ac:dyDescent="0.2">
      <c r="A31" s="74">
        <v>8</v>
      </c>
      <c r="B31" s="75" t="s">
        <v>89</v>
      </c>
      <c r="C31" s="76">
        <v>-1799000</v>
      </c>
      <c r="D31" s="76">
        <v>1279220</v>
      </c>
      <c r="E31" s="76">
        <f t="shared" si="2"/>
        <v>3078220</v>
      </c>
      <c r="F31" s="77">
        <f t="shared" si="3"/>
        <v>-1.7110728182323514</v>
      </c>
    </row>
    <row r="32" spans="1:7" ht="23.1" customHeight="1" x14ac:dyDescent="0.2">
      <c r="A32" s="74">
        <v>9</v>
      </c>
      <c r="B32" s="75" t="s">
        <v>90</v>
      </c>
      <c r="C32" s="76">
        <v>88181220</v>
      </c>
      <c r="D32" s="76">
        <v>87866052</v>
      </c>
      <c r="E32" s="76">
        <f t="shared" si="2"/>
        <v>-315168</v>
      </c>
      <c r="F32" s="77">
        <f t="shared" si="3"/>
        <v>-3.5740943479802161E-3</v>
      </c>
    </row>
    <row r="33" spans="1:6" ht="23.1" customHeight="1" x14ac:dyDescent="0.25">
      <c r="A33" s="71"/>
      <c r="B33" s="78" t="s">
        <v>91</v>
      </c>
      <c r="C33" s="79">
        <f>SUM(C24:C32)</f>
        <v>317854000</v>
      </c>
      <c r="D33" s="79">
        <f>SUM(D24:D32)</f>
        <v>328168956</v>
      </c>
      <c r="E33" s="79">
        <f t="shared" si="2"/>
        <v>10314956</v>
      </c>
      <c r="F33" s="80">
        <f t="shared" si="3"/>
        <v>3.2451867838693235E-2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32201000</v>
      </c>
      <c r="D35" s="79">
        <f>+D21-D33</f>
        <v>32478728</v>
      </c>
      <c r="E35" s="79">
        <f>D35-C35</f>
        <v>277728</v>
      </c>
      <c r="F35" s="80">
        <f>IF(C35=0,0,E35/C35)</f>
        <v>8.624825315983976E-3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718000</v>
      </c>
      <c r="D38" s="76">
        <v>1937173</v>
      </c>
      <c r="E38" s="76">
        <f>D38-C38</f>
        <v>1219173</v>
      </c>
      <c r="F38" s="77">
        <f>IF(C38=0,0,E38/C38)</f>
        <v>1.6980125348189414</v>
      </c>
    </row>
    <row r="39" spans="1:6" ht="23.1" customHeight="1" x14ac:dyDescent="0.2">
      <c r="A39" s="85">
        <v>2</v>
      </c>
      <c r="B39" s="75" t="s">
        <v>95</v>
      </c>
      <c r="C39" s="76">
        <v>2412000</v>
      </c>
      <c r="D39" s="76">
        <v>2759583</v>
      </c>
      <c r="E39" s="76">
        <f>D39-C39</f>
        <v>347583</v>
      </c>
      <c r="F39" s="77">
        <f>IF(C39=0,0,E39/C39)</f>
        <v>0.14410572139303482</v>
      </c>
    </row>
    <row r="40" spans="1:6" ht="23.1" customHeight="1" x14ac:dyDescent="0.2">
      <c r="A40" s="85">
        <v>3</v>
      </c>
      <c r="B40" s="75" t="s">
        <v>96</v>
      </c>
      <c r="C40" s="76">
        <v>-4457000</v>
      </c>
      <c r="D40" s="76">
        <v>-1853430</v>
      </c>
      <c r="E40" s="76">
        <f>D40-C40</f>
        <v>2603570</v>
      </c>
      <c r="F40" s="77">
        <f>IF(C40=0,0,E40/C40)</f>
        <v>-0.58415301772492711</v>
      </c>
    </row>
    <row r="41" spans="1:6" ht="23.1" customHeight="1" x14ac:dyDescent="0.25">
      <c r="A41" s="83"/>
      <c r="B41" s="78" t="s">
        <v>97</v>
      </c>
      <c r="C41" s="79">
        <f>SUM(C38:C40)</f>
        <v>-1327000</v>
      </c>
      <c r="D41" s="79">
        <f>SUM(D38:D40)</f>
        <v>2843326</v>
      </c>
      <c r="E41" s="79">
        <f>D41-C41</f>
        <v>4170326</v>
      </c>
      <c r="F41" s="80">
        <f>IF(C41=0,0,E41/C41)</f>
        <v>-3.1426721929163528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30874000</v>
      </c>
      <c r="D43" s="79">
        <f>D35+D41</f>
        <v>35322054</v>
      </c>
      <c r="E43" s="79">
        <f>D43-C43</f>
        <v>4448054</v>
      </c>
      <c r="F43" s="80">
        <f>IF(C43=0,0,E43/C43)</f>
        <v>0.14407119258923365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6345000</v>
      </c>
      <c r="D46" s="76">
        <v>-7035417</v>
      </c>
      <c r="E46" s="76">
        <f>D46-C46</f>
        <v>-13380417</v>
      </c>
      <c r="F46" s="77">
        <f>IF(C46=0,0,E46/C46)</f>
        <v>-2.1088127659574467</v>
      </c>
    </row>
    <row r="47" spans="1:6" ht="23.1" customHeight="1" x14ac:dyDescent="0.2">
      <c r="A47" s="85"/>
      <c r="B47" s="75" t="s">
        <v>101</v>
      </c>
      <c r="C47" s="76">
        <v>-847000</v>
      </c>
      <c r="D47" s="76">
        <v>-1430468</v>
      </c>
      <c r="E47" s="76">
        <f>D47-C47</f>
        <v>-583468</v>
      </c>
      <c r="F47" s="77">
        <f>IF(C47=0,0,E47/C47)</f>
        <v>0.68886422668240854</v>
      </c>
    </row>
    <row r="48" spans="1:6" ht="23.1" customHeight="1" x14ac:dyDescent="0.25">
      <c r="A48" s="83"/>
      <c r="B48" s="78" t="s">
        <v>102</v>
      </c>
      <c r="C48" s="79">
        <f>SUM(C46:C47)</f>
        <v>5498000</v>
      </c>
      <c r="D48" s="79">
        <f>SUM(D46:D47)</f>
        <v>-8465885</v>
      </c>
      <c r="E48" s="79">
        <f>D48-C48</f>
        <v>-13963885</v>
      </c>
      <c r="F48" s="80">
        <f>IF(C48=0,0,E48/C48)</f>
        <v>-2.5398117497271735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36372000</v>
      </c>
      <c r="D50" s="79">
        <f>D43+D48</f>
        <v>26856169</v>
      </c>
      <c r="E50" s="79">
        <f>D50-C50</f>
        <v>-9515831</v>
      </c>
      <c r="F50" s="80">
        <f>IF(C50=0,0,E50/C50)</f>
        <v>-0.26162517870889695</v>
      </c>
    </row>
    <row r="51" spans="1:6" ht="23.1" customHeight="1" x14ac:dyDescent="0.2">
      <c r="A51" s="85"/>
      <c r="B51" s="75" t="s">
        <v>104</v>
      </c>
      <c r="C51" s="76">
        <v>2505000</v>
      </c>
      <c r="D51" s="76">
        <v>2605000</v>
      </c>
      <c r="E51" s="76">
        <f>D51-C51</f>
        <v>100000</v>
      </c>
      <c r="F51" s="77">
        <f>IF(C51=0,0,E51/C51)</f>
        <v>3.9920159680638723E-2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FILING&amp;RGREENWICH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209423489</v>
      </c>
      <c r="D14" s="113">
        <v>207872729</v>
      </c>
      <c r="E14" s="113">
        <f t="shared" ref="E14:E25" si="0">D14-C14</f>
        <v>-1550760</v>
      </c>
      <c r="F14" s="114">
        <f t="shared" ref="F14:F25" si="1">IF(C14=0,0,E14/C14)</f>
        <v>-7.4049000301012078E-3</v>
      </c>
    </row>
    <row r="15" spans="1:6" x14ac:dyDescent="0.2">
      <c r="A15" s="115">
        <v>2</v>
      </c>
      <c r="B15" s="116" t="s">
        <v>114</v>
      </c>
      <c r="C15" s="113">
        <v>30992170</v>
      </c>
      <c r="D15" s="113">
        <v>32013524</v>
      </c>
      <c r="E15" s="113">
        <f t="shared" si="0"/>
        <v>1021354</v>
      </c>
      <c r="F15" s="114">
        <f t="shared" si="1"/>
        <v>3.2955227078323331E-2</v>
      </c>
    </row>
    <row r="16" spans="1:6" x14ac:dyDescent="0.2">
      <c r="A16" s="115">
        <v>3</v>
      </c>
      <c r="B16" s="116" t="s">
        <v>115</v>
      </c>
      <c r="C16" s="113">
        <v>12504838</v>
      </c>
      <c r="D16" s="113">
        <v>14294353</v>
      </c>
      <c r="E16" s="113">
        <f t="shared" si="0"/>
        <v>1789515</v>
      </c>
      <c r="F16" s="114">
        <f t="shared" si="1"/>
        <v>0.14310581232639719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423387</v>
      </c>
      <c r="D18" s="113">
        <v>435071</v>
      </c>
      <c r="E18" s="113">
        <f t="shared" si="0"/>
        <v>11684</v>
      </c>
      <c r="F18" s="114">
        <f t="shared" si="1"/>
        <v>2.7596501545867021E-2</v>
      </c>
    </row>
    <row r="19" spans="1:6" x14ac:dyDescent="0.2">
      <c r="A19" s="115">
        <v>6</v>
      </c>
      <c r="B19" s="116" t="s">
        <v>118</v>
      </c>
      <c r="C19" s="113">
        <v>85029776</v>
      </c>
      <c r="D19" s="113">
        <v>83766049</v>
      </c>
      <c r="E19" s="113">
        <f t="shared" si="0"/>
        <v>-1263727</v>
      </c>
      <c r="F19" s="114">
        <f t="shared" si="1"/>
        <v>-1.486217016495492E-2</v>
      </c>
    </row>
    <row r="20" spans="1:6" x14ac:dyDescent="0.2">
      <c r="A20" s="115">
        <v>7</v>
      </c>
      <c r="B20" s="116" t="s">
        <v>119</v>
      </c>
      <c r="C20" s="113">
        <v>110740982</v>
      </c>
      <c r="D20" s="113">
        <v>115313591</v>
      </c>
      <c r="E20" s="113">
        <f t="shared" si="0"/>
        <v>4572609</v>
      </c>
      <c r="F20" s="114">
        <f t="shared" si="1"/>
        <v>4.1291028103760175E-2</v>
      </c>
    </row>
    <row r="21" spans="1:6" x14ac:dyDescent="0.2">
      <c r="A21" s="115">
        <v>8</v>
      </c>
      <c r="B21" s="116" t="s">
        <v>120</v>
      </c>
      <c r="C21" s="113">
        <v>2578689</v>
      </c>
      <c r="D21" s="113">
        <v>3724297</v>
      </c>
      <c r="E21" s="113">
        <f t="shared" si="0"/>
        <v>1145608</v>
      </c>
      <c r="F21" s="114">
        <f t="shared" si="1"/>
        <v>0.44425985452297662</v>
      </c>
    </row>
    <row r="22" spans="1:6" x14ac:dyDescent="0.2">
      <c r="A22" s="115">
        <v>9</v>
      </c>
      <c r="B22" s="116" t="s">
        <v>121</v>
      </c>
      <c r="C22" s="113">
        <v>4687832</v>
      </c>
      <c r="D22" s="113">
        <v>4393306</v>
      </c>
      <c r="E22" s="113">
        <f t="shared" si="0"/>
        <v>-294526</v>
      </c>
      <c r="F22" s="114">
        <f t="shared" si="1"/>
        <v>-6.2827763452273894E-2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13188120</v>
      </c>
      <c r="D24" s="113">
        <v>13046673</v>
      </c>
      <c r="E24" s="113">
        <f t="shared" si="0"/>
        <v>-141447</v>
      </c>
      <c r="F24" s="114">
        <f t="shared" si="1"/>
        <v>-1.0725334619339224E-2</v>
      </c>
    </row>
    <row r="25" spans="1:6" ht="15.75" x14ac:dyDescent="0.25">
      <c r="A25" s="117"/>
      <c r="B25" s="118" t="s">
        <v>124</v>
      </c>
      <c r="C25" s="119">
        <f>SUM(C14:C24)</f>
        <v>469569283</v>
      </c>
      <c r="D25" s="119">
        <f>SUM(D14:D24)</f>
        <v>474859593</v>
      </c>
      <c r="E25" s="119">
        <f t="shared" si="0"/>
        <v>5290310</v>
      </c>
      <c r="F25" s="120">
        <f t="shared" si="1"/>
        <v>1.1266303379559008E-2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203916011</v>
      </c>
      <c r="D27" s="113">
        <v>221839670</v>
      </c>
      <c r="E27" s="113">
        <f t="shared" ref="E27:E38" si="2">D27-C27</f>
        <v>17923659</v>
      </c>
      <c r="F27" s="114">
        <f t="shared" ref="F27:F38" si="3">IF(C27=0,0,E27/C27)</f>
        <v>8.7897261779998237E-2</v>
      </c>
    </row>
    <row r="28" spans="1:6" x14ac:dyDescent="0.2">
      <c r="A28" s="115">
        <v>2</v>
      </c>
      <c r="B28" s="116" t="s">
        <v>114</v>
      </c>
      <c r="C28" s="113">
        <v>21428590</v>
      </c>
      <c r="D28" s="113">
        <v>26661591</v>
      </c>
      <c r="E28" s="113">
        <f t="shared" si="2"/>
        <v>5233001</v>
      </c>
      <c r="F28" s="114">
        <f t="shared" si="3"/>
        <v>0.24420650168769853</v>
      </c>
    </row>
    <row r="29" spans="1:6" x14ac:dyDescent="0.2">
      <c r="A29" s="115">
        <v>3</v>
      </c>
      <c r="B29" s="116" t="s">
        <v>115</v>
      </c>
      <c r="C29" s="113">
        <v>28889349</v>
      </c>
      <c r="D29" s="113">
        <v>34932154</v>
      </c>
      <c r="E29" s="113">
        <f t="shared" si="2"/>
        <v>6042805</v>
      </c>
      <c r="F29" s="114">
        <f t="shared" si="3"/>
        <v>0.20917068778531492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598322</v>
      </c>
      <c r="D31" s="113">
        <v>707594</v>
      </c>
      <c r="E31" s="113">
        <f t="shared" si="2"/>
        <v>109272</v>
      </c>
      <c r="F31" s="114">
        <f t="shared" si="3"/>
        <v>0.18263075735139273</v>
      </c>
    </row>
    <row r="32" spans="1:6" x14ac:dyDescent="0.2">
      <c r="A32" s="115">
        <v>6</v>
      </c>
      <c r="B32" s="116" t="s">
        <v>118</v>
      </c>
      <c r="C32" s="113">
        <v>160764875</v>
      </c>
      <c r="D32" s="113">
        <v>141511879</v>
      </c>
      <c r="E32" s="113">
        <f t="shared" si="2"/>
        <v>-19252996</v>
      </c>
      <c r="F32" s="114">
        <f t="shared" si="3"/>
        <v>-0.11975872217112102</v>
      </c>
    </row>
    <row r="33" spans="1:6" x14ac:dyDescent="0.2">
      <c r="A33" s="115">
        <v>7</v>
      </c>
      <c r="B33" s="116" t="s">
        <v>119</v>
      </c>
      <c r="C33" s="113">
        <v>218789075</v>
      </c>
      <c r="D33" s="113">
        <v>221934835</v>
      </c>
      <c r="E33" s="113">
        <f t="shared" si="2"/>
        <v>3145760</v>
      </c>
      <c r="F33" s="114">
        <f t="shared" si="3"/>
        <v>1.437804881253783E-2</v>
      </c>
    </row>
    <row r="34" spans="1:6" x14ac:dyDescent="0.2">
      <c r="A34" s="115">
        <v>8</v>
      </c>
      <c r="B34" s="116" t="s">
        <v>120</v>
      </c>
      <c r="C34" s="113">
        <v>5248538</v>
      </c>
      <c r="D34" s="113">
        <v>3695596</v>
      </c>
      <c r="E34" s="113">
        <f t="shared" si="2"/>
        <v>-1552942</v>
      </c>
      <c r="F34" s="114">
        <f t="shared" si="3"/>
        <v>-0.29588087196853674</v>
      </c>
    </row>
    <row r="35" spans="1:6" x14ac:dyDescent="0.2">
      <c r="A35" s="115">
        <v>9</v>
      </c>
      <c r="B35" s="116" t="s">
        <v>121</v>
      </c>
      <c r="C35" s="113">
        <v>26018038</v>
      </c>
      <c r="D35" s="113">
        <v>24491778</v>
      </c>
      <c r="E35" s="113">
        <f t="shared" si="2"/>
        <v>-1526260</v>
      </c>
      <c r="F35" s="114">
        <f t="shared" si="3"/>
        <v>-5.8661610072212211E-2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14626542</v>
      </c>
      <c r="D37" s="113">
        <v>17742228</v>
      </c>
      <c r="E37" s="113">
        <f t="shared" si="2"/>
        <v>3115686</v>
      </c>
      <c r="F37" s="114">
        <f t="shared" si="3"/>
        <v>0.21301589945183216</v>
      </c>
    </row>
    <row r="38" spans="1:6" ht="15.75" x14ac:dyDescent="0.25">
      <c r="A38" s="117"/>
      <c r="B38" s="118" t="s">
        <v>126</v>
      </c>
      <c r="C38" s="119">
        <f>SUM(C27:C37)</f>
        <v>680279340</v>
      </c>
      <c r="D38" s="119">
        <f>SUM(D27:D37)</f>
        <v>693517325</v>
      </c>
      <c r="E38" s="119">
        <f t="shared" si="2"/>
        <v>13237985</v>
      </c>
      <c r="F38" s="120">
        <f t="shared" si="3"/>
        <v>1.9459631098013356E-2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413339500</v>
      </c>
      <c r="D41" s="119">
        <f t="shared" si="4"/>
        <v>429712399</v>
      </c>
      <c r="E41" s="123">
        <f t="shared" ref="E41:E52" si="5">D41-C41</f>
        <v>16372899</v>
      </c>
      <c r="F41" s="124">
        <f t="shared" ref="F41:F52" si="6">IF(C41=0,0,E41/C41)</f>
        <v>3.9611261444889731E-2</v>
      </c>
    </row>
    <row r="42" spans="1:6" ht="15.75" x14ac:dyDescent="0.25">
      <c r="A42" s="121">
        <v>2</v>
      </c>
      <c r="B42" s="122" t="s">
        <v>114</v>
      </c>
      <c r="C42" s="119">
        <f t="shared" si="4"/>
        <v>52420760</v>
      </c>
      <c r="D42" s="119">
        <f t="shared" si="4"/>
        <v>58675115</v>
      </c>
      <c r="E42" s="123">
        <f t="shared" si="5"/>
        <v>6254355</v>
      </c>
      <c r="F42" s="124">
        <f t="shared" si="6"/>
        <v>0.11931065097110381</v>
      </c>
    </row>
    <row r="43" spans="1:6" ht="15.75" x14ac:dyDescent="0.25">
      <c r="A43" s="121">
        <v>3</v>
      </c>
      <c r="B43" s="122" t="s">
        <v>115</v>
      </c>
      <c r="C43" s="119">
        <f t="shared" si="4"/>
        <v>41394187</v>
      </c>
      <c r="D43" s="119">
        <f t="shared" si="4"/>
        <v>49226507</v>
      </c>
      <c r="E43" s="123">
        <f t="shared" si="5"/>
        <v>7832320</v>
      </c>
      <c r="F43" s="124">
        <f t="shared" si="6"/>
        <v>0.1892130409518612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1021709</v>
      </c>
      <c r="D45" s="119">
        <f t="shared" si="4"/>
        <v>1142665</v>
      </c>
      <c r="E45" s="123">
        <f t="shared" si="5"/>
        <v>120956</v>
      </c>
      <c r="F45" s="124">
        <f t="shared" si="6"/>
        <v>0.11838595921147803</v>
      </c>
    </row>
    <row r="46" spans="1:6" ht="15.75" x14ac:dyDescent="0.25">
      <c r="A46" s="121">
        <v>6</v>
      </c>
      <c r="B46" s="122" t="s">
        <v>118</v>
      </c>
      <c r="C46" s="119">
        <f t="shared" si="4"/>
        <v>245794651</v>
      </c>
      <c r="D46" s="119">
        <f t="shared" si="4"/>
        <v>225277928</v>
      </c>
      <c r="E46" s="123">
        <f t="shared" si="5"/>
        <v>-20516723</v>
      </c>
      <c r="F46" s="124">
        <f t="shared" si="6"/>
        <v>-8.3470990587179217E-2</v>
      </c>
    </row>
    <row r="47" spans="1:6" ht="15.75" x14ac:dyDescent="0.25">
      <c r="A47" s="121">
        <v>7</v>
      </c>
      <c r="B47" s="122" t="s">
        <v>119</v>
      </c>
      <c r="C47" s="119">
        <f t="shared" si="4"/>
        <v>329530057</v>
      </c>
      <c r="D47" s="119">
        <f t="shared" si="4"/>
        <v>337248426</v>
      </c>
      <c r="E47" s="123">
        <f t="shared" si="5"/>
        <v>7718369</v>
      </c>
      <c r="F47" s="124">
        <f t="shared" si="6"/>
        <v>2.3422352031456723E-2</v>
      </c>
    </row>
    <row r="48" spans="1:6" ht="15.75" x14ac:dyDescent="0.25">
      <c r="A48" s="121">
        <v>8</v>
      </c>
      <c r="B48" s="122" t="s">
        <v>120</v>
      </c>
      <c r="C48" s="119">
        <f t="shared" si="4"/>
        <v>7827227</v>
      </c>
      <c r="D48" s="119">
        <f t="shared" si="4"/>
        <v>7419893</v>
      </c>
      <c r="E48" s="123">
        <f t="shared" si="5"/>
        <v>-407334</v>
      </c>
      <c r="F48" s="124">
        <f t="shared" si="6"/>
        <v>-5.2040652455844195E-2</v>
      </c>
    </row>
    <row r="49" spans="1:6" ht="15.75" x14ac:dyDescent="0.25">
      <c r="A49" s="121">
        <v>9</v>
      </c>
      <c r="B49" s="122" t="s">
        <v>121</v>
      </c>
      <c r="C49" s="119">
        <f t="shared" si="4"/>
        <v>30705870</v>
      </c>
      <c r="D49" s="119">
        <f t="shared" si="4"/>
        <v>28885084</v>
      </c>
      <c r="E49" s="123">
        <f t="shared" si="5"/>
        <v>-1820786</v>
      </c>
      <c r="F49" s="124">
        <f t="shared" si="6"/>
        <v>-5.9297652207867743E-2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27814662</v>
      </c>
      <c r="D51" s="119">
        <f t="shared" si="4"/>
        <v>30788901</v>
      </c>
      <c r="E51" s="123">
        <f t="shared" si="5"/>
        <v>2974239</v>
      </c>
      <c r="F51" s="124">
        <f t="shared" si="6"/>
        <v>0.10693061810350239</v>
      </c>
    </row>
    <row r="52" spans="1:6" ht="18.75" customHeight="1" thickBot="1" x14ac:dyDescent="0.3">
      <c r="A52" s="125"/>
      <c r="B52" s="126" t="s">
        <v>128</v>
      </c>
      <c r="C52" s="127">
        <f>SUM(C41:C51)</f>
        <v>1149848623</v>
      </c>
      <c r="D52" s="128">
        <f>SUM(D41:D51)</f>
        <v>1168376918</v>
      </c>
      <c r="E52" s="127">
        <f t="shared" si="5"/>
        <v>18528295</v>
      </c>
      <c r="F52" s="129">
        <f t="shared" si="6"/>
        <v>1.6113681948549848E-2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52258379</v>
      </c>
      <c r="D57" s="113">
        <v>49136265</v>
      </c>
      <c r="E57" s="113">
        <f t="shared" ref="E57:E68" si="7">D57-C57</f>
        <v>-3122114</v>
      </c>
      <c r="F57" s="114">
        <f t="shared" ref="F57:F68" si="8">IF(C57=0,0,E57/C57)</f>
        <v>-5.9743797257852178E-2</v>
      </c>
    </row>
    <row r="58" spans="1:6" x14ac:dyDescent="0.2">
      <c r="A58" s="115">
        <v>2</v>
      </c>
      <c r="B58" s="116" t="s">
        <v>114</v>
      </c>
      <c r="C58" s="113">
        <v>7231035</v>
      </c>
      <c r="D58" s="113">
        <v>7369784</v>
      </c>
      <c r="E58" s="113">
        <f t="shared" si="7"/>
        <v>138749</v>
      </c>
      <c r="F58" s="114">
        <f t="shared" si="8"/>
        <v>1.9187986228804035E-2</v>
      </c>
    </row>
    <row r="59" spans="1:6" x14ac:dyDescent="0.2">
      <c r="A59" s="115">
        <v>3</v>
      </c>
      <c r="B59" s="116" t="s">
        <v>115</v>
      </c>
      <c r="C59" s="113">
        <v>3773460</v>
      </c>
      <c r="D59" s="113">
        <v>2546966</v>
      </c>
      <c r="E59" s="113">
        <f t="shared" si="7"/>
        <v>-1226494</v>
      </c>
      <c r="F59" s="114">
        <f t="shared" si="8"/>
        <v>-0.32503166854822896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69245</v>
      </c>
      <c r="D61" s="113">
        <v>64687</v>
      </c>
      <c r="E61" s="113">
        <f t="shared" si="7"/>
        <v>-4558</v>
      </c>
      <c r="F61" s="114">
        <f t="shared" si="8"/>
        <v>-6.5824247238067735E-2</v>
      </c>
    </row>
    <row r="62" spans="1:6" x14ac:dyDescent="0.2">
      <c r="A62" s="115">
        <v>6</v>
      </c>
      <c r="B62" s="116" t="s">
        <v>118</v>
      </c>
      <c r="C62" s="113">
        <v>35698747</v>
      </c>
      <c r="D62" s="113">
        <v>34398831</v>
      </c>
      <c r="E62" s="113">
        <f t="shared" si="7"/>
        <v>-1299916</v>
      </c>
      <c r="F62" s="114">
        <f t="shared" si="8"/>
        <v>-3.6413490927286608E-2</v>
      </c>
    </row>
    <row r="63" spans="1:6" x14ac:dyDescent="0.2">
      <c r="A63" s="115">
        <v>7</v>
      </c>
      <c r="B63" s="116" t="s">
        <v>119</v>
      </c>
      <c r="C63" s="113">
        <v>47720933</v>
      </c>
      <c r="D63" s="113">
        <v>51775582</v>
      </c>
      <c r="E63" s="113">
        <f t="shared" si="7"/>
        <v>4054649</v>
      </c>
      <c r="F63" s="114">
        <f t="shared" si="8"/>
        <v>8.4965836690577695E-2</v>
      </c>
    </row>
    <row r="64" spans="1:6" x14ac:dyDescent="0.2">
      <c r="A64" s="115">
        <v>8</v>
      </c>
      <c r="B64" s="116" t="s">
        <v>120</v>
      </c>
      <c r="C64" s="113">
        <v>1555548</v>
      </c>
      <c r="D64" s="113">
        <v>1411928</v>
      </c>
      <c r="E64" s="113">
        <f t="shared" si="7"/>
        <v>-143620</v>
      </c>
      <c r="F64" s="114">
        <f t="shared" si="8"/>
        <v>-9.232759130544349E-2</v>
      </c>
    </row>
    <row r="65" spans="1:6" x14ac:dyDescent="0.2">
      <c r="A65" s="115">
        <v>9</v>
      </c>
      <c r="B65" s="116" t="s">
        <v>121</v>
      </c>
      <c r="C65" s="113">
        <v>246577</v>
      </c>
      <c r="D65" s="113">
        <v>2420412</v>
      </c>
      <c r="E65" s="113">
        <f t="shared" si="7"/>
        <v>2173835</v>
      </c>
      <c r="F65" s="114">
        <f t="shared" si="8"/>
        <v>8.8160493476682742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1588091</v>
      </c>
      <c r="D67" s="113">
        <v>2855625</v>
      </c>
      <c r="E67" s="113">
        <f t="shared" si="7"/>
        <v>1267534</v>
      </c>
      <c r="F67" s="114">
        <f t="shared" si="8"/>
        <v>0.79814947632094135</v>
      </c>
    </row>
    <row r="68" spans="1:6" ht="15.75" x14ac:dyDescent="0.25">
      <c r="A68" s="117"/>
      <c r="B68" s="118" t="s">
        <v>131</v>
      </c>
      <c r="C68" s="119">
        <f>SUM(C57:C67)</f>
        <v>150142015</v>
      </c>
      <c r="D68" s="119">
        <f>SUM(D57:D67)</f>
        <v>151980080</v>
      </c>
      <c r="E68" s="119">
        <f t="shared" si="7"/>
        <v>1838065</v>
      </c>
      <c r="F68" s="120">
        <f t="shared" si="8"/>
        <v>1.2242176182329777E-2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31950176</v>
      </c>
      <c r="D70" s="113">
        <v>34268077</v>
      </c>
      <c r="E70" s="113">
        <f t="shared" ref="E70:E81" si="9">D70-C70</f>
        <v>2317901</v>
      </c>
      <c r="F70" s="114">
        <f t="shared" ref="F70:F81" si="10">IF(C70=0,0,E70/C70)</f>
        <v>7.2547362493402226E-2</v>
      </c>
    </row>
    <row r="71" spans="1:6" x14ac:dyDescent="0.2">
      <c r="A71" s="115">
        <v>2</v>
      </c>
      <c r="B71" s="116" t="s">
        <v>114</v>
      </c>
      <c r="C71" s="113">
        <v>3623521</v>
      </c>
      <c r="D71" s="113">
        <v>4270871</v>
      </c>
      <c r="E71" s="113">
        <f t="shared" si="9"/>
        <v>647350</v>
      </c>
      <c r="F71" s="114">
        <f t="shared" si="10"/>
        <v>0.17865220044260818</v>
      </c>
    </row>
    <row r="72" spans="1:6" x14ac:dyDescent="0.2">
      <c r="A72" s="115">
        <v>3</v>
      </c>
      <c r="B72" s="116" t="s">
        <v>115</v>
      </c>
      <c r="C72" s="113">
        <v>4681630</v>
      </c>
      <c r="D72" s="113">
        <v>5682064</v>
      </c>
      <c r="E72" s="113">
        <f t="shared" si="9"/>
        <v>1000434</v>
      </c>
      <c r="F72" s="114">
        <f t="shared" si="10"/>
        <v>0.21369352127357352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258984</v>
      </c>
      <c r="D74" s="113">
        <v>180036</v>
      </c>
      <c r="E74" s="113">
        <f t="shared" si="9"/>
        <v>-78948</v>
      </c>
      <c r="F74" s="114">
        <f t="shared" si="10"/>
        <v>-0.304837364470392</v>
      </c>
    </row>
    <row r="75" spans="1:6" x14ac:dyDescent="0.2">
      <c r="A75" s="115">
        <v>6</v>
      </c>
      <c r="B75" s="116" t="s">
        <v>118</v>
      </c>
      <c r="C75" s="113">
        <v>62613449</v>
      </c>
      <c r="D75" s="113">
        <v>57826471</v>
      </c>
      <c r="E75" s="113">
        <f t="shared" si="9"/>
        <v>-4786978</v>
      </c>
      <c r="F75" s="114">
        <f t="shared" si="10"/>
        <v>-7.6452871970045924E-2</v>
      </c>
    </row>
    <row r="76" spans="1:6" x14ac:dyDescent="0.2">
      <c r="A76" s="115">
        <v>7</v>
      </c>
      <c r="B76" s="116" t="s">
        <v>119</v>
      </c>
      <c r="C76" s="113">
        <v>85177239</v>
      </c>
      <c r="D76" s="113">
        <v>95195124</v>
      </c>
      <c r="E76" s="113">
        <f t="shared" si="9"/>
        <v>10017885</v>
      </c>
      <c r="F76" s="114">
        <f t="shared" si="10"/>
        <v>0.11761222971784752</v>
      </c>
    </row>
    <row r="77" spans="1:6" x14ac:dyDescent="0.2">
      <c r="A77" s="115">
        <v>8</v>
      </c>
      <c r="B77" s="116" t="s">
        <v>120</v>
      </c>
      <c r="C77" s="113">
        <v>1659040</v>
      </c>
      <c r="D77" s="113">
        <v>1189592</v>
      </c>
      <c r="E77" s="113">
        <f t="shared" si="9"/>
        <v>-469448</v>
      </c>
      <c r="F77" s="114">
        <f t="shared" si="10"/>
        <v>-0.28296364162407173</v>
      </c>
    </row>
    <row r="78" spans="1:6" x14ac:dyDescent="0.2">
      <c r="A78" s="115">
        <v>9</v>
      </c>
      <c r="B78" s="116" t="s">
        <v>121</v>
      </c>
      <c r="C78" s="113">
        <v>1714362</v>
      </c>
      <c r="D78" s="113">
        <v>1721063</v>
      </c>
      <c r="E78" s="113">
        <f t="shared" si="9"/>
        <v>6701</v>
      </c>
      <c r="F78" s="114">
        <f t="shared" si="10"/>
        <v>3.9087427276152881E-3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2079011</v>
      </c>
      <c r="D80" s="113">
        <v>2429597</v>
      </c>
      <c r="E80" s="113">
        <f t="shared" si="9"/>
        <v>350586</v>
      </c>
      <c r="F80" s="114">
        <f t="shared" si="10"/>
        <v>0.16863114240376795</v>
      </c>
    </row>
    <row r="81" spans="1:6" ht="15.75" x14ac:dyDescent="0.25">
      <c r="A81" s="117"/>
      <c r="B81" s="118" t="s">
        <v>133</v>
      </c>
      <c r="C81" s="119">
        <f>SUM(C70:C80)</f>
        <v>193757412</v>
      </c>
      <c r="D81" s="119">
        <f>SUM(D70:D80)</f>
        <v>202762895</v>
      </c>
      <c r="E81" s="119">
        <f t="shared" si="9"/>
        <v>9005483</v>
      </c>
      <c r="F81" s="120">
        <f t="shared" si="10"/>
        <v>4.6478134214550722E-2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84208555</v>
      </c>
      <c r="D84" s="119">
        <f t="shared" si="11"/>
        <v>83404342</v>
      </c>
      <c r="E84" s="119">
        <f t="shared" ref="E84:E95" si="12">D84-C84</f>
        <v>-804213</v>
      </c>
      <c r="F84" s="120">
        <f t="shared" ref="F84:F95" si="13">IF(C84=0,0,E84/C84)</f>
        <v>-9.5502529404524281E-3</v>
      </c>
    </row>
    <row r="85" spans="1:6" ht="15.75" x14ac:dyDescent="0.25">
      <c r="A85" s="130">
        <v>2</v>
      </c>
      <c r="B85" s="122" t="s">
        <v>114</v>
      </c>
      <c r="C85" s="119">
        <f t="shared" si="11"/>
        <v>10854556</v>
      </c>
      <c r="D85" s="119">
        <f t="shared" si="11"/>
        <v>11640655</v>
      </c>
      <c r="E85" s="119">
        <f t="shared" si="12"/>
        <v>786099</v>
      </c>
      <c r="F85" s="120">
        <f t="shared" si="13"/>
        <v>7.242111054565474E-2</v>
      </c>
    </row>
    <row r="86" spans="1:6" ht="15.75" x14ac:dyDescent="0.25">
      <c r="A86" s="130">
        <v>3</v>
      </c>
      <c r="B86" s="122" t="s">
        <v>115</v>
      </c>
      <c r="C86" s="119">
        <f t="shared" si="11"/>
        <v>8455090</v>
      </c>
      <c r="D86" s="119">
        <f t="shared" si="11"/>
        <v>8229030</v>
      </c>
      <c r="E86" s="119">
        <f t="shared" si="12"/>
        <v>-226060</v>
      </c>
      <c r="F86" s="120">
        <f t="shared" si="13"/>
        <v>-2.6736557505597221E-2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328229</v>
      </c>
      <c r="D88" s="119">
        <f t="shared" si="11"/>
        <v>244723</v>
      </c>
      <c r="E88" s="119">
        <f t="shared" si="12"/>
        <v>-83506</v>
      </c>
      <c r="F88" s="120">
        <f t="shared" si="13"/>
        <v>-0.25441383911842036</v>
      </c>
    </row>
    <row r="89" spans="1:6" ht="15.75" x14ac:dyDescent="0.25">
      <c r="A89" s="130">
        <v>6</v>
      </c>
      <c r="B89" s="122" t="s">
        <v>118</v>
      </c>
      <c r="C89" s="119">
        <f t="shared" si="11"/>
        <v>98312196</v>
      </c>
      <c r="D89" s="119">
        <f t="shared" si="11"/>
        <v>92225302</v>
      </c>
      <c r="E89" s="119">
        <f t="shared" si="12"/>
        <v>-6086894</v>
      </c>
      <c r="F89" s="120">
        <f t="shared" si="13"/>
        <v>-6.1913925714770932E-2</v>
      </c>
    </row>
    <row r="90" spans="1:6" ht="15.75" x14ac:dyDescent="0.25">
      <c r="A90" s="130">
        <v>7</v>
      </c>
      <c r="B90" s="122" t="s">
        <v>119</v>
      </c>
      <c r="C90" s="119">
        <f t="shared" si="11"/>
        <v>132898172</v>
      </c>
      <c r="D90" s="119">
        <f t="shared" si="11"/>
        <v>146970706</v>
      </c>
      <c r="E90" s="119">
        <f t="shared" si="12"/>
        <v>14072534</v>
      </c>
      <c r="F90" s="120">
        <f t="shared" si="13"/>
        <v>0.10588959793969176</v>
      </c>
    </row>
    <row r="91" spans="1:6" ht="15.75" x14ac:dyDescent="0.25">
      <c r="A91" s="130">
        <v>8</v>
      </c>
      <c r="B91" s="122" t="s">
        <v>120</v>
      </c>
      <c r="C91" s="119">
        <f t="shared" si="11"/>
        <v>3214588</v>
      </c>
      <c r="D91" s="119">
        <f t="shared" si="11"/>
        <v>2601520</v>
      </c>
      <c r="E91" s="119">
        <f t="shared" si="12"/>
        <v>-613068</v>
      </c>
      <c r="F91" s="120">
        <f t="shared" si="13"/>
        <v>-0.19071433104335611</v>
      </c>
    </row>
    <row r="92" spans="1:6" ht="15.75" x14ac:dyDescent="0.25">
      <c r="A92" s="130">
        <v>9</v>
      </c>
      <c r="B92" s="122" t="s">
        <v>121</v>
      </c>
      <c r="C92" s="119">
        <f t="shared" si="11"/>
        <v>1960939</v>
      </c>
      <c r="D92" s="119">
        <f t="shared" si="11"/>
        <v>4141475</v>
      </c>
      <c r="E92" s="119">
        <f t="shared" si="12"/>
        <v>2180536</v>
      </c>
      <c r="F92" s="120">
        <f t="shared" si="13"/>
        <v>1.1119856354532192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3667102</v>
      </c>
      <c r="D94" s="119">
        <f t="shared" si="11"/>
        <v>5285222</v>
      </c>
      <c r="E94" s="119">
        <f t="shared" si="12"/>
        <v>1618120</v>
      </c>
      <c r="F94" s="120">
        <f t="shared" si="13"/>
        <v>0.44125306577237283</v>
      </c>
    </row>
    <row r="95" spans="1:6" ht="18.75" customHeight="1" thickBot="1" x14ac:dyDescent="0.3">
      <c r="A95" s="131"/>
      <c r="B95" s="132" t="s">
        <v>134</v>
      </c>
      <c r="C95" s="128">
        <f>SUM(C84:C94)</f>
        <v>343899427</v>
      </c>
      <c r="D95" s="128">
        <f>SUM(D84:D94)</f>
        <v>354742975</v>
      </c>
      <c r="E95" s="128">
        <f t="shared" si="12"/>
        <v>10843548</v>
      </c>
      <c r="F95" s="129">
        <f t="shared" si="13"/>
        <v>3.1531160416850591E-2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3927</v>
      </c>
      <c r="D100" s="133">
        <v>4084</v>
      </c>
      <c r="E100" s="133">
        <f t="shared" ref="E100:E111" si="14">D100-C100</f>
        <v>157</v>
      </c>
      <c r="F100" s="114">
        <f t="shared" ref="F100:F111" si="15">IF(C100=0,0,E100/C100)</f>
        <v>3.9979628214922333E-2</v>
      </c>
    </row>
    <row r="101" spans="1:6" x14ac:dyDescent="0.2">
      <c r="A101" s="115">
        <v>2</v>
      </c>
      <c r="B101" s="116" t="s">
        <v>114</v>
      </c>
      <c r="C101" s="133">
        <v>618</v>
      </c>
      <c r="D101" s="133">
        <v>629</v>
      </c>
      <c r="E101" s="133">
        <f t="shared" si="14"/>
        <v>11</v>
      </c>
      <c r="F101" s="114">
        <f t="shared" si="15"/>
        <v>1.7799352750809062E-2</v>
      </c>
    </row>
    <row r="102" spans="1:6" x14ac:dyDescent="0.2">
      <c r="A102" s="115">
        <v>3</v>
      </c>
      <c r="B102" s="116" t="s">
        <v>115</v>
      </c>
      <c r="C102" s="133">
        <v>416</v>
      </c>
      <c r="D102" s="133">
        <v>470</v>
      </c>
      <c r="E102" s="133">
        <f t="shared" si="14"/>
        <v>54</v>
      </c>
      <c r="F102" s="114">
        <f t="shared" si="15"/>
        <v>0.12980769230769232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14</v>
      </c>
      <c r="D104" s="133">
        <v>16</v>
      </c>
      <c r="E104" s="133">
        <f t="shared" si="14"/>
        <v>2</v>
      </c>
      <c r="F104" s="114">
        <f t="shared" si="15"/>
        <v>0.14285714285714285</v>
      </c>
    </row>
    <row r="105" spans="1:6" x14ac:dyDescent="0.2">
      <c r="A105" s="115">
        <v>6</v>
      </c>
      <c r="B105" s="116" t="s">
        <v>118</v>
      </c>
      <c r="C105" s="133">
        <v>2868</v>
      </c>
      <c r="D105" s="133">
        <v>2994</v>
      </c>
      <c r="E105" s="133">
        <f t="shared" si="14"/>
        <v>126</v>
      </c>
      <c r="F105" s="114">
        <f t="shared" si="15"/>
        <v>4.3933054393305436E-2</v>
      </c>
    </row>
    <row r="106" spans="1:6" x14ac:dyDescent="0.2">
      <c r="A106" s="115">
        <v>7</v>
      </c>
      <c r="B106" s="116" t="s">
        <v>119</v>
      </c>
      <c r="C106" s="133">
        <v>4111</v>
      </c>
      <c r="D106" s="133">
        <v>4385</v>
      </c>
      <c r="E106" s="133">
        <f t="shared" si="14"/>
        <v>274</v>
      </c>
      <c r="F106" s="114">
        <f t="shared" si="15"/>
        <v>6.6650450012162493E-2</v>
      </c>
    </row>
    <row r="107" spans="1:6" x14ac:dyDescent="0.2">
      <c r="A107" s="115">
        <v>8</v>
      </c>
      <c r="B107" s="116" t="s">
        <v>120</v>
      </c>
      <c r="C107" s="133">
        <v>36</v>
      </c>
      <c r="D107" s="133">
        <v>41</v>
      </c>
      <c r="E107" s="133">
        <f t="shared" si="14"/>
        <v>5</v>
      </c>
      <c r="F107" s="114">
        <f t="shared" si="15"/>
        <v>0.1388888888888889</v>
      </c>
    </row>
    <row r="108" spans="1:6" x14ac:dyDescent="0.2">
      <c r="A108" s="115">
        <v>9</v>
      </c>
      <c r="B108" s="116" t="s">
        <v>121</v>
      </c>
      <c r="C108" s="133">
        <v>167</v>
      </c>
      <c r="D108" s="133">
        <v>234</v>
      </c>
      <c r="E108" s="133">
        <f t="shared" si="14"/>
        <v>67</v>
      </c>
      <c r="F108" s="114">
        <f t="shared" si="15"/>
        <v>0.40119760479041916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381</v>
      </c>
      <c r="D110" s="133">
        <v>443</v>
      </c>
      <c r="E110" s="133">
        <f t="shared" si="14"/>
        <v>62</v>
      </c>
      <c r="F110" s="114">
        <f t="shared" si="15"/>
        <v>0.16272965879265092</v>
      </c>
    </row>
    <row r="111" spans="1:6" ht="15.75" x14ac:dyDescent="0.25">
      <c r="A111" s="117"/>
      <c r="B111" s="118" t="s">
        <v>138</v>
      </c>
      <c r="C111" s="134">
        <f>SUM(C100:C110)</f>
        <v>12538</v>
      </c>
      <c r="D111" s="134">
        <f>SUM(D100:D110)</f>
        <v>13296</v>
      </c>
      <c r="E111" s="134">
        <f t="shared" si="14"/>
        <v>758</v>
      </c>
      <c r="F111" s="120">
        <f t="shared" si="15"/>
        <v>6.0456213112139098E-2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22270</v>
      </c>
      <c r="D113" s="133">
        <v>21860</v>
      </c>
      <c r="E113" s="133">
        <f t="shared" ref="E113:E124" si="16">D113-C113</f>
        <v>-410</v>
      </c>
      <c r="F113" s="114">
        <f t="shared" ref="F113:F124" si="17">IF(C113=0,0,E113/C113)</f>
        <v>-1.8410417602155366E-2</v>
      </c>
    </row>
    <row r="114" spans="1:6" x14ac:dyDescent="0.2">
      <c r="A114" s="115">
        <v>2</v>
      </c>
      <c r="B114" s="116" t="s">
        <v>114</v>
      </c>
      <c r="C114" s="133">
        <v>3684</v>
      </c>
      <c r="D114" s="133">
        <v>3457</v>
      </c>
      <c r="E114" s="133">
        <f t="shared" si="16"/>
        <v>-227</v>
      </c>
      <c r="F114" s="114">
        <f t="shared" si="17"/>
        <v>-6.1617806731813246E-2</v>
      </c>
    </row>
    <row r="115" spans="1:6" x14ac:dyDescent="0.2">
      <c r="A115" s="115">
        <v>3</v>
      </c>
      <c r="B115" s="116" t="s">
        <v>115</v>
      </c>
      <c r="C115" s="133">
        <v>1607</v>
      </c>
      <c r="D115" s="133">
        <v>1861</v>
      </c>
      <c r="E115" s="133">
        <f t="shared" si="16"/>
        <v>254</v>
      </c>
      <c r="F115" s="114">
        <f t="shared" si="17"/>
        <v>0.15805849408836342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40</v>
      </c>
      <c r="D117" s="133">
        <v>66</v>
      </c>
      <c r="E117" s="133">
        <f t="shared" si="16"/>
        <v>26</v>
      </c>
      <c r="F117" s="114">
        <f t="shared" si="17"/>
        <v>0.65</v>
      </c>
    </row>
    <row r="118" spans="1:6" x14ac:dyDescent="0.2">
      <c r="A118" s="115">
        <v>6</v>
      </c>
      <c r="B118" s="116" t="s">
        <v>118</v>
      </c>
      <c r="C118" s="133">
        <v>10317</v>
      </c>
      <c r="D118" s="133">
        <v>9594</v>
      </c>
      <c r="E118" s="133">
        <f t="shared" si="16"/>
        <v>-723</v>
      </c>
      <c r="F118" s="114">
        <f t="shared" si="17"/>
        <v>-7.0078511195114865E-2</v>
      </c>
    </row>
    <row r="119" spans="1:6" x14ac:dyDescent="0.2">
      <c r="A119" s="115">
        <v>7</v>
      </c>
      <c r="B119" s="116" t="s">
        <v>119</v>
      </c>
      <c r="C119" s="133">
        <v>14324</v>
      </c>
      <c r="D119" s="133">
        <v>14484</v>
      </c>
      <c r="E119" s="133">
        <f t="shared" si="16"/>
        <v>160</v>
      </c>
      <c r="F119" s="114">
        <f t="shared" si="17"/>
        <v>1.1170064227869311E-2</v>
      </c>
    </row>
    <row r="120" spans="1:6" x14ac:dyDescent="0.2">
      <c r="A120" s="115">
        <v>8</v>
      </c>
      <c r="B120" s="116" t="s">
        <v>120</v>
      </c>
      <c r="C120" s="133">
        <v>153</v>
      </c>
      <c r="D120" s="133">
        <v>195</v>
      </c>
      <c r="E120" s="133">
        <f t="shared" si="16"/>
        <v>42</v>
      </c>
      <c r="F120" s="114">
        <f t="shared" si="17"/>
        <v>0.27450980392156865</v>
      </c>
    </row>
    <row r="121" spans="1:6" x14ac:dyDescent="0.2">
      <c r="A121" s="115">
        <v>9</v>
      </c>
      <c r="B121" s="116" t="s">
        <v>121</v>
      </c>
      <c r="C121" s="133">
        <v>515</v>
      </c>
      <c r="D121" s="133">
        <v>716</v>
      </c>
      <c r="E121" s="133">
        <f t="shared" si="16"/>
        <v>201</v>
      </c>
      <c r="F121" s="114">
        <f t="shared" si="17"/>
        <v>0.39029126213592236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1599</v>
      </c>
      <c r="D123" s="133">
        <v>1607</v>
      </c>
      <c r="E123" s="133">
        <f t="shared" si="16"/>
        <v>8</v>
      </c>
      <c r="F123" s="114">
        <f t="shared" si="17"/>
        <v>5.0031269543464665E-3</v>
      </c>
    </row>
    <row r="124" spans="1:6" ht="15.75" x14ac:dyDescent="0.25">
      <c r="A124" s="117"/>
      <c r="B124" s="118" t="s">
        <v>140</v>
      </c>
      <c r="C124" s="134">
        <f>SUM(C113:C123)</f>
        <v>54509</v>
      </c>
      <c r="D124" s="134">
        <f>SUM(D113:D123)</f>
        <v>53840</v>
      </c>
      <c r="E124" s="134">
        <f t="shared" si="16"/>
        <v>-669</v>
      </c>
      <c r="F124" s="120">
        <f t="shared" si="17"/>
        <v>-1.2273202590397917E-2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74609</v>
      </c>
      <c r="D126" s="133">
        <v>75852</v>
      </c>
      <c r="E126" s="133">
        <f t="shared" ref="E126:E137" si="18">D126-C126</f>
        <v>1243</v>
      </c>
      <c r="F126" s="114">
        <f t="shared" ref="F126:F137" si="19">IF(C126=0,0,E126/C126)</f>
        <v>1.6660188449114717E-2</v>
      </c>
    </row>
    <row r="127" spans="1:6" x14ac:dyDescent="0.2">
      <c r="A127" s="115">
        <v>2</v>
      </c>
      <c r="B127" s="116" t="s">
        <v>114</v>
      </c>
      <c r="C127" s="133">
        <v>7873</v>
      </c>
      <c r="D127" s="133">
        <v>10058</v>
      </c>
      <c r="E127" s="133">
        <f t="shared" si="18"/>
        <v>2185</v>
      </c>
      <c r="F127" s="114">
        <f t="shared" si="19"/>
        <v>0.27753080147339004</v>
      </c>
    </row>
    <row r="128" spans="1:6" x14ac:dyDescent="0.2">
      <c r="A128" s="115">
        <v>3</v>
      </c>
      <c r="B128" s="116" t="s">
        <v>115</v>
      </c>
      <c r="C128" s="133">
        <v>20521</v>
      </c>
      <c r="D128" s="133">
        <v>21513</v>
      </c>
      <c r="E128" s="133">
        <f t="shared" si="18"/>
        <v>992</v>
      </c>
      <c r="F128" s="114">
        <f t="shared" si="19"/>
        <v>4.8340724136250672E-2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186</v>
      </c>
      <c r="D130" s="133">
        <v>159</v>
      </c>
      <c r="E130" s="133">
        <f t="shared" si="18"/>
        <v>-27</v>
      </c>
      <c r="F130" s="114">
        <f t="shared" si="19"/>
        <v>-0.14516129032258066</v>
      </c>
    </row>
    <row r="131" spans="1:6" x14ac:dyDescent="0.2">
      <c r="A131" s="115">
        <v>6</v>
      </c>
      <c r="B131" s="116" t="s">
        <v>118</v>
      </c>
      <c r="C131" s="133">
        <v>61491</v>
      </c>
      <c r="D131" s="133">
        <v>56986</v>
      </c>
      <c r="E131" s="133">
        <f t="shared" si="18"/>
        <v>-4505</v>
      </c>
      <c r="F131" s="114">
        <f t="shared" si="19"/>
        <v>-7.3262753898944558E-2</v>
      </c>
    </row>
    <row r="132" spans="1:6" x14ac:dyDescent="0.2">
      <c r="A132" s="115">
        <v>7</v>
      </c>
      <c r="B132" s="116" t="s">
        <v>119</v>
      </c>
      <c r="C132" s="133">
        <v>102888</v>
      </c>
      <c r="D132" s="133">
        <v>102019</v>
      </c>
      <c r="E132" s="133">
        <f t="shared" si="18"/>
        <v>-869</v>
      </c>
      <c r="F132" s="114">
        <f t="shared" si="19"/>
        <v>-8.4460772879247342E-3</v>
      </c>
    </row>
    <row r="133" spans="1:6" x14ac:dyDescent="0.2">
      <c r="A133" s="115">
        <v>8</v>
      </c>
      <c r="B133" s="116" t="s">
        <v>120</v>
      </c>
      <c r="C133" s="133">
        <v>2342</v>
      </c>
      <c r="D133" s="133">
        <v>1252</v>
      </c>
      <c r="E133" s="133">
        <f t="shared" si="18"/>
        <v>-1090</v>
      </c>
      <c r="F133" s="114">
        <f t="shared" si="19"/>
        <v>-0.46541417591801881</v>
      </c>
    </row>
    <row r="134" spans="1:6" x14ac:dyDescent="0.2">
      <c r="A134" s="115">
        <v>9</v>
      </c>
      <c r="B134" s="116" t="s">
        <v>121</v>
      </c>
      <c r="C134" s="133">
        <v>15234</v>
      </c>
      <c r="D134" s="133">
        <v>12419</v>
      </c>
      <c r="E134" s="133">
        <f t="shared" si="18"/>
        <v>-2815</v>
      </c>
      <c r="F134" s="114">
        <f t="shared" si="19"/>
        <v>-0.18478403570959695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4716</v>
      </c>
      <c r="D136" s="133">
        <v>4876</v>
      </c>
      <c r="E136" s="133">
        <f t="shared" si="18"/>
        <v>160</v>
      </c>
      <c r="F136" s="114">
        <f t="shared" si="19"/>
        <v>3.3927056827820185E-2</v>
      </c>
    </row>
    <row r="137" spans="1:6" ht="15.75" x14ac:dyDescent="0.25">
      <c r="A137" s="117"/>
      <c r="B137" s="118" t="s">
        <v>142</v>
      </c>
      <c r="C137" s="134">
        <f>SUM(C126:C136)</f>
        <v>289860</v>
      </c>
      <c r="D137" s="134">
        <f>SUM(D126:D136)</f>
        <v>285134</v>
      </c>
      <c r="E137" s="134">
        <f t="shared" si="18"/>
        <v>-4726</v>
      </c>
      <c r="F137" s="120">
        <f t="shared" si="19"/>
        <v>-1.6304422824811978E-2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24415563</v>
      </c>
      <c r="D142" s="113">
        <v>26019616</v>
      </c>
      <c r="E142" s="113">
        <f t="shared" ref="E142:E153" si="20">D142-C142</f>
        <v>1604053</v>
      </c>
      <c r="F142" s="114">
        <f t="shared" ref="F142:F153" si="21">IF(C142=0,0,E142/C142)</f>
        <v>6.5697973051041261E-2</v>
      </c>
    </row>
    <row r="143" spans="1:6" x14ac:dyDescent="0.2">
      <c r="A143" s="115">
        <v>2</v>
      </c>
      <c r="B143" s="116" t="s">
        <v>114</v>
      </c>
      <c r="C143" s="113">
        <v>4028412</v>
      </c>
      <c r="D143" s="113">
        <v>4576884</v>
      </c>
      <c r="E143" s="113">
        <f t="shared" si="20"/>
        <v>548472</v>
      </c>
      <c r="F143" s="114">
        <f t="shared" si="21"/>
        <v>0.13615092001513251</v>
      </c>
    </row>
    <row r="144" spans="1:6" x14ac:dyDescent="0.2">
      <c r="A144" s="115">
        <v>3</v>
      </c>
      <c r="B144" s="116" t="s">
        <v>115</v>
      </c>
      <c r="C144" s="113">
        <v>11915030</v>
      </c>
      <c r="D144" s="113">
        <v>13977338</v>
      </c>
      <c r="E144" s="113">
        <f t="shared" si="20"/>
        <v>2062308</v>
      </c>
      <c r="F144" s="114">
        <f t="shared" si="21"/>
        <v>0.17308458308539718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283226</v>
      </c>
      <c r="D146" s="113">
        <v>233727</v>
      </c>
      <c r="E146" s="113">
        <f t="shared" si="20"/>
        <v>-49499</v>
      </c>
      <c r="F146" s="114">
        <f t="shared" si="21"/>
        <v>-0.17476855938367239</v>
      </c>
    </row>
    <row r="147" spans="1:6" x14ac:dyDescent="0.2">
      <c r="A147" s="115">
        <v>6</v>
      </c>
      <c r="B147" s="116" t="s">
        <v>118</v>
      </c>
      <c r="C147" s="113">
        <v>29069416</v>
      </c>
      <c r="D147" s="113">
        <v>29211782</v>
      </c>
      <c r="E147" s="113">
        <f t="shared" si="20"/>
        <v>142366</v>
      </c>
      <c r="F147" s="114">
        <f t="shared" si="21"/>
        <v>4.8974496082067834E-3</v>
      </c>
    </row>
    <row r="148" spans="1:6" x14ac:dyDescent="0.2">
      <c r="A148" s="115">
        <v>7</v>
      </c>
      <c r="B148" s="116" t="s">
        <v>119</v>
      </c>
      <c r="C148" s="113">
        <v>40127663</v>
      </c>
      <c r="D148" s="113">
        <v>40351316</v>
      </c>
      <c r="E148" s="113">
        <f t="shared" si="20"/>
        <v>223653</v>
      </c>
      <c r="F148" s="114">
        <f t="shared" si="21"/>
        <v>5.5735366397988342E-3</v>
      </c>
    </row>
    <row r="149" spans="1:6" x14ac:dyDescent="0.2">
      <c r="A149" s="115">
        <v>8</v>
      </c>
      <c r="B149" s="116" t="s">
        <v>120</v>
      </c>
      <c r="C149" s="113">
        <v>1915846</v>
      </c>
      <c r="D149" s="113">
        <v>1824978</v>
      </c>
      <c r="E149" s="113">
        <f t="shared" si="20"/>
        <v>-90868</v>
      </c>
      <c r="F149" s="114">
        <f t="shared" si="21"/>
        <v>-4.7429699464361957E-2</v>
      </c>
    </row>
    <row r="150" spans="1:6" x14ac:dyDescent="0.2">
      <c r="A150" s="115">
        <v>9</v>
      </c>
      <c r="B150" s="116" t="s">
        <v>121</v>
      </c>
      <c r="C150" s="113">
        <v>14060319</v>
      </c>
      <c r="D150" s="113">
        <v>12456659</v>
      </c>
      <c r="E150" s="113">
        <f t="shared" si="20"/>
        <v>-1603660</v>
      </c>
      <c r="F150" s="114">
        <f t="shared" si="21"/>
        <v>-0.11405573372837416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12139391</v>
      </c>
      <c r="D152" s="113">
        <v>14806572</v>
      </c>
      <c r="E152" s="113">
        <f t="shared" si="20"/>
        <v>2667181</v>
      </c>
      <c r="F152" s="114">
        <f t="shared" si="21"/>
        <v>0.21971291640577356</v>
      </c>
    </row>
    <row r="153" spans="1:6" ht="33.75" customHeight="1" x14ac:dyDescent="0.25">
      <c r="A153" s="117"/>
      <c r="B153" s="118" t="s">
        <v>146</v>
      </c>
      <c r="C153" s="119">
        <f>SUM(C142:C152)</f>
        <v>137954866</v>
      </c>
      <c r="D153" s="119">
        <f>SUM(D142:D152)</f>
        <v>143458872</v>
      </c>
      <c r="E153" s="119">
        <f t="shared" si="20"/>
        <v>5504006</v>
      </c>
      <c r="F153" s="120">
        <f t="shared" si="21"/>
        <v>3.9897150130246223E-2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4145666</v>
      </c>
      <c r="D155" s="113">
        <v>4698912</v>
      </c>
      <c r="E155" s="113">
        <f t="shared" ref="E155:E166" si="22">D155-C155</f>
        <v>553246</v>
      </c>
      <c r="F155" s="114">
        <f t="shared" ref="F155:F166" si="23">IF(C155=0,0,E155/C155)</f>
        <v>0.13345165770710907</v>
      </c>
    </row>
    <row r="156" spans="1:6" x14ac:dyDescent="0.2">
      <c r="A156" s="115">
        <v>2</v>
      </c>
      <c r="B156" s="116" t="s">
        <v>114</v>
      </c>
      <c r="C156" s="113">
        <v>663677</v>
      </c>
      <c r="D156" s="113">
        <v>811835</v>
      </c>
      <c r="E156" s="113">
        <f t="shared" si="22"/>
        <v>148158</v>
      </c>
      <c r="F156" s="114">
        <f t="shared" si="23"/>
        <v>0.22323811131017046</v>
      </c>
    </row>
    <row r="157" spans="1:6" x14ac:dyDescent="0.2">
      <c r="A157" s="115">
        <v>3</v>
      </c>
      <c r="B157" s="116" t="s">
        <v>115</v>
      </c>
      <c r="C157" s="113">
        <v>1859975</v>
      </c>
      <c r="D157" s="113">
        <v>2193812</v>
      </c>
      <c r="E157" s="113">
        <f t="shared" si="22"/>
        <v>333837</v>
      </c>
      <c r="F157" s="114">
        <f t="shared" si="23"/>
        <v>0.17948467049288297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173692</v>
      </c>
      <c r="D159" s="113">
        <v>55522</v>
      </c>
      <c r="E159" s="113">
        <f t="shared" si="22"/>
        <v>-118170</v>
      </c>
      <c r="F159" s="114">
        <f t="shared" si="23"/>
        <v>-0.68034221495520808</v>
      </c>
    </row>
    <row r="160" spans="1:6" x14ac:dyDescent="0.2">
      <c r="A160" s="115">
        <v>6</v>
      </c>
      <c r="B160" s="116" t="s">
        <v>118</v>
      </c>
      <c r="C160" s="113">
        <v>14592549</v>
      </c>
      <c r="D160" s="113">
        <v>15055140</v>
      </c>
      <c r="E160" s="113">
        <f t="shared" si="22"/>
        <v>462591</v>
      </c>
      <c r="F160" s="114">
        <f t="shared" si="23"/>
        <v>3.1700493176346364E-2</v>
      </c>
    </row>
    <row r="161" spans="1:6" x14ac:dyDescent="0.2">
      <c r="A161" s="115">
        <v>7</v>
      </c>
      <c r="B161" s="116" t="s">
        <v>119</v>
      </c>
      <c r="C161" s="113">
        <v>16047880</v>
      </c>
      <c r="D161" s="113">
        <v>16431122</v>
      </c>
      <c r="E161" s="113">
        <f t="shared" si="22"/>
        <v>383242</v>
      </c>
      <c r="F161" s="114">
        <f t="shared" si="23"/>
        <v>2.388116062682423E-2</v>
      </c>
    </row>
    <row r="162" spans="1:6" x14ac:dyDescent="0.2">
      <c r="A162" s="115">
        <v>8</v>
      </c>
      <c r="B162" s="116" t="s">
        <v>120</v>
      </c>
      <c r="C162" s="113">
        <v>460648</v>
      </c>
      <c r="D162" s="113">
        <v>770437</v>
      </c>
      <c r="E162" s="113">
        <f t="shared" si="22"/>
        <v>309789</v>
      </c>
      <c r="F162" s="114">
        <f t="shared" si="23"/>
        <v>0.67250699015300186</v>
      </c>
    </row>
    <row r="163" spans="1:6" x14ac:dyDescent="0.2">
      <c r="A163" s="115">
        <v>9</v>
      </c>
      <c r="B163" s="116" t="s">
        <v>121</v>
      </c>
      <c r="C163" s="113">
        <v>14777186</v>
      </c>
      <c r="D163" s="113">
        <v>31123</v>
      </c>
      <c r="E163" s="113">
        <f t="shared" si="22"/>
        <v>-14746063</v>
      </c>
      <c r="F163" s="114">
        <f t="shared" si="23"/>
        <v>-0.99789384798973224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2149539</v>
      </c>
      <c r="D165" s="113">
        <v>2619478</v>
      </c>
      <c r="E165" s="113">
        <f t="shared" si="22"/>
        <v>469939</v>
      </c>
      <c r="F165" s="114">
        <f t="shared" si="23"/>
        <v>0.21862315594180892</v>
      </c>
    </row>
    <row r="166" spans="1:6" ht="33.75" customHeight="1" x14ac:dyDescent="0.25">
      <c r="A166" s="117"/>
      <c r="B166" s="118" t="s">
        <v>148</v>
      </c>
      <c r="C166" s="119">
        <f>SUM(C155:C165)</f>
        <v>54870812</v>
      </c>
      <c r="D166" s="119">
        <f>SUM(D155:D165)</f>
        <v>42667381</v>
      </c>
      <c r="E166" s="119">
        <f t="shared" si="22"/>
        <v>-12203431</v>
      </c>
      <c r="F166" s="120">
        <f t="shared" si="23"/>
        <v>-0.22240295988329825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4854</v>
      </c>
      <c r="D168" s="133">
        <v>4746</v>
      </c>
      <c r="E168" s="133">
        <f t="shared" ref="E168:E179" si="24">D168-C168</f>
        <v>-108</v>
      </c>
      <c r="F168" s="114">
        <f t="shared" ref="F168:F179" si="25">IF(C168=0,0,E168/C168)</f>
        <v>-2.2249690976514216E-2</v>
      </c>
    </row>
    <row r="169" spans="1:6" x14ac:dyDescent="0.2">
      <c r="A169" s="115">
        <v>2</v>
      </c>
      <c r="B169" s="116" t="s">
        <v>114</v>
      </c>
      <c r="C169" s="133">
        <v>751</v>
      </c>
      <c r="D169" s="133">
        <v>802</v>
      </c>
      <c r="E169" s="133">
        <f t="shared" si="24"/>
        <v>51</v>
      </c>
      <c r="F169" s="114">
        <f t="shared" si="25"/>
        <v>6.7909454061251665E-2</v>
      </c>
    </row>
    <row r="170" spans="1:6" x14ac:dyDescent="0.2">
      <c r="A170" s="115">
        <v>3</v>
      </c>
      <c r="B170" s="116" t="s">
        <v>115</v>
      </c>
      <c r="C170" s="133">
        <v>3341</v>
      </c>
      <c r="D170" s="133">
        <v>3520</v>
      </c>
      <c r="E170" s="133">
        <f t="shared" si="24"/>
        <v>179</v>
      </c>
      <c r="F170" s="114">
        <f t="shared" si="25"/>
        <v>5.3576773421131395E-2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78</v>
      </c>
      <c r="D172" s="133">
        <v>54</v>
      </c>
      <c r="E172" s="133">
        <f t="shared" si="24"/>
        <v>-24</v>
      </c>
      <c r="F172" s="114">
        <f t="shared" si="25"/>
        <v>-0.30769230769230771</v>
      </c>
    </row>
    <row r="173" spans="1:6" x14ac:dyDescent="0.2">
      <c r="A173" s="115">
        <v>6</v>
      </c>
      <c r="B173" s="116" t="s">
        <v>118</v>
      </c>
      <c r="C173" s="133">
        <v>6658</v>
      </c>
      <c r="D173" s="133">
        <v>6129</v>
      </c>
      <c r="E173" s="133">
        <f t="shared" si="24"/>
        <v>-529</v>
      </c>
      <c r="F173" s="114">
        <f t="shared" si="25"/>
        <v>-7.945328927605888E-2</v>
      </c>
    </row>
    <row r="174" spans="1:6" x14ac:dyDescent="0.2">
      <c r="A174" s="115">
        <v>7</v>
      </c>
      <c r="B174" s="116" t="s">
        <v>119</v>
      </c>
      <c r="C174" s="133">
        <v>9524</v>
      </c>
      <c r="D174" s="133">
        <v>8998</v>
      </c>
      <c r="E174" s="133">
        <f t="shared" si="24"/>
        <v>-526</v>
      </c>
      <c r="F174" s="114">
        <f t="shared" si="25"/>
        <v>-5.5228895422091556E-2</v>
      </c>
    </row>
    <row r="175" spans="1:6" x14ac:dyDescent="0.2">
      <c r="A175" s="115">
        <v>8</v>
      </c>
      <c r="B175" s="116" t="s">
        <v>120</v>
      </c>
      <c r="C175" s="133">
        <v>583</v>
      </c>
      <c r="D175" s="133">
        <v>490</v>
      </c>
      <c r="E175" s="133">
        <f t="shared" si="24"/>
        <v>-93</v>
      </c>
      <c r="F175" s="114">
        <f t="shared" si="25"/>
        <v>-0.15951972555746141</v>
      </c>
    </row>
    <row r="176" spans="1:6" x14ac:dyDescent="0.2">
      <c r="A176" s="115">
        <v>9</v>
      </c>
      <c r="B176" s="116" t="s">
        <v>121</v>
      </c>
      <c r="C176" s="133">
        <v>3368</v>
      </c>
      <c r="D176" s="133">
        <v>2859</v>
      </c>
      <c r="E176" s="133">
        <f t="shared" si="24"/>
        <v>-509</v>
      </c>
      <c r="F176" s="114">
        <f t="shared" si="25"/>
        <v>-0.15112826603325416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3447</v>
      </c>
      <c r="D178" s="133">
        <v>3802</v>
      </c>
      <c r="E178" s="133">
        <f t="shared" si="24"/>
        <v>355</v>
      </c>
      <c r="F178" s="114">
        <f t="shared" si="25"/>
        <v>0.10298810559907165</v>
      </c>
    </row>
    <row r="179" spans="1:6" ht="33.75" customHeight="1" x14ac:dyDescent="0.25">
      <c r="A179" s="117"/>
      <c r="B179" s="118" t="s">
        <v>150</v>
      </c>
      <c r="C179" s="134">
        <f>SUM(C168:C178)</f>
        <v>32604</v>
      </c>
      <c r="D179" s="134">
        <f>SUM(D168:D178)</f>
        <v>31400</v>
      </c>
      <c r="E179" s="134">
        <f t="shared" si="24"/>
        <v>-1204</v>
      </c>
      <c r="F179" s="120">
        <f t="shared" si="25"/>
        <v>-3.6927984296405349E-2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FILING&amp;RGREENWICH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39440686</v>
      </c>
      <c r="D15" s="157">
        <v>33844899</v>
      </c>
      <c r="E15" s="157">
        <f>+D15-C15</f>
        <v>-5595787</v>
      </c>
      <c r="F15" s="161">
        <f>IF(C15=0,0,E15/C15)</f>
        <v>-0.14187854136208483</v>
      </c>
    </row>
    <row r="16" spans="1:6" ht="15" customHeight="1" x14ac:dyDescent="0.2">
      <c r="A16" s="147">
        <v>2</v>
      </c>
      <c r="B16" s="160" t="s">
        <v>157</v>
      </c>
      <c r="C16" s="157">
        <v>8035783</v>
      </c>
      <c r="D16" s="157">
        <v>9115648</v>
      </c>
      <c r="E16" s="157">
        <f>+D16-C16</f>
        <v>1079865</v>
      </c>
      <c r="F16" s="161">
        <f>IF(C16=0,0,E16/C16)</f>
        <v>0.13438205088415156</v>
      </c>
    </row>
    <row r="17" spans="1:6" ht="15" customHeight="1" x14ac:dyDescent="0.2">
      <c r="A17" s="147">
        <v>3</v>
      </c>
      <c r="B17" s="160" t="s">
        <v>158</v>
      </c>
      <c r="C17" s="157">
        <v>65742531</v>
      </c>
      <c r="D17" s="157">
        <v>73765140</v>
      </c>
      <c r="E17" s="157">
        <f>+D17-C17</f>
        <v>8022609</v>
      </c>
      <c r="F17" s="161">
        <f>IF(C17=0,0,E17/C17)</f>
        <v>0.1220307292397976</v>
      </c>
    </row>
    <row r="18" spans="1:6" ht="15.75" customHeight="1" x14ac:dyDescent="0.25">
      <c r="A18" s="147"/>
      <c r="B18" s="162" t="s">
        <v>159</v>
      </c>
      <c r="C18" s="158">
        <f>SUM(C15:C17)</f>
        <v>113219000</v>
      </c>
      <c r="D18" s="158">
        <f>SUM(D15:D17)</f>
        <v>116725687</v>
      </c>
      <c r="E18" s="158">
        <f>+D18-C18</f>
        <v>3506687</v>
      </c>
      <c r="F18" s="159">
        <f>IF(C18=0,0,E18/C18)</f>
        <v>3.0972601771787421E-2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12951118</v>
      </c>
      <c r="D21" s="157">
        <v>10584076</v>
      </c>
      <c r="E21" s="157">
        <f>+D21-C21</f>
        <v>-2367042</v>
      </c>
      <c r="F21" s="161">
        <f>IF(C21=0,0,E21/C21)</f>
        <v>-0.18276738734061415</v>
      </c>
    </row>
    <row r="22" spans="1:6" ht="15" customHeight="1" x14ac:dyDescent="0.2">
      <c r="A22" s="147">
        <v>2</v>
      </c>
      <c r="B22" s="160" t="s">
        <v>162</v>
      </c>
      <c r="C22" s="157">
        <v>2220192</v>
      </c>
      <c r="D22" s="157">
        <v>2850672</v>
      </c>
      <c r="E22" s="157">
        <f>+D22-C22</f>
        <v>630480</v>
      </c>
      <c r="F22" s="161">
        <f>IF(C22=0,0,E22/C22)</f>
        <v>0.28397543996194924</v>
      </c>
    </row>
    <row r="23" spans="1:6" ht="15" customHeight="1" x14ac:dyDescent="0.2">
      <c r="A23" s="147">
        <v>3</v>
      </c>
      <c r="B23" s="160" t="s">
        <v>163</v>
      </c>
      <c r="C23" s="157">
        <v>21831690</v>
      </c>
      <c r="D23" s="157">
        <v>23068051</v>
      </c>
      <c r="E23" s="157">
        <f>+D23-C23</f>
        <v>1236361</v>
      </c>
      <c r="F23" s="161">
        <f>IF(C23=0,0,E23/C23)</f>
        <v>5.6631483865884867E-2</v>
      </c>
    </row>
    <row r="24" spans="1:6" ht="15.75" customHeight="1" x14ac:dyDescent="0.25">
      <c r="A24" s="147"/>
      <c r="B24" s="162" t="s">
        <v>164</v>
      </c>
      <c r="C24" s="158">
        <f>SUM(C21:C23)</f>
        <v>37003000</v>
      </c>
      <c r="D24" s="158">
        <f>SUM(D21:D23)</f>
        <v>36502799</v>
      </c>
      <c r="E24" s="158">
        <f>+D24-C24</f>
        <v>-500201</v>
      </c>
      <c r="F24" s="159">
        <f>IF(C24=0,0,E24/C24)</f>
        <v>-1.3517849904061833E-2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1316590</v>
      </c>
      <c r="D27" s="157">
        <v>1016744</v>
      </c>
      <c r="E27" s="157">
        <f>+D27-C27</f>
        <v>-299846</v>
      </c>
      <c r="F27" s="161">
        <f>IF(C27=0,0,E27/C27)</f>
        <v>-0.22774440030685331</v>
      </c>
    </row>
    <row r="28" spans="1:6" ht="15" customHeight="1" x14ac:dyDescent="0.2">
      <c r="A28" s="147">
        <v>2</v>
      </c>
      <c r="B28" s="160" t="s">
        <v>167</v>
      </c>
      <c r="C28" s="157">
        <v>9386000</v>
      </c>
      <c r="D28" s="157">
        <v>10436943</v>
      </c>
      <c r="E28" s="157">
        <f>+D28-C28</f>
        <v>1050943</v>
      </c>
      <c r="F28" s="161">
        <f>IF(C28=0,0,E28/C28)</f>
        <v>0.11196920946089921</v>
      </c>
    </row>
    <row r="29" spans="1:6" ht="15" customHeight="1" x14ac:dyDescent="0.2">
      <c r="A29" s="147">
        <v>3</v>
      </c>
      <c r="B29" s="160" t="s">
        <v>168</v>
      </c>
      <c r="C29" s="157">
        <v>426759</v>
      </c>
      <c r="D29" s="157">
        <v>293819</v>
      </c>
      <c r="E29" s="157">
        <f>+D29-C29</f>
        <v>-132940</v>
      </c>
      <c r="F29" s="161">
        <f>IF(C29=0,0,E29/C29)</f>
        <v>-0.31151071213495207</v>
      </c>
    </row>
    <row r="30" spans="1:6" ht="15.75" customHeight="1" x14ac:dyDescent="0.25">
      <c r="A30" s="147"/>
      <c r="B30" s="162" t="s">
        <v>169</v>
      </c>
      <c r="C30" s="158">
        <f>SUM(C27:C29)</f>
        <v>11129349</v>
      </c>
      <c r="D30" s="158">
        <f>SUM(D27:D29)</f>
        <v>11747506</v>
      </c>
      <c r="E30" s="158">
        <f>+D30-C30</f>
        <v>618157</v>
      </c>
      <c r="F30" s="159">
        <f>IF(C30=0,0,E30/C30)</f>
        <v>5.554296122801073E-2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25770602</v>
      </c>
      <c r="D33" s="157">
        <v>25212411</v>
      </c>
      <c r="E33" s="157">
        <f>+D33-C33</f>
        <v>-558191</v>
      </c>
      <c r="F33" s="161">
        <f>IF(C33=0,0,E33/C33)</f>
        <v>-2.165999071344938E-2</v>
      </c>
    </row>
    <row r="34" spans="1:6" ht="15" customHeight="1" x14ac:dyDescent="0.2">
      <c r="A34" s="147">
        <v>2</v>
      </c>
      <c r="B34" s="160" t="s">
        <v>173</v>
      </c>
      <c r="C34" s="157">
        <v>20821178</v>
      </c>
      <c r="D34" s="157">
        <v>25982689</v>
      </c>
      <c r="E34" s="157">
        <f>+D34-C34</f>
        <v>5161511</v>
      </c>
      <c r="F34" s="161">
        <f>IF(C34=0,0,E34/C34)</f>
        <v>0.2478971650883538</v>
      </c>
    </row>
    <row r="35" spans="1:6" ht="15.75" customHeight="1" x14ac:dyDescent="0.25">
      <c r="A35" s="147"/>
      <c r="B35" s="162" t="s">
        <v>174</v>
      </c>
      <c r="C35" s="158">
        <f>SUM(C33:C34)</f>
        <v>46591780</v>
      </c>
      <c r="D35" s="158">
        <f>SUM(D33:D34)</f>
        <v>51195100</v>
      </c>
      <c r="E35" s="158">
        <f>+D35-C35</f>
        <v>4603320</v>
      </c>
      <c r="F35" s="159">
        <f>IF(C35=0,0,E35/C35)</f>
        <v>9.8801118995668333E-2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5982629</v>
      </c>
      <c r="D38" s="157">
        <v>6054024</v>
      </c>
      <c r="E38" s="157">
        <f>+D38-C38</f>
        <v>71395</v>
      </c>
      <c r="F38" s="161">
        <f>IF(C38=0,0,E38/C38)</f>
        <v>1.1933716765656036E-2</v>
      </c>
    </row>
    <row r="39" spans="1:6" ht="15" customHeight="1" x14ac:dyDescent="0.2">
      <c r="A39" s="147">
        <v>2</v>
      </c>
      <c r="B39" s="160" t="s">
        <v>178</v>
      </c>
      <c r="C39" s="157">
        <v>18946371</v>
      </c>
      <c r="D39" s="157">
        <v>17798989</v>
      </c>
      <c r="E39" s="157">
        <f>+D39-C39</f>
        <v>-1147382</v>
      </c>
      <c r="F39" s="161">
        <f>IF(C39=0,0,E39/C39)</f>
        <v>-6.0559460173138173E-2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24929000</v>
      </c>
      <c r="D41" s="158">
        <f>SUM(D38:D40)</f>
        <v>23853013</v>
      </c>
      <c r="E41" s="158">
        <f>+D41-C41</f>
        <v>-1075987</v>
      </c>
      <c r="F41" s="159">
        <f>IF(C41=0,0,E41/C41)</f>
        <v>-4.316206025111316E-2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343000</v>
      </c>
      <c r="D47" s="157">
        <v>310142</v>
      </c>
      <c r="E47" s="157">
        <f>+D47-C47</f>
        <v>-32858</v>
      </c>
      <c r="F47" s="161">
        <f>IF(C47=0,0,E47/C47)</f>
        <v>-9.5795918367346938E-2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-1799000</v>
      </c>
      <c r="D50" s="157">
        <v>1279220</v>
      </c>
      <c r="E50" s="157">
        <f>+D50-C50</f>
        <v>3078220</v>
      </c>
      <c r="F50" s="161">
        <f>IF(C50=0,0,E50/C50)</f>
        <v>-1.7110728182323514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107105</v>
      </c>
      <c r="D53" s="157">
        <v>107277</v>
      </c>
      <c r="E53" s="157">
        <f t="shared" ref="E53:E59" si="0">+D53-C53</f>
        <v>172</v>
      </c>
      <c r="F53" s="161">
        <f t="shared" ref="F53:F59" si="1">IF(C53=0,0,E53/C53)</f>
        <v>1.6059007515988983E-3</v>
      </c>
    </row>
    <row r="54" spans="1:6" ht="15" customHeight="1" x14ac:dyDescent="0.2">
      <c r="A54" s="147">
        <v>2</v>
      </c>
      <c r="B54" s="160" t="s">
        <v>189</v>
      </c>
      <c r="C54" s="157">
        <v>401012</v>
      </c>
      <c r="D54" s="157">
        <v>379403</v>
      </c>
      <c r="E54" s="157">
        <f t="shared" si="0"/>
        <v>-21609</v>
      </c>
      <c r="F54" s="161">
        <f t="shared" si="1"/>
        <v>-5.3886167994972721E-2</v>
      </c>
    </row>
    <row r="55" spans="1:6" ht="15" customHeight="1" x14ac:dyDescent="0.2">
      <c r="A55" s="147">
        <v>3</v>
      </c>
      <c r="B55" s="160" t="s">
        <v>190</v>
      </c>
      <c r="C55" s="157">
        <v>22325</v>
      </c>
      <c r="D55" s="157">
        <v>26285</v>
      </c>
      <c r="E55" s="157">
        <f t="shared" si="0"/>
        <v>3960</v>
      </c>
      <c r="F55" s="161">
        <f t="shared" si="1"/>
        <v>0.17737961926091825</v>
      </c>
    </row>
    <row r="56" spans="1:6" ht="15" customHeight="1" x14ac:dyDescent="0.2">
      <c r="A56" s="147">
        <v>4</v>
      </c>
      <c r="B56" s="160" t="s">
        <v>191</v>
      </c>
      <c r="C56" s="157">
        <v>1848818</v>
      </c>
      <c r="D56" s="157">
        <v>1502323</v>
      </c>
      <c r="E56" s="157">
        <f t="shared" si="0"/>
        <v>-346495</v>
      </c>
      <c r="F56" s="161">
        <f t="shared" si="1"/>
        <v>-0.18741433716028294</v>
      </c>
    </row>
    <row r="57" spans="1:6" ht="15" customHeight="1" x14ac:dyDescent="0.2">
      <c r="A57" s="147">
        <v>5</v>
      </c>
      <c r="B57" s="160" t="s">
        <v>192</v>
      </c>
      <c r="C57" s="157">
        <v>6733</v>
      </c>
      <c r="D57" s="157">
        <v>5007</v>
      </c>
      <c r="E57" s="157">
        <f t="shared" si="0"/>
        <v>-1726</v>
      </c>
      <c r="F57" s="161">
        <f t="shared" si="1"/>
        <v>-0.2563493242239715</v>
      </c>
    </row>
    <row r="58" spans="1:6" ht="15" customHeight="1" x14ac:dyDescent="0.2">
      <c r="A58" s="147">
        <v>6</v>
      </c>
      <c r="B58" s="160" t="s">
        <v>193</v>
      </c>
      <c r="C58" s="157">
        <v>30591</v>
      </c>
      <c r="D58" s="157">
        <v>43981</v>
      </c>
      <c r="E58" s="157">
        <f t="shared" si="0"/>
        <v>13390</v>
      </c>
      <c r="F58" s="161">
        <f t="shared" si="1"/>
        <v>0.43771043771043772</v>
      </c>
    </row>
    <row r="59" spans="1:6" ht="15.75" customHeight="1" x14ac:dyDescent="0.25">
      <c r="A59" s="147"/>
      <c r="B59" s="162" t="s">
        <v>194</v>
      </c>
      <c r="C59" s="158">
        <f>SUM(C53:C58)</f>
        <v>2416584</v>
      </c>
      <c r="D59" s="158">
        <f>SUM(D53:D58)</f>
        <v>2064276</v>
      </c>
      <c r="E59" s="158">
        <f t="shared" si="0"/>
        <v>-352308</v>
      </c>
      <c r="F59" s="159">
        <f t="shared" si="1"/>
        <v>-0.14578760763126794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226469</v>
      </c>
      <c r="D62" s="157">
        <v>231250</v>
      </c>
      <c r="E62" s="157">
        <f t="shared" ref="E62:E90" si="2">+D62-C62</f>
        <v>4781</v>
      </c>
      <c r="F62" s="161">
        <f t="shared" ref="F62:F90" si="3">IF(C62=0,0,E62/C62)</f>
        <v>2.111105714247866E-2</v>
      </c>
    </row>
    <row r="63" spans="1:6" ht="15" customHeight="1" x14ac:dyDescent="0.2">
      <c r="A63" s="147">
        <v>2</v>
      </c>
      <c r="B63" s="160" t="s">
        <v>198</v>
      </c>
      <c r="C63" s="157">
        <v>399021</v>
      </c>
      <c r="D63" s="157">
        <v>435360</v>
      </c>
      <c r="E63" s="157">
        <f t="shared" si="2"/>
        <v>36339</v>
      </c>
      <c r="F63" s="161">
        <f t="shared" si="3"/>
        <v>9.1070394791251591E-2</v>
      </c>
    </row>
    <row r="64" spans="1:6" ht="15" customHeight="1" x14ac:dyDescent="0.2">
      <c r="A64" s="147">
        <v>3</v>
      </c>
      <c r="B64" s="160" t="s">
        <v>199</v>
      </c>
      <c r="C64" s="157">
        <v>1608699</v>
      </c>
      <c r="D64" s="157">
        <v>1176503</v>
      </c>
      <c r="E64" s="157">
        <f t="shared" si="2"/>
        <v>-432196</v>
      </c>
      <c r="F64" s="161">
        <f t="shared" si="3"/>
        <v>-0.26866181927134908</v>
      </c>
    </row>
    <row r="65" spans="1:6" ht="15" customHeight="1" x14ac:dyDescent="0.2">
      <c r="A65" s="147">
        <v>4</v>
      </c>
      <c r="B65" s="160" t="s">
        <v>200</v>
      </c>
      <c r="C65" s="157">
        <v>515738</v>
      </c>
      <c r="D65" s="157">
        <v>508380</v>
      </c>
      <c r="E65" s="157">
        <f t="shared" si="2"/>
        <v>-7358</v>
      </c>
      <c r="F65" s="161">
        <f t="shared" si="3"/>
        <v>-1.4266933985861038E-2</v>
      </c>
    </row>
    <row r="66" spans="1:6" ht="15" customHeight="1" x14ac:dyDescent="0.2">
      <c r="A66" s="147">
        <v>5</v>
      </c>
      <c r="B66" s="160" t="s">
        <v>201</v>
      </c>
      <c r="C66" s="157">
        <v>1415156</v>
      </c>
      <c r="D66" s="157">
        <v>1583170</v>
      </c>
      <c r="E66" s="157">
        <f t="shared" si="2"/>
        <v>168014</v>
      </c>
      <c r="F66" s="161">
        <f t="shared" si="3"/>
        <v>0.11872472010152944</v>
      </c>
    </row>
    <row r="67" spans="1:6" ht="15" customHeight="1" x14ac:dyDescent="0.2">
      <c r="A67" s="147">
        <v>6</v>
      </c>
      <c r="B67" s="160" t="s">
        <v>202</v>
      </c>
      <c r="C67" s="157">
        <v>6262035</v>
      </c>
      <c r="D67" s="157">
        <v>5548827</v>
      </c>
      <c r="E67" s="157">
        <f t="shared" si="2"/>
        <v>-713208</v>
      </c>
      <c r="F67" s="161">
        <f t="shared" si="3"/>
        <v>-0.11389396577949501</v>
      </c>
    </row>
    <row r="68" spans="1:6" ht="15" customHeight="1" x14ac:dyDescent="0.2">
      <c r="A68" s="147">
        <v>7</v>
      </c>
      <c r="B68" s="160" t="s">
        <v>203</v>
      </c>
      <c r="C68" s="157">
        <v>819249</v>
      </c>
      <c r="D68" s="157">
        <v>1119196</v>
      </c>
      <c r="E68" s="157">
        <f t="shared" si="2"/>
        <v>299947</v>
      </c>
      <c r="F68" s="161">
        <f t="shared" si="3"/>
        <v>0.36612434070715982</v>
      </c>
    </row>
    <row r="69" spans="1:6" ht="15" customHeight="1" x14ac:dyDescent="0.2">
      <c r="A69" s="147">
        <v>8</v>
      </c>
      <c r="B69" s="160" t="s">
        <v>204</v>
      </c>
      <c r="C69" s="157">
        <v>540832</v>
      </c>
      <c r="D69" s="157">
        <v>0</v>
      </c>
      <c r="E69" s="157">
        <f t="shared" si="2"/>
        <v>-540832</v>
      </c>
      <c r="F69" s="161">
        <f t="shared" si="3"/>
        <v>-1</v>
      </c>
    </row>
    <row r="70" spans="1:6" ht="15" customHeight="1" x14ac:dyDescent="0.2">
      <c r="A70" s="147">
        <v>9</v>
      </c>
      <c r="B70" s="160" t="s">
        <v>205</v>
      </c>
      <c r="C70" s="157">
        <v>58202</v>
      </c>
      <c r="D70" s="157">
        <v>70810</v>
      </c>
      <c r="E70" s="157">
        <f t="shared" si="2"/>
        <v>12608</v>
      </c>
      <c r="F70" s="161">
        <f t="shared" si="3"/>
        <v>0.21662485825229374</v>
      </c>
    </row>
    <row r="71" spans="1:6" ht="15" customHeight="1" x14ac:dyDescent="0.2">
      <c r="A71" s="147">
        <v>10</v>
      </c>
      <c r="B71" s="160" t="s">
        <v>206</v>
      </c>
      <c r="C71" s="157">
        <v>267722</v>
      </c>
      <c r="D71" s="157">
        <v>317165</v>
      </c>
      <c r="E71" s="157">
        <f t="shared" si="2"/>
        <v>49443</v>
      </c>
      <c r="F71" s="161">
        <f t="shared" si="3"/>
        <v>0.1846803774064141</v>
      </c>
    </row>
    <row r="72" spans="1:6" ht="15" customHeight="1" x14ac:dyDescent="0.2">
      <c r="A72" s="147">
        <v>11</v>
      </c>
      <c r="B72" s="160" t="s">
        <v>207</v>
      </c>
      <c r="C72" s="157">
        <v>120026</v>
      </c>
      <c r="D72" s="157">
        <v>84501</v>
      </c>
      <c r="E72" s="157">
        <f t="shared" si="2"/>
        <v>-35525</v>
      </c>
      <c r="F72" s="161">
        <f t="shared" si="3"/>
        <v>-0.29597753820005668</v>
      </c>
    </row>
    <row r="73" spans="1:6" ht="15" customHeight="1" x14ac:dyDescent="0.2">
      <c r="A73" s="147">
        <v>12</v>
      </c>
      <c r="B73" s="160" t="s">
        <v>208</v>
      </c>
      <c r="C73" s="157">
        <v>2952492</v>
      </c>
      <c r="D73" s="157">
        <v>2872084</v>
      </c>
      <c r="E73" s="157">
        <f t="shared" si="2"/>
        <v>-80408</v>
      </c>
      <c r="F73" s="161">
        <f t="shared" si="3"/>
        <v>-2.723394339425814E-2</v>
      </c>
    </row>
    <row r="74" spans="1:6" ht="15" customHeight="1" x14ac:dyDescent="0.2">
      <c r="A74" s="147">
        <v>13</v>
      </c>
      <c r="B74" s="160" t="s">
        <v>209</v>
      </c>
      <c r="C74" s="157">
        <v>288086</v>
      </c>
      <c r="D74" s="157">
        <v>232698</v>
      </c>
      <c r="E74" s="157">
        <f t="shared" si="2"/>
        <v>-55388</v>
      </c>
      <c r="F74" s="161">
        <f t="shared" si="3"/>
        <v>-0.19226203286518609</v>
      </c>
    </row>
    <row r="75" spans="1:6" ht="15" customHeight="1" x14ac:dyDescent="0.2">
      <c r="A75" s="147">
        <v>14</v>
      </c>
      <c r="B75" s="160" t="s">
        <v>210</v>
      </c>
      <c r="C75" s="157">
        <v>290128</v>
      </c>
      <c r="D75" s="157">
        <v>249782</v>
      </c>
      <c r="E75" s="157">
        <f t="shared" si="2"/>
        <v>-40346</v>
      </c>
      <c r="F75" s="161">
        <f t="shared" si="3"/>
        <v>-0.13906275850659019</v>
      </c>
    </row>
    <row r="76" spans="1:6" ht="15" customHeight="1" x14ac:dyDescent="0.2">
      <c r="A76" s="147">
        <v>15</v>
      </c>
      <c r="B76" s="160" t="s">
        <v>211</v>
      </c>
      <c r="C76" s="157">
        <v>3935</v>
      </c>
      <c r="D76" s="157">
        <v>0</v>
      </c>
      <c r="E76" s="157">
        <f t="shared" si="2"/>
        <v>-3935</v>
      </c>
      <c r="F76" s="161">
        <f t="shared" si="3"/>
        <v>-1</v>
      </c>
    </row>
    <row r="77" spans="1:6" ht="15" customHeight="1" x14ac:dyDescent="0.2">
      <c r="A77" s="147">
        <v>16</v>
      </c>
      <c r="B77" s="160" t="s">
        <v>212</v>
      </c>
      <c r="C77" s="157">
        <v>40491319</v>
      </c>
      <c r="D77" s="157">
        <v>42514958</v>
      </c>
      <c r="E77" s="157">
        <f t="shared" si="2"/>
        <v>2023639</v>
      </c>
      <c r="F77" s="161">
        <f t="shared" si="3"/>
        <v>4.9977107438757426E-2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158745</v>
      </c>
      <c r="D79" s="157">
        <v>197703</v>
      </c>
      <c r="E79" s="157">
        <f t="shared" si="2"/>
        <v>38958</v>
      </c>
      <c r="F79" s="161">
        <f t="shared" si="3"/>
        <v>0.24541245393555702</v>
      </c>
    </row>
    <row r="80" spans="1:6" ht="15" customHeight="1" x14ac:dyDescent="0.2">
      <c r="A80" s="147">
        <v>19</v>
      </c>
      <c r="B80" s="160" t="s">
        <v>215</v>
      </c>
      <c r="C80" s="157">
        <v>2222560</v>
      </c>
      <c r="D80" s="157">
        <v>2343986</v>
      </c>
      <c r="E80" s="157">
        <f t="shared" si="2"/>
        <v>121426</v>
      </c>
      <c r="F80" s="161">
        <f t="shared" si="3"/>
        <v>5.4633395723849974E-2</v>
      </c>
    </row>
    <row r="81" spans="1:6" ht="15" customHeight="1" x14ac:dyDescent="0.2">
      <c r="A81" s="147">
        <v>20</v>
      </c>
      <c r="B81" s="160" t="s">
        <v>216</v>
      </c>
      <c r="C81" s="157">
        <v>1273162</v>
      </c>
      <c r="D81" s="157">
        <v>1279267</v>
      </c>
      <c r="E81" s="157">
        <f t="shared" si="2"/>
        <v>6105</v>
      </c>
      <c r="F81" s="161">
        <f t="shared" si="3"/>
        <v>4.7951478287916226E-3</v>
      </c>
    </row>
    <row r="82" spans="1:6" ht="15" customHeight="1" x14ac:dyDescent="0.2">
      <c r="A82" s="147">
        <v>21</v>
      </c>
      <c r="B82" s="160" t="s">
        <v>217</v>
      </c>
      <c r="C82" s="157">
        <v>648884</v>
      </c>
      <c r="D82" s="157">
        <v>1079427</v>
      </c>
      <c r="E82" s="157">
        <f t="shared" si="2"/>
        <v>430543</v>
      </c>
      <c r="F82" s="161">
        <f t="shared" si="3"/>
        <v>0.66351304701610769</v>
      </c>
    </row>
    <row r="83" spans="1:6" ht="15" customHeight="1" x14ac:dyDescent="0.2">
      <c r="A83" s="147">
        <v>22</v>
      </c>
      <c r="B83" s="160" t="s">
        <v>218</v>
      </c>
      <c r="C83" s="157">
        <v>88087</v>
      </c>
      <c r="D83" s="157">
        <v>86319</v>
      </c>
      <c r="E83" s="157">
        <f t="shared" si="2"/>
        <v>-1768</v>
      </c>
      <c r="F83" s="161">
        <f t="shared" si="3"/>
        <v>-2.0071066105100639E-2</v>
      </c>
    </row>
    <row r="84" spans="1:6" ht="15" customHeight="1" x14ac:dyDescent="0.2">
      <c r="A84" s="147">
        <v>23</v>
      </c>
      <c r="B84" s="160" t="s">
        <v>219</v>
      </c>
      <c r="C84" s="157">
        <v>1121961</v>
      </c>
      <c r="D84" s="157">
        <v>1122989</v>
      </c>
      <c r="E84" s="157">
        <f t="shared" si="2"/>
        <v>1028</v>
      </c>
      <c r="F84" s="161">
        <f t="shared" si="3"/>
        <v>9.162528822303092E-4</v>
      </c>
    </row>
    <row r="85" spans="1:6" ht="15" customHeight="1" x14ac:dyDescent="0.2">
      <c r="A85" s="147">
        <v>24</v>
      </c>
      <c r="B85" s="160" t="s">
        <v>220</v>
      </c>
      <c r="C85" s="157">
        <v>3303520</v>
      </c>
      <c r="D85" s="157">
        <v>3351567</v>
      </c>
      <c r="E85" s="157">
        <f t="shared" si="2"/>
        <v>48047</v>
      </c>
      <c r="F85" s="161">
        <f t="shared" si="3"/>
        <v>1.4544183174311038E-2</v>
      </c>
    </row>
    <row r="86" spans="1:6" ht="15" customHeight="1" x14ac:dyDescent="0.2">
      <c r="A86" s="147">
        <v>25</v>
      </c>
      <c r="B86" s="160" t="s">
        <v>221</v>
      </c>
      <c r="C86" s="157">
        <v>217155</v>
      </c>
      <c r="D86" s="157">
        <v>212250</v>
      </c>
      <c r="E86" s="157">
        <f t="shared" si="2"/>
        <v>-4905</v>
      </c>
      <c r="F86" s="161">
        <f t="shared" si="3"/>
        <v>-2.2587552669752022E-2</v>
      </c>
    </row>
    <row r="87" spans="1:6" ht="15" customHeight="1" x14ac:dyDescent="0.2">
      <c r="A87" s="147">
        <v>26</v>
      </c>
      <c r="B87" s="160" t="s">
        <v>222</v>
      </c>
      <c r="C87" s="157">
        <v>952349</v>
      </c>
      <c r="D87" s="157">
        <v>1183840</v>
      </c>
      <c r="E87" s="157">
        <f t="shared" si="2"/>
        <v>231491</v>
      </c>
      <c r="F87" s="161">
        <f t="shared" si="3"/>
        <v>0.24307370512280688</v>
      </c>
    </row>
    <row r="88" spans="1:6" ht="15" customHeight="1" x14ac:dyDescent="0.2">
      <c r="A88" s="147">
        <v>27</v>
      </c>
      <c r="B88" s="160" t="s">
        <v>223</v>
      </c>
      <c r="C88" s="157">
        <v>8844006</v>
      </c>
      <c r="D88" s="157">
        <v>7483412</v>
      </c>
      <c r="E88" s="157">
        <f t="shared" si="2"/>
        <v>-1360594</v>
      </c>
      <c r="F88" s="161">
        <f t="shared" si="3"/>
        <v>-0.15384363149459646</v>
      </c>
    </row>
    <row r="89" spans="1:6" ht="15" customHeight="1" x14ac:dyDescent="0.2">
      <c r="A89" s="147">
        <v>28</v>
      </c>
      <c r="B89" s="160" t="s">
        <v>224</v>
      </c>
      <c r="C89" s="157">
        <v>8414965</v>
      </c>
      <c r="D89" s="157">
        <v>8497807</v>
      </c>
      <c r="E89" s="157">
        <f t="shared" si="2"/>
        <v>82842</v>
      </c>
      <c r="F89" s="161">
        <f t="shared" si="3"/>
        <v>9.8446042259236963E-3</v>
      </c>
    </row>
    <row r="90" spans="1:6" ht="15.75" customHeight="1" x14ac:dyDescent="0.25">
      <c r="A90" s="147"/>
      <c r="B90" s="162" t="s">
        <v>225</v>
      </c>
      <c r="C90" s="158">
        <f>SUM(C62:C89)</f>
        <v>83504503</v>
      </c>
      <c r="D90" s="158">
        <f>SUM(D62:D89)</f>
        <v>83783251</v>
      </c>
      <c r="E90" s="158">
        <f t="shared" si="2"/>
        <v>278748</v>
      </c>
      <c r="F90" s="159">
        <f t="shared" si="3"/>
        <v>3.3381193826158093E-3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516784</v>
      </c>
      <c r="D93" s="157">
        <v>707962</v>
      </c>
      <c r="E93" s="157">
        <f>+D93-C93</f>
        <v>191178</v>
      </c>
      <c r="F93" s="161">
        <f>IF(C93=0,0,E93/C93)</f>
        <v>0.36993792377472989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317854000</v>
      </c>
      <c r="D95" s="158">
        <f>+D93+D90+D59+D50+D47+D44+D41+D35+D30+D24+D18</f>
        <v>328168956</v>
      </c>
      <c r="E95" s="158">
        <f>+D95-C95</f>
        <v>10314956</v>
      </c>
      <c r="F95" s="159">
        <f>IF(C95=0,0,E95/C95)</f>
        <v>3.2451867838693235E-2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78431050</v>
      </c>
      <c r="D103" s="157">
        <v>82300325</v>
      </c>
      <c r="E103" s="157">
        <f t="shared" ref="E103:E121" si="4">D103-C103</f>
        <v>3869275</v>
      </c>
      <c r="F103" s="161">
        <f t="shared" ref="F103:F121" si="5">IF(C103=0,0,E103/C103)</f>
        <v>4.9333459133850691E-2</v>
      </c>
    </row>
    <row r="104" spans="1:6" ht="15" customHeight="1" x14ac:dyDescent="0.2">
      <c r="A104" s="147">
        <v>2</v>
      </c>
      <c r="B104" s="169" t="s">
        <v>234</v>
      </c>
      <c r="C104" s="157">
        <v>7914826</v>
      </c>
      <c r="D104" s="157">
        <v>7061250</v>
      </c>
      <c r="E104" s="157">
        <f t="shared" si="4"/>
        <v>-853576</v>
      </c>
      <c r="F104" s="161">
        <f t="shared" si="5"/>
        <v>-0.10784520089260333</v>
      </c>
    </row>
    <row r="105" spans="1:6" ht="15" customHeight="1" x14ac:dyDescent="0.2">
      <c r="A105" s="147">
        <v>3</v>
      </c>
      <c r="B105" s="169" t="s">
        <v>235</v>
      </c>
      <c r="C105" s="157">
        <v>8023774</v>
      </c>
      <c r="D105" s="157">
        <v>10091317</v>
      </c>
      <c r="E105" s="157">
        <f t="shared" si="4"/>
        <v>2067543</v>
      </c>
      <c r="F105" s="161">
        <f t="shared" si="5"/>
        <v>0.25767712300969592</v>
      </c>
    </row>
    <row r="106" spans="1:6" ht="15" customHeight="1" x14ac:dyDescent="0.2">
      <c r="A106" s="147">
        <v>4</v>
      </c>
      <c r="B106" s="169" t="s">
        <v>236</v>
      </c>
      <c r="C106" s="157">
        <v>3089948</v>
      </c>
      <c r="D106" s="157">
        <v>4137115</v>
      </c>
      <c r="E106" s="157">
        <f t="shared" si="4"/>
        <v>1047167</v>
      </c>
      <c r="F106" s="161">
        <f t="shared" si="5"/>
        <v>0.33889469984608156</v>
      </c>
    </row>
    <row r="107" spans="1:6" ht="15" customHeight="1" x14ac:dyDescent="0.2">
      <c r="A107" s="147">
        <v>5</v>
      </c>
      <c r="B107" s="169" t="s">
        <v>237</v>
      </c>
      <c r="C107" s="157">
        <v>20677631</v>
      </c>
      <c r="D107" s="157">
        <v>19778643</v>
      </c>
      <c r="E107" s="157">
        <f t="shared" si="4"/>
        <v>-898988</v>
      </c>
      <c r="F107" s="161">
        <f t="shared" si="5"/>
        <v>-4.3476353746713055E-2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1770592</v>
      </c>
      <c r="D109" s="157">
        <v>1559298</v>
      </c>
      <c r="E109" s="157">
        <f t="shared" si="4"/>
        <v>-211294</v>
      </c>
      <c r="F109" s="161">
        <f t="shared" si="5"/>
        <v>-0.11933522799154181</v>
      </c>
    </row>
    <row r="110" spans="1:6" ht="15" customHeight="1" x14ac:dyDescent="0.2">
      <c r="A110" s="147">
        <v>8</v>
      </c>
      <c r="B110" s="169" t="s">
        <v>240</v>
      </c>
      <c r="C110" s="157">
        <v>4065522</v>
      </c>
      <c r="D110" s="157">
        <v>3513039</v>
      </c>
      <c r="E110" s="157">
        <f t="shared" si="4"/>
        <v>-552483</v>
      </c>
      <c r="F110" s="161">
        <f t="shared" si="5"/>
        <v>-0.13589472643365355</v>
      </c>
    </row>
    <row r="111" spans="1:6" ht="15" customHeight="1" x14ac:dyDescent="0.2">
      <c r="A111" s="147">
        <v>9</v>
      </c>
      <c r="B111" s="169" t="s">
        <v>241</v>
      </c>
      <c r="C111" s="157">
        <v>0</v>
      </c>
      <c r="D111" s="157">
        <v>0</v>
      </c>
      <c r="E111" s="157">
        <f t="shared" si="4"/>
        <v>0</v>
      </c>
      <c r="F111" s="161">
        <f t="shared" si="5"/>
        <v>0</v>
      </c>
    </row>
    <row r="112" spans="1:6" ht="15" customHeight="1" x14ac:dyDescent="0.2">
      <c r="A112" s="147">
        <v>10</v>
      </c>
      <c r="B112" s="169" t="s">
        <v>242</v>
      </c>
      <c r="C112" s="157">
        <v>4964079</v>
      </c>
      <c r="D112" s="157">
        <v>5104262</v>
      </c>
      <c r="E112" s="157">
        <f t="shared" si="4"/>
        <v>140183</v>
      </c>
      <c r="F112" s="161">
        <f t="shared" si="5"/>
        <v>2.8239478058266196E-2</v>
      </c>
    </row>
    <row r="113" spans="1:6" ht="15" customHeight="1" x14ac:dyDescent="0.2">
      <c r="A113" s="147">
        <v>11</v>
      </c>
      <c r="B113" s="169" t="s">
        <v>243</v>
      </c>
      <c r="C113" s="157">
        <v>2704698</v>
      </c>
      <c r="D113" s="157">
        <v>2915825</v>
      </c>
      <c r="E113" s="157">
        <f t="shared" si="4"/>
        <v>211127</v>
      </c>
      <c r="F113" s="161">
        <f t="shared" si="5"/>
        <v>7.8059361895487039E-2</v>
      </c>
    </row>
    <row r="114" spans="1:6" ht="15" customHeight="1" x14ac:dyDescent="0.2">
      <c r="A114" s="147">
        <v>12</v>
      </c>
      <c r="B114" s="169" t="s">
        <v>244</v>
      </c>
      <c r="C114" s="157">
        <v>217435</v>
      </c>
      <c r="D114" s="157">
        <v>175605</v>
      </c>
      <c r="E114" s="157">
        <f t="shared" si="4"/>
        <v>-41830</v>
      </c>
      <c r="F114" s="161">
        <f t="shared" si="5"/>
        <v>-0.19237933175431737</v>
      </c>
    </row>
    <row r="115" spans="1:6" ht="15" customHeight="1" x14ac:dyDescent="0.2">
      <c r="A115" s="147">
        <v>13</v>
      </c>
      <c r="B115" s="169" t="s">
        <v>245</v>
      </c>
      <c r="C115" s="157">
        <v>3736276</v>
      </c>
      <c r="D115" s="157">
        <v>3405885</v>
      </c>
      <c r="E115" s="157">
        <f t="shared" si="4"/>
        <v>-330391</v>
      </c>
      <c r="F115" s="161">
        <f t="shared" si="5"/>
        <v>-8.8427889160222636E-2</v>
      </c>
    </row>
    <row r="116" spans="1:6" ht="15" customHeight="1" x14ac:dyDescent="0.2">
      <c r="A116" s="147">
        <v>14</v>
      </c>
      <c r="B116" s="169" t="s">
        <v>246</v>
      </c>
      <c r="C116" s="157">
        <v>2088567</v>
      </c>
      <c r="D116" s="157">
        <v>2161615</v>
      </c>
      <c r="E116" s="157">
        <f t="shared" si="4"/>
        <v>73048</v>
      </c>
      <c r="F116" s="161">
        <f t="shared" si="5"/>
        <v>3.4975176759950724E-2</v>
      </c>
    </row>
    <row r="117" spans="1:6" ht="15" customHeight="1" x14ac:dyDescent="0.2">
      <c r="A117" s="147">
        <v>15</v>
      </c>
      <c r="B117" s="169" t="s">
        <v>203</v>
      </c>
      <c r="C117" s="157">
        <v>2877921</v>
      </c>
      <c r="D117" s="157">
        <v>2683634</v>
      </c>
      <c r="E117" s="157">
        <f t="shared" si="4"/>
        <v>-194287</v>
      </c>
      <c r="F117" s="161">
        <f t="shared" si="5"/>
        <v>-6.7509497307257568E-2</v>
      </c>
    </row>
    <row r="118" spans="1:6" ht="15" customHeight="1" x14ac:dyDescent="0.2">
      <c r="A118" s="147">
        <v>16</v>
      </c>
      <c r="B118" s="169" t="s">
        <v>247</v>
      </c>
      <c r="C118" s="157">
        <v>1682014</v>
      </c>
      <c r="D118" s="157">
        <v>1683841</v>
      </c>
      <c r="E118" s="157">
        <f t="shared" si="4"/>
        <v>1827</v>
      </c>
      <c r="F118" s="161">
        <f t="shared" si="5"/>
        <v>1.0861978556658864E-3</v>
      </c>
    </row>
    <row r="119" spans="1:6" ht="15" customHeight="1" x14ac:dyDescent="0.2">
      <c r="A119" s="147">
        <v>17</v>
      </c>
      <c r="B119" s="169" t="s">
        <v>248</v>
      </c>
      <c r="C119" s="157">
        <v>24232754</v>
      </c>
      <c r="D119" s="157">
        <v>30728375</v>
      </c>
      <c r="E119" s="157">
        <f t="shared" si="4"/>
        <v>6495621</v>
      </c>
      <c r="F119" s="161">
        <f t="shared" si="5"/>
        <v>0.26805129123994736</v>
      </c>
    </row>
    <row r="120" spans="1:6" ht="15" customHeight="1" x14ac:dyDescent="0.2">
      <c r="A120" s="147">
        <v>18</v>
      </c>
      <c r="B120" s="169" t="s">
        <v>249</v>
      </c>
      <c r="C120" s="157">
        <v>1276790</v>
      </c>
      <c r="D120" s="157">
        <v>1273743</v>
      </c>
      <c r="E120" s="157">
        <f t="shared" si="4"/>
        <v>-3047</v>
      </c>
      <c r="F120" s="161">
        <f t="shared" si="5"/>
        <v>-2.3864535279881577E-3</v>
      </c>
    </row>
    <row r="121" spans="1:6" ht="15.75" customHeight="1" x14ac:dyDescent="0.25">
      <c r="A121" s="147"/>
      <c r="B121" s="165" t="s">
        <v>250</v>
      </c>
      <c r="C121" s="158">
        <f>SUM(C103:C120)</f>
        <v>167753877</v>
      </c>
      <c r="D121" s="158">
        <f>SUM(D103:D120)</f>
        <v>178573772</v>
      </c>
      <c r="E121" s="158">
        <f t="shared" si="4"/>
        <v>10819895</v>
      </c>
      <c r="F121" s="159">
        <f t="shared" si="5"/>
        <v>6.4498628547344991E-2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1836297</v>
      </c>
      <c r="D124" s="157">
        <v>1792540</v>
      </c>
      <c r="E124" s="157">
        <f t="shared" ref="E124:E130" si="6">D124-C124</f>
        <v>-43757</v>
      </c>
      <c r="F124" s="161">
        <f t="shared" ref="F124:F130" si="7">IF(C124=0,0,E124/C124)</f>
        <v>-2.3828933990525498E-2</v>
      </c>
    </row>
    <row r="125" spans="1:6" ht="15" customHeight="1" x14ac:dyDescent="0.2">
      <c r="A125" s="147">
        <v>2</v>
      </c>
      <c r="B125" s="169" t="s">
        <v>253</v>
      </c>
      <c r="C125" s="157">
        <v>2393817</v>
      </c>
      <c r="D125" s="157">
        <v>2468192</v>
      </c>
      <c r="E125" s="157">
        <f t="shared" si="6"/>
        <v>74375</v>
      </c>
      <c r="F125" s="161">
        <f t="shared" si="7"/>
        <v>3.1069626458497035E-2</v>
      </c>
    </row>
    <row r="126" spans="1:6" ht="15" customHeight="1" x14ac:dyDescent="0.2">
      <c r="A126" s="147">
        <v>3</v>
      </c>
      <c r="B126" s="169" t="s">
        <v>254</v>
      </c>
      <c r="C126" s="157">
        <v>2516597</v>
      </c>
      <c r="D126" s="157">
        <v>2758519</v>
      </c>
      <c r="E126" s="157">
        <f t="shared" si="6"/>
        <v>241922</v>
      </c>
      <c r="F126" s="161">
        <f t="shared" si="7"/>
        <v>9.6130608118820779E-2</v>
      </c>
    </row>
    <row r="127" spans="1:6" ht="15" customHeight="1" x14ac:dyDescent="0.2">
      <c r="A127" s="147">
        <v>4</v>
      </c>
      <c r="B127" s="169" t="s">
        <v>255</v>
      </c>
      <c r="C127" s="157">
        <v>1400424</v>
      </c>
      <c r="D127" s="157">
        <v>183761</v>
      </c>
      <c r="E127" s="157">
        <f t="shared" si="6"/>
        <v>-1216663</v>
      </c>
      <c r="F127" s="161">
        <f t="shared" si="7"/>
        <v>-0.86878188320108762</v>
      </c>
    </row>
    <row r="128" spans="1:6" ht="15" customHeight="1" x14ac:dyDescent="0.2">
      <c r="A128" s="147">
        <v>5</v>
      </c>
      <c r="B128" s="169" t="s">
        <v>256</v>
      </c>
      <c r="C128" s="157">
        <v>2640881</v>
      </c>
      <c r="D128" s="157">
        <v>2612654</v>
      </c>
      <c r="E128" s="157">
        <f t="shared" si="6"/>
        <v>-28227</v>
      </c>
      <c r="F128" s="161">
        <f t="shared" si="7"/>
        <v>-1.0688478579686097E-2</v>
      </c>
    </row>
    <row r="129" spans="1:6" ht="15" customHeight="1" x14ac:dyDescent="0.2">
      <c r="A129" s="147">
        <v>6</v>
      </c>
      <c r="B129" s="169" t="s">
        <v>257</v>
      </c>
      <c r="C129" s="157">
        <v>2675544</v>
      </c>
      <c r="D129" s="157">
        <v>2855424</v>
      </c>
      <c r="E129" s="157">
        <f t="shared" si="6"/>
        <v>179880</v>
      </c>
      <c r="F129" s="161">
        <f t="shared" si="7"/>
        <v>6.7231187377221224E-2</v>
      </c>
    </row>
    <row r="130" spans="1:6" ht="15.75" customHeight="1" x14ac:dyDescent="0.25">
      <c r="A130" s="147"/>
      <c r="B130" s="165" t="s">
        <v>258</v>
      </c>
      <c r="C130" s="158">
        <f>SUM(C124:C129)</f>
        <v>13463560</v>
      </c>
      <c r="D130" s="158">
        <f>SUM(D124:D129)</f>
        <v>12671090</v>
      </c>
      <c r="E130" s="158">
        <f t="shared" si="6"/>
        <v>-792470</v>
      </c>
      <c r="F130" s="159">
        <f t="shared" si="7"/>
        <v>-5.8860360855524096E-2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20221421</v>
      </c>
      <c r="D133" s="157">
        <v>20566103</v>
      </c>
      <c r="E133" s="157">
        <f t="shared" ref="E133:E167" si="8">D133-C133</f>
        <v>344682</v>
      </c>
      <c r="F133" s="161">
        <f t="shared" ref="F133:F167" si="9">IF(C133=0,0,E133/C133)</f>
        <v>1.7045389639036741E-2</v>
      </c>
    </row>
    <row r="134" spans="1:6" ht="15" customHeight="1" x14ac:dyDescent="0.2">
      <c r="A134" s="147">
        <v>2</v>
      </c>
      <c r="B134" s="169" t="s">
        <v>261</v>
      </c>
      <c r="C134" s="157">
        <v>1287040</v>
      </c>
      <c r="D134" s="157">
        <v>1379434</v>
      </c>
      <c r="E134" s="157">
        <f t="shared" si="8"/>
        <v>92394</v>
      </c>
      <c r="F134" s="161">
        <f t="shared" si="9"/>
        <v>7.1787978617603179E-2</v>
      </c>
    </row>
    <row r="135" spans="1:6" ht="15" customHeight="1" x14ac:dyDescent="0.2">
      <c r="A135" s="147">
        <v>3</v>
      </c>
      <c r="B135" s="169" t="s">
        <v>262</v>
      </c>
      <c r="C135" s="157">
        <v>1142547</v>
      </c>
      <c r="D135" s="157">
        <v>1295398</v>
      </c>
      <c r="E135" s="157">
        <f t="shared" si="8"/>
        <v>152851</v>
      </c>
      <c r="F135" s="161">
        <f t="shared" si="9"/>
        <v>0.13378092979982442</v>
      </c>
    </row>
    <row r="136" spans="1:6" ht="15" customHeight="1" x14ac:dyDescent="0.2">
      <c r="A136" s="147">
        <v>4</v>
      </c>
      <c r="B136" s="169" t="s">
        <v>263</v>
      </c>
      <c r="C136" s="157">
        <v>6115593</v>
      </c>
      <c r="D136" s="157">
        <v>7609407</v>
      </c>
      <c r="E136" s="157">
        <f t="shared" si="8"/>
        <v>1493814</v>
      </c>
      <c r="F136" s="161">
        <f t="shared" si="9"/>
        <v>0.24426314831611587</v>
      </c>
    </row>
    <row r="137" spans="1:6" ht="15" customHeight="1" x14ac:dyDescent="0.2">
      <c r="A137" s="147">
        <v>5</v>
      </c>
      <c r="B137" s="169" t="s">
        <v>264</v>
      </c>
      <c r="C137" s="157">
        <v>5480683</v>
      </c>
      <c r="D137" s="157">
        <v>5297145</v>
      </c>
      <c r="E137" s="157">
        <f t="shared" si="8"/>
        <v>-183538</v>
      </c>
      <c r="F137" s="161">
        <f t="shared" si="9"/>
        <v>-3.3488161968134263E-2</v>
      </c>
    </row>
    <row r="138" spans="1:6" ht="15" customHeight="1" x14ac:dyDescent="0.2">
      <c r="A138" s="147">
        <v>6</v>
      </c>
      <c r="B138" s="169" t="s">
        <v>265</v>
      </c>
      <c r="C138" s="157">
        <v>2498420</v>
      </c>
      <c r="D138" s="157">
        <v>2511355</v>
      </c>
      <c r="E138" s="157">
        <f t="shared" si="8"/>
        <v>12935</v>
      </c>
      <c r="F138" s="161">
        <f t="shared" si="9"/>
        <v>5.1772720359267053E-3</v>
      </c>
    </row>
    <row r="139" spans="1:6" ht="15" customHeight="1" x14ac:dyDescent="0.2">
      <c r="A139" s="147">
        <v>7</v>
      </c>
      <c r="B139" s="169" t="s">
        <v>266</v>
      </c>
      <c r="C139" s="157">
        <v>6525705</v>
      </c>
      <c r="D139" s="157">
        <v>6044549</v>
      </c>
      <c r="E139" s="157">
        <f t="shared" si="8"/>
        <v>-481156</v>
      </c>
      <c r="F139" s="161">
        <f t="shared" si="9"/>
        <v>-7.3732416650768004E-2</v>
      </c>
    </row>
    <row r="140" spans="1:6" ht="15" customHeight="1" x14ac:dyDescent="0.2">
      <c r="A140" s="147">
        <v>8</v>
      </c>
      <c r="B140" s="169" t="s">
        <v>267</v>
      </c>
      <c r="C140" s="157">
        <v>703728</v>
      </c>
      <c r="D140" s="157">
        <v>678340</v>
      </c>
      <c r="E140" s="157">
        <f t="shared" si="8"/>
        <v>-25388</v>
      </c>
      <c r="F140" s="161">
        <f t="shared" si="9"/>
        <v>-3.6076438624013822E-2</v>
      </c>
    </row>
    <row r="141" spans="1:6" ht="15" customHeight="1" x14ac:dyDescent="0.2">
      <c r="A141" s="147">
        <v>9</v>
      </c>
      <c r="B141" s="169" t="s">
        <v>268</v>
      </c>
      <c r="C141" s="157">
        <v>1654631</v>
      </c>
      <c r="D141" s="157">
        <v>1551683</v>
      </c>
      <c r="E141" s="157">
        <f t="shared" si="8"/>
        <v>-102948</v>
      </c>
      <c r="F141" s="161">
        <f t="shared" si="9"/>
        <v>-6.2218101800340986E-2</v>
      </c>
    </row>
    <row r="142" spans="1:6" ht="15" customHeight="1" x14ac:dyDescent="0.2">
      <c r="A142" s="147">
        <v>10</v>
      </c>
      <c r="B142" s="169" t="s">
        <v>269</v>
      </c>
      <c r="C142" s="157">
        <v>16910034</v>
      </c>
      <c r="D142" s="157">
        <v>17142054</v>
      </c>
      <c r="E142" s="157">
        <f t="shared" si="8"/>
        <v>232020</v>
      </c>
      <c r="F142" s="161">
        <f t="shared" si="9"/>
        <v>1.3720847634014219E-2</v>
      </c>
    </row>
    <row r="143" spans="1:6" ht="15" customHeight="1" x14ac:dyDescent="0.2">
      <c r="A143" s="147">
        <v>11</v>
      </c>
      <c r="B143" s="169" t="s">
        <v>270</v>
      </c>
      <c r="C143" s="157">
        <v>964454</v>
      </c>
      <c r="D143" s="157">
        <v>1215880</v>
      </c>
      <c r="E143" s="157">
        <f t="shared" si="8"/>
        <v>251426</v>
      </c>
      <c r="F143" s="161">
        <f t="shared" si="9"/>
        <v>0.26069257839150439</v>
      </c>
    </row>
    <row r="144" spans="1:6" ht="15" customHeight="1" x14ac:dyDescent="0.2">
      <c r="A144" s="147">
        <v>12</v>
      </c>
      <c r="B144" s="169" t="s">
        <v>271</v>
      </c>
      <c r="C144" s="157">
        <v>1869780</v>
      </c>
      <c r="D144" s="157">
        <v>1924424</v>
      </c>
      <c r="E144" s="157">
        <f t="shared" si="8"/>
        <v>54644</v>
      </c>
      <c r="F144" s="161">
        <f t="shared" si="9"/>
        <v>2.9224828589459722E-2</v>
      </c>
    </row>
    <row r="145" spans="1:6" ht="15" customHeight="1" x14ac:dyDescent="0.2">
      <c r="A145" s="147">
        <v>13</v>
      </c>
      <c r="B145" s="169" t="s">
        <v>272</v>
      </c>
      <c r="C145" s="157">
        <v>1044418</v>
      </c>
      <c r="D145" s="157">
        <v>1054883</v>
      </c>
      <c r="E145" s="157">
        <f t="shared" si="8"/>
        <v>10465</v>
      </c>
      <c r="F145" s="161">
        <f t="shared" si="9"/>
        <v>1.0019934547278963E-2</v>
      </c>
    </row>
    <row r="146" spans="1:6" ht="15" customHeight="1" x14ac:dyDescent="0.2">
      <c r="A146" s="147">
        <v>14</v>
      </c>
      <c r="B146" s="169" t="s">
        <v>273</v>
      </c>
      <c r="C146" s="157">
        <v>436446</v>
      </c>
      <c r="D146" s="157">
        <v>434299</v>
      </c>
      <c r="E146" s="157">
        <f t="shared" si="8"/>
        <v>-2147</v>
      </c>
      <c r="F146" s="161">
        <f t="shared" si="9"/>
        <v>-4.9192798192674468E-3</v>
      </c>
    </row>
    <row r="147" spans="1:6" ht="15" customHeight="1" x14ac:dyDescent="0.2">
      <c r="A147" s="147">
        <v>15</v>
      </c>
      <c r="B147" s="169" t="s">
        <v>274</v>
      </c>
      <c r="C147" s="157">
        <v>1898692</v>
      </c>
      <c r="D147" s="157">
        <v>1522555</v>
      </c>
      <c r="E147" s="157">
        <f t="shared" si="8"/>
        <v>-376137</v>
      </c>
      <c r="F147" s="161">
        <f t="shared" si="9"/>
        <v>-0.1981032205328721</v>
      </c>
    </row>
    <row r="148" spans="1:6" ht="15" customHeight="1" x14ac:dyDescent="0.2">
      <c r="A148" s="147">
        <v>16</v>
      </c>
      <c r="B148" s="169" t="s">
        <v>275</v>
      </c>
      <c r="C148" s="157">
        <v>238403</v>
      </c>
      <c r="D148" s="157">
        <v>238265</v>
      </c>
      <c r="E148" s="157">
        <f t="shared" si="8"/>
        <v>-138</v>
      </c>
      <c r="F148" s="161">
        <f t="shared" si="9"/>
        <v>-5.7885177619409155E-4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2050506</v>
      </c>
      <c r="D150" s="157">
        <v>1950413</v>
      </c>
      <c r="E150" s="157">
        <f t="shared" si="8"/>
        <v>-100093</v>
      </c>
      <c r="F150" s="161">
        <f t="shared" si="9"/>
        <v>-4.8813804982770104E-2</v>
      </c>
    </row>
    <row r="151" spans="1:6" ht="15" customHeight="1" x14ac:dyDescent="0.2">
      <c r="A151" s="147">
        <v>19</v>
      </c>
      <c r="B151" s="169" t="s">
        <v>278</v>
      </c>
      <c r="C151" s="157">
        <v>474210</v>
      </c>
      <c r="D151" s="157">
        <v>209097</v>
      </c>
      <c r="E151" s="157">
        <f t="shared" si="8"/>
        <v>-265113</v>
      </c>
      <c r="F151" s="161">
        <f t="shared" si="9"/>
        <v>-0.55906244069083322</v>
      </c>
    </row>
    <row r="152" spans="1:6" ht="15" customHeight="1" x14ac:dyDescent="0.2">
      <c r="A152" s="147">
        <v>20</v>
      </c>
      <c r="B152" s="169" t="s">
        <v>279</v>
      </c>
      <c r="C152" s="157">
        <v>3753908</v>
      </c>
      <c r="D152" s="157">
        <v>2389985</v>
      </c>
      <c r="E152" s="157">
        <f t="shared" si="8"/>
        <v>-1363923</v>
      </c>
      <c r="F152" s="161">
        <f t="shared" si="9"/>
        <v>-0.36333415736347296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351557</v>
      </c>
      <c r="D155" s="157">
        <v>490221</v>
      </c>
      <c r="E155" s="157">
        <f t="shared" si="8"/>
        <v>138664</v>
      </c>
      <c r="F155" s="161">
        <f t="shared" si="9"/>
        <v>0.39442821505474218</v>
      </c>
    </row>
    <row r="156" spans="1:6" ht="15" customHeight="1" x14ac:dyDescent="0.2">
      <c r="A156" s="147">
        <v>24</v>
      </c>
      <c r="B156" s="169" t="s">
        <v>283</v>
      </c>
      <c r="C156" s="157">
        <v>13414178</v>
      </c>
      <c r="D156" s="157">
        <v>13815196</v>
      </c>
      <c r="E156" s="157">
        <f t="shared" si="8"/>
        <v>401018</v>
      </c>
      <c r="F156" s="161">
        <f t="shared" si="9"/>
        <v>2.9895085632529999E-2</v>
      </c>
    </row>
    <row r="157" spans="1:6" ht="15" customHeight="1" x14ac:dyDescent="0.2">
      <c r="A157" s="147">
        <v>25</v>
      </c>
      <c r="B157" s="169" t="s">
        <v>284</v>
      </c>
      <c r="C157" s="157">
        <v>1202273</v>
      </c>
      <c r="D157" s="157">
        <v>1066530</v>
      </c>
      <c r="E157" s="157">
        <f t="shared" si="8"/>
        <v>-135743</v>
      </c>
      <c r="F157" s="161">
        <f t="shared" si="9"/>
        <v>-0.11290530520106498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453338</v>
      </c>
      <c r="D159" s="157">
        <v>468157</v>
      </c>
      <c r="E159" s="157">
        <f t="shared" si="8"/>
        <v>14819</v>
      </c>
      <c r="F159" s="161">
        <f t="shared" si="9"/>
        <v>3.2688634087590276E-2</v>
      </c>
    </row>
    <row r="160" spans="1:6" ht="15" customHeight="1" x14ac:dyDescent="0.2">
      <c r="A160" s="147">
        <v>28</v>
      </c>
      <c r="B160" s="169" t="s">
        <v>287</v>
      </c>
      <c r="C160" s="157">
        <v>2045844</v>
      </c>
      <c r="D160" s="157">
        <v>2060347</v>
      </c>
      <c r="E160" s="157">
        <f t="shared" si="8"/>
        <v>14503</v>
      </c>
      <c r="F160" s="161">
        <f t="shared" si="9"/>
        <v>7.0890058088495505E-3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591343</v>
      </c>
      <c r="D162" s="157">
        <v>636856</v>
      </c>
      <c r="E162" s="157">
        <f t="shared" si="8"/>
        <v>45513</v>
      </c>
      <c r="F162" s="161">
        <f t="shared" si="9"/>
        <v>7.6965483653311198E-2</v>
      </c>
    </row>
    <row r="163" spans="1:6" ht="15" customHeight="1" x14ac:dyDescent="0.2">
      <c r="A163" s="147">
        <v>31</v>
      </c>
      <c r="B163" s="169" t="s">
        <v>290</v>
      </c>
      <c r="C163" s="157">
        <v>580551</v>
      </c>
      <c r="D163" s="157">
        <v>688778</v>
      </c>
      <c r="E163" s="157">
        <f t="shared" si="8"/>
        <v>108227</v>
      </c>
      <c r="F163" s="161">
        <f t="shared" si="9"/>
        <v>0.18642117574511111</v>
      </c>
    </row>
    <row r="164" spans="1:6" ht="15" customHeight="1" x14ac:dyDescent="0.2">
      <c r="A164" s="147">
        <v>32</v>
      </c>
      <c r="B164" s="169" t="s">
        <v>291</v>
      </c>
      <c r="C164" s="157">
        <v>3268031</v>
      </c>
      <c r="D164" s="157">
        <v>3137530</v>
      </c>
      <c r="E164" s="157">
        <f t="shared" si="8"/>
        <v>-130501</v>
      </c>
      <c r="F164" s="161">
        <f t="shared" si="9"/>
        <v>-3.9932607738421083E-2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565136</v>
      </c>
      <c r="D166" s="157">
        <v>494614</v>
      </c>
      <c r="E166" s="157">
        <f t="shared" si="8"/>
        <v>-70522</v>
      </c>
      <c r="F166" s="161">
        <f t="shared" si="9"/>
        <v>-0.12478766173098157</v>
      </c>
    </row>
    <row r="167" spans="1:6" ht="15.75" customHeight="1" x14ac:dyDescent="0.25">
      <c r="A167" s="147"/>
      <c r="B167" s="165" t="s">
        <v>294</v>
      </c>
      <c r="C167" s="158">
        <f>SUM(C133:C166)</f>
        <v>97742870</v>
      </c>
      <c r="D167" s="158">
        <f>SUM(D133:D166)</f>
        <v>97873498</v>
      </c>
      <c r="E167" s="158">
        <f t="shared" si="8"/>
        <v>130628</v>
      </c>
      <c r="F167" s="159">
        <f t="shared" si="9"/>
        <v>1.3364453079800092E-3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15899342</v>
      </c>
      <c r="D170" s="157">
        <v>16340204</v>
      </c>
      <c r="E170" s="157">
        <f t="shared" ref="E170:E183" si="10">D170-C170</f>
        <v>440862</v>
      </c>
      <c r="F170" s="161">
        <f t="shared" ref="F170:F183" si="11">IF(C170=0,0,E170/C170)</f>
        <v>2.7728317310238372E-2</v>
      </c>
    </row>
    <row r="171" spans="1:6" ht="15" customHeight="1" x14ac:dyDescent="0.2">
      <c r="A171" s="147">
        <v>2</v>
      </c>
      <c r="B171" s="169" t="s">
        <v>297</v>
      </c>
      <c r="C171" s="157">
        <v>2425679</v>
      </c>
      <c r="D171" s="157">
        <v>2458059</v>
      </c>
      <c r="E171" s="157">
        <f t="shared" si="10"/>
        <v>32380</v>
      </c>
      <c r="F171" s="161">
        <f t="shared" si="11"/>
        <v>1.3348839644487173E-2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726363</v>
      </c>
      <c r="D173" s="157">
        <v>780722</v>
      </c>
      <c r="E173" s="157">
        <f t="shared" si="10"/>
        <v>54359</v>
      </c>
      <c r="F173" s="161">
        <f t="shared" si="11"/>
        <v>7.4837237028868492E-2</v>
      </c>
    </row>
    <row r="174" spans="1:6" ht="15" customHeight="1" x14ac:dyDescent="0.2">
      <c r="A174" s="147">
        <v>5</v>
      </c>
      <c r="B174" s="169" t="s">
        <v>300</v>
      </c>
      <c r="C174" s="157">
        <v>1137525</v>
      </c>
      <c r="D174" s="157">
        <v>1232150</v>
      </c>
      <c r="E174" s="157">
        <f t="shared" si="10"/>
        <v>94625</v>
      </c>
      <c r="F174" s="161">
        <f t="shared" si="11"/>
        <v>8.3184984945385815E-2</v>
      </c>
    </row>
    <row r="175" spans="1:6" ht="15" customHeight="1" x14ac:dyDescent="0.2">
      <c r="A175" s="147">
        <v>6</v>
      </c>
      <c r="B175" s="169" t="s">
        <v>301</v>
      </c>
      <c r="C175" s="157">
        <v>4092042</v>
      </c>
      <c r="D175" s="157">
        <v>4057292</v>
      </c>
      <c r="E175" s="157">
        <f t="shared" si="10"/>
        <v>-34750</v>
      </c>
      <c r="F175" s="161">
        <f t="shared" si="11"/>
        <v>-8.492092700905807E-3</v>
      </c>
    </row>
    <row r="176" spans="1:6" ht="15" customHeight="1" x14ac:dyDescent="0.2">
      <c r="A176" s="147">
        <v>7</v>
      </c>
      <c r="B176" s="169" t="s">
        <v>302</v>
      </c>
      <c r="C176" s="157">
        <v>1327701</v>
      </c>
      <c r="D176" s="157">
        <v>1481405</v>
      </c>
      <c r="E176" s="157">
        <f t="shared" si="10"/>
        <v>153704</v>
      </c>
      <c r="F176" s="161">
        <f t="shared" si="11"/>
        <v>0.11576702887171132</v>
      </c>
    </row>
    <row r="177" spans="1:6" ht="15" customHeight="1" x14ac:dyDescent="0.2">
      <c r="A177" s="147">
        <v>8</v>
      </c>
      <c r="B177" s="169" t="s">
        <v>303</v>
      </c>
      <c r="C177" s="157">
        <v>3058593</v>
      </c>
      <c r="D177" s="157">
        <v>2873094</v>
      </c>
      <c r="E177" s="157">
        <f t="shared" si="10"/>
        <v>-185499</v>
      </c>
      <c r="F177" s="161">
        <f t="shared" si="11"/>
        <v>-6.064847464177156E-2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5305718</v>
      </c>
      <c r="D179" s="157">
        <v>5317439</v>
      </c>
      <c r="E179" s="157">
        <f t="shared" si="10"/>
        <v>11721</v>
      </c>
      <c r="F179" s="161">
        <f t="shared" si="11"/>
        <v>2.2091260786947214E-3</v>
      </c>
    </row>
    <row r="180" spans="1:6" ht="15" customHeight="1" x14ac:dyDescent="0.2">
      <c r="A180" s="147">
        <v>11</v>
      </c>
      <c r="B180" s="169" t="s">
        <v>306</v>
      </c>
      <c r="C180" s="157">
        <v>839135</v>
      </c>
      <c r="D180" s="157">
        <v>823805</v>
      </c>
      <c r="E180" s="157">
        <f t="shared" si="10"/>
        <v>-15330</v>
      </c>
      <c r="F180" s="161">
        <f t="shared" si="11"/>
        <v>-1.8268812527185731E-2</v>
      </c>
    </row>
    <row r="181" spans="1:6" ht="15" customHeight="1" x14ac:dyDescent="0.2">
      <c r="A181" s="147">
        <v>12</v>
      </c>
      <c r="B181" s="169" t="s">
        <v>307</v>
      </c>
      <c r="C181" s="157">
        <v>3905410</v>
      </c>
      <c r="D181" s="157">
        <v>3548695</v>
      </c>
      <c r="E181" s="157">
        <f t="shared" si="10"/>
        <v>-356715</v>
      </c>
      <c r="F181" s="161">
        <f t="shared" si="11"/>
        <v>-9.1338681470063326E-2</v>
      </c>
    </row>
    <row r="182" spans="1:6" ht="15" customHeight="1" x14ac:dyDescent="0.2">
      <c r="A182" s="147">
        <v>13</v>
      </c>
      <c r="B182" s="169" t="s">
        <v>308</v>
      </c>
      <c r="C182" s="157">
        <v>176185</v>
      </c>
      <c r="D182" s="157">
        <v>137731</v>
      </c>
      <c r="E182" s="157">
        <f t="shared" si="10"/>
        <v>-38454</v>
      </c>
      <c r="F182" s="161">
        <f t="shared" si="11"/>
        <v>-0.21825921616482674</v>
      </c>
    </row>
    <row r="183" spans="1:6" ht="15.75" customHeight="1" x14ac:dyDescent="0.25">
      <c r="A183" s="147"/>
      <c r="B183" s="165" t="s">
        <v>309</v>
      </c>
      <c r="C183" s="158">
        <f>SUM(C170:C182)</f>
        <v>38893693</v>
      </c>
      <c r="D183" s="158">
        <f>SUM(D170:D182)</f>
        <v>39050596</v>
      </c>
      <c r="E183" s="158">
        <f t="shared" si="10"/>
        <v>156903</v>
      </c>
      <c r="F183" s="159">
        <f t="shared" si="11"/>
        <v>4.0341502155632281E-3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317854000</v>
      </c>
      <c r="D188" s="158">
        <f>+D186+D183+D167+D130+D121</f>
        <v>328168956</v>
      </c>
      <c r="E188" s="158">
        <f>D188-C188</f>
        <v>10314956</v>
      </c>
      <c r="F188" s="159">
        <f>IF(C188=0,0,E188/C188)</f>
        <v>3.2451867838693235E-2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312982000</v>
      </c>
      <c r="D11" s="183">
        <v>332207000</v>
      </c>
      <c r="E11" s="76">
        <v>340737210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19797000</v>
      </c>
      <c r="D12" s="185">
        <v>17848000</v>
      </c>
      <c r="E12" s="185">
        <v>19910474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332779000</v>
      </c>
      <c r="D13" s="76">
        <f>+D11+D12</f>
        <v>350055000</v>
      </c>
      <c r="E13" s="76">
        <f>+E11+E12</f>
        <v>360647684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311019000</v>
      </c>
      <c r="D14" s="185">
        <v>317854000</v>
      </c>
      <c r="E14" s="185">
        <v>328168956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21760000</v>
      </c>
      <c r="D15" s="76">
        <f>+D13-D14</f>
        <v>32201000</v>
      </c>
      <c r="E15" s="76">
        <f>+E13-E14</f>
        <v>32478728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6170000</v>
      </c>
      <c r="D16" s="185">
        <v>4171000</v>
      </c>
      <c r="E16" s="185">
        <v>-5622559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27930000</v>
      </c>
      <c r="D17" s="76">
        <f>D15+D16</f>
        <v>36372000</v>
      </c>
      <c r="E17" s="76">
        <f>E15+E16</f>
        <v>26856169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6.4198448734175351E-2</v>
      </c>
      <c r="D20" s="189">
        <f>IF(+D27=0,0,+D24/+D27)</f>
        <v>9.0905241286636213E-2</v>
      </c>
      <c r="E20" s="189">
        <f>IF(+E27=0,0,+E24/+E27)</f>
        <v>9.1482899977853679E-2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1.8203328524350269E-2</v>
      </c>
      <c r="D21" s="189">
        <f>IF(D27=0,0,+D26/D27)</f>
        <v>1.1774968522920395E-2</v>
      </c>
      <c r="E21" s="189">
        <f>IF(E27=0,0,+E26/E27)</f>
        <v>-1.583707350289645E-2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8.2401777258525613E-2</v>
      </c>
      <c r="D22" s="189">
        <f>IF(D27=0,0,+D28/D27)</f>
        <v>0.10268020980955661</v>
      </c>
      <c r="E22" s="189">
        <f>IF(E27=0,0,+E28/E27)</f>
        <v>7.5645826474957226E-2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21760000</v>
      </c>
      <c r="D24" s="76">
        <f>+D15</f>
        <v>32201000</v>
      </c>
      <c r="E24" s="76">
        <f>+E15</f>
        <v>32478728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332779000</v>
      </c>
      <c r="D25" s="76">
        <f>+D13</f>
        <v>350055000</v>
      </c>
      <c r="E25" s="76">
        <f>+E13</f>
        <v>360647684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6170000</v>
      </c>
      <c r="D26" s="76">
        <f>+D16</f>
        <v>4171000</v>
      </c>
      <c r="E26" s="76">
        <f>+E16</f>
        <v>-5622559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338949000</v>
      </c>
      <c r="D27" s="76">
        <f>+D25+D26</f>
        <v>354226000</v>
      </c>
      <c r="E27" s="76">
        <f>+E25+E26</f>
        <v>355025125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27930000</v>
      </c>
      <c r="D28" s="76">
        <f>+D17</f>
        <v>36372000</v>
      </c>
      <c r="E28" s="76">
        <f>+E17</f>
        <v>26856169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318845000</v>
      </c>
      <c r="D31" s="76">
        <v>334040000</v>
      </c>
      <c r="E31" s="76">
        <v>341118049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377624000</v>
      </c>
      <c r="D32" s="76">
        <v>401362000</v>
      </c>
      <c r="E32" s="76">
        <v>406494562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57897000</v>
      </c>
      <c r="D33" s="76">
        <f>+D32-C32</f>
        <v>23738000</v>
      </c>
      <c r="E33" s="76">
        <f>+E32-D32</f>
        <v>5132562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1.181</v>
      </c>
      <c r="D34" s="193">
        <f>IF(C32=0,0,+D33/C32)</f>
        <v>6.2861470669237127E-2</v>
      </c>
      <c r="E34" s="193">
        <f>IF(D32=0,0,+E33/D32)</f>
        <v>1.2787862328770536E-2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0.28178924022352203</v>
      </c>
      <c r="D38" s="195">
        <f>IF((D40+D41)=0,0,+D39/(D40+D41))</f>
        <v>0.27193105258802075</v>
      </c>
      <c r="E38" s="195">
        <f>IF((E40+E41)=0,0,+E39/(E40+E41))</f>
        <v>0.27607453772750212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311019000</v>
      </c>
      <c r="D39" s="76">
        <v>317854000</v>
      </c>
      <c r="E39" s="196">
        <v>328168956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1081142538</v>
      </c>
      <c r="D40" s="76">
        <v>1149848623</v>
      </c>
      <c r="E40" s="196">
        <v>1168376918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22586617</v>
      </c>
      <c r="D41" s="76">
        <v>19028550</v>
      </c>
      <c r="E41" s="196">
        <v>20320014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1.4153246606102645</v>
      </c>
      <c r="D43" s="197">
        <f>IF(D38=0,0,IF((D46-D47)=0,0,((+D44-D45)/(D46-D47)/D38)))</f>
        <v>1.4783025239346388</v>
      </c>
      <c r="E43" s="197">
        <f>IF(E38=0,0,IF((E46-E47)=0,0,((+E44-E45)/(E46-E47)/E38)))</f>
        <v>1.5367088934417781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223692065</v>
      </c>
      <c r="D44" s="76">
        <v>236385895</v>
      </c>
      <c r="E44" s="196">
        <v>245939003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4482422</v>
      </c>
      <c r="D45" s="76">
        <v>1960939</v>
      </c>
      <c r="E45" s="196">
        <v>4141475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583457233</v>
      </c>
      <c r="D46" s="76">
        <v>613857805</v>
      </c>
      <c r="E46" s="196">
        <v>598831331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33816165</v>
      </c>
      <c r="D47" s="76">
        <v>30705870</v>
      </c>
      <c r="E47" s="76">
        <v>28885084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0.71720217099794681</v>
      </c>
      <c r="D49" s="198">
        <f>IF(D38=0,0,IF(D51=0,0,(D50/D51)/D38))</f>
        <v>0.75056928559351388</v>
      </c>
      <c r="E49" s="198">
        <f>IF(E38=0,0,IF(E51=0,0,(E50/E51)/E38))</f>
        <v>0.70491760227268341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88406608</v>
      </c>
      <c r="D50" s="199">
        <v>95063111</v>
      </c>
      <c r="E50" s="199">
        <v>95044997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437440235</v>
      </c>
      <c r="D51" s="199">
        <v>465760260</v>
      </c>
      <c r="E51" s="199">
        <v>488387514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0.68847679876403911</v>
      </c>
      <c r="D53" s="198">
        <f>IF(D38=0,0,IF(D55=0,0,(D54/D55)/D38))</f>
        <v>0.75113858858774096</v>
      </c>
      <c r="E53" s="198">
        <f>IF(E38=0,0,IF(E55=0,0,(E54/E55)/E38))</f>
        <v>0.60551272118203836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6722600</v>
      </c>
      <c r="D54" s="199">
        <v>8455090</v>
      </c>
      <c r="E54" s="199">
        <v>8229030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34651621</v>
      </c>
      <c r="D55" s="199">
        <v>41394187</v>
      </c>
      <c r="E55" s="199">
        <v>49226507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8265933.1528820582</v>
      </c>
      <c r="D57" s="88">
        <f>+D60*D38</f>
        <v>12192361.042530173</v>
      </c>
      <c r="E57" s="88">
        <f>+E60*E38</f>
        <v>9073932.87506992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14617978</v>
      </c>
      <c r="D58" s="199">
        <v>19751377</v>
      </c>
      <c r="E58" s="199">
        <v>20529798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14715765</v>
      </c>
      <c r="D59" s="199">
        <v>25084845</v>
      </c>
      <c r="E59" s="199">
        <v>12337894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29333743</v>
      </c>
      <c r="D60" s="76">
        <v>44836222</v>
      </c>
      <c r="E60" s="201">
        <v>32867692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2.6576939521000511E-2</v>
      </c>
      <c r="D62" s="202">
        <f>IF(D63=0,0,+D57/D63)</f>
        <v>3.8358369070485739E-2</v>
      </c>
      <c r="E62" s="202">
        <f>IF(E63=0,0,+E57/E63)</f>
        <v>2.7650186616280426E-2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311019000</v>
      </c>
      <c r="D63" s="199">
        <v>317854000</v>
      </c>
      <c r="E63" s="199">
        <v>328168956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2.699482177263969</v>
      </c>
      <c r="D67" s="203">
        <f>IF(D69=0,0,D68/D69)</f>
        <v>2.86938826961517</v>
      </c>
      <c r="E67" s="203">
        <f>IF(E69=0,0,E68/E69)</f>
        <v>3.3977276028200039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134499000</v>
      </c>
      <c r="D68" s="204">
        <v>159340000</v>
      </c>
      <c r="E68" s="204">
        <v>177441625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49824000</v>
      </c>
      <c r="D69" s="204">
        <v>55531000</v>
      </c>
      <c r="E69" s="204">
        <v>52223617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77.345196110233061</v>
      </c>
      <c r="D71" s="203">
        <f>IF((D77/365)=0,0,+D74/(D77/365))</f>
        <v>94.382265084919339</v>
      </c>
      <c r="E71" s="203">
        <f>IF((E77/365)=0,0,+E74/(E77/365))</f>
        <v>118.21222920614449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25344000</v>
      </c>
      <c r="D72" s="183">
        <v>43811000</v>
      </c>
      <c r="E72" s="183">
        <v>25899478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36063000</v>
      </c>
      <c r="D73" s="206">
        <v>31934000</v>
      </c>
      <c r="E73" s="206">
        <v>72659059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61407000</v>
      </c>
      <c r="D74" s="204">
        <f>+D72+D73</f>
        <v>75745000</v>
      </c>
      <c r="E74" s="204">
        <f>+E72+E73</f>
        <v>98558537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311019000</v>
      </c>
      <c r="D75" s="204">
        <f>+D14</f>
        <v>317854000</v>
      </c>
      <c r="E75" s="204">
        <f>+E14</f>
        <v>328168956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21233000</v>
      </c>
      <c r="D76" s="204">
        <v>24929000</v>
      </c>
      <c r="E76" s="204">
        <v>23853013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289786000</v>
      </c>
      <c r="D77" s="204">
        <f>+D75-D76</f>
        <v>292925000</v>
      </c>
      <c r="E77" s="204">
        <f>+E75-E76</f>
        <v>304315943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39.173866228728805</v>
      </c>
      <c r="D79" s="203">
        <f>IF((D84/365)=0,0,+D83/(D84/365))</f>
        <v>40.710853202972842</v>
      </c>
      <c r="E79" s="203">
        <f>IF((E84/365)=0,0,+E83/(E84/365))</f>
        <v>40.37055172224953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34799000</v>
      </c>
      <c r="D80" s="212">
        <v>37984000</v>
      </c>
      <c r="E80" s="212">
        <v>38149419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1208000</v>
      </c>
      <c r="D82" s="212">
        <v>930766</v>
      </c>
      <c r="E82" s="212">
        <v>462435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33591000</v>
      </c>
      <c r="D83" s="212">
        <f>+D80+D81-D82</f>
        <v>37053234</v>
      </c>
      <c r="E83" s="212">
        <f>+E80+E81-E82</f>
        <v>37686984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312982000</v>
      </c>
      <c r="D84" s="204">
        <f>+D11</f>
        <v>332207000</v>
      </c>
      <c r="E84" s="204">
        <f>+E11</f>
        <v>340737210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62.755826713505826</v>
      </c>
      <c r="D86" s="203">
        <f>IF((D90/365)=0,0,+D87/(D90/365))</f>
        <v>69.194554920201412</v>
      </c>
      <c r="E86" s="203">
        <f>IF((E90/365)=0,0,+E87/(E90/365))</f>
        <v>62.637599650833941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49824000</v>
      </c>
      <c r="D87" s="76">
        <f>+D69</f>
        <v>55531000</v>
      </c>
      <c r="E87" s="76">
        <f>+E69</f>
        <v>52223617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311019000</v>
      </c>
      <c r="D88" s="76">
        <f t="shared" si="0"/>
        <v>317854000</v>
      </c>
      <c r="E88" s="76">
        <f t="shared" si="0"/>
        <v>328168956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21233000</v>
      </c>
      <c r="D89" s="201">
        <f t="shared" si="0"/>
        <v>24929000</v>
      </c>
      <c r="E89" s="201">
        <f t="shared" si="0"/>
        <v>23853013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289786000</v>
      </c>
      <c r="D90" s="76">
        <f>+D88-D89</f>
        <v>292925000</v>
      </c>
      <c r="E90" s="76">
        <f>+E88-E89</f>
        <v>304315943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71.421627500118205</v>
      </c>
      <c r="D94" s="214">
        <f>IF(D96=0,0,(D95/D96)*100)</f>
        <v>70.827046705454052</v>
      </c>
      <c r="E94" s="214">
        <f>IF(E96=0,0,(E95/E96)*100)</f>
        <v>71.226342955399218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377624000</v>
      </c>
      <c r="D95" s="76">
        <f>+D32</f>
        <v>401362000</v>
      </c>
      <c r="E95" s="76">
        <f>+E32</f>
        <v>406494562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528725000</v>
      </c>
      <c r="D96" s="76">
        <v>566679000</v>
      </c>
      <c r="E96" s="76">
        <v>570708175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56.164461809125598</v>
      </c>
      <c r="D98" s="214">
        <f>IF(D104=0,0,(D101/D104)*100)</f>
        <v>67.634273357164915</v>
      </c>
      <c r="E98" s="214">
        <f>IF(E104=0,0,(E101/E104)*100)</f>
        <v>59.901967331177353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27930000</v>
      </c>
      <c r="D99" s="76">
        <f>+D28</f>
        <v>36372000</v>
      </c>
      <c r="E99" s="76">
        <f>+E28</f>
        <v>26856169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21233000</v>
      </c>
      <c r="D100" s="201">
        <f>+D76</f>
        <v>24929000</v>
      </c>
      <c r="E100" s="201">
        <f>+E76</f>
        <v>23853013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49163000</v>
      </c>
      <c r="D101" s="76">
        <f>+D99+D100</f>
        <v>61301000</v>
      </c>
      <c r="E101" s="76">
        <f>+E99+E100</f>
        <v>50709182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49824000</v>
      </c>
      <c r="D102" s="204">
        <f>+D69</f>
        <v>55531000</v>
      </c>
      <c r="E102" s="204">
        <f>+E69</f>
        <v>52223617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37710000</v>
      </c>
      <c r="D103" s="216">
        <v>35105000</v>
      </c>
      <c r="E103" s="216">
        <v>32430000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87534000</v>
      </c>
      <c r="D104" s="204">
        <f>+D102+D103</f>
        <v>90636000</v>
      </c>
      <c r="E104" s="204">
        <f>+E102+E103</f>
        <v>84653617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9.0794396798721024</v>
      </c>
      <c r="D106" s="214">
        <f>IF(D109=0,0,(D107/D109)*100)</f>
        <v>8.0429906499231336</v>
      </c>
      <c r="E106" s="214">
        <f>IF(E109=0,0,(E107/E109)*100)</f>
        <v>7.3885133819419284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37710000</v>
      </c>
      <c r="D107" s="204">
        <f>+D103</f>
        <v>35105000</v>
      </c>
      <c r="E107" s="204">
        <f>+E103</f>
        <v>32430000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377624000</v>
      </c>
      <c r="D108" s="204">
        <f>+D32</f>
        <v>401362000</v>
      </c>
      <c r="E108" s="204">
        <f>+E32</f>
        <v>406494562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415334000</v>
      </c>
      <c r="D109" s="204">
        <f>+D107+D108</f>
        <v>436467000</v>
      </c>
      <c r="E109" s="204">
        <f>+E107+E108</f>
        <v>438924562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17.120386340117282</v>
      </c>
      <c r="D111" s="214">
        <f>IF((+D113+D115)=0,0,((+D112+D113+D114)/(+D113+D115)))</f>
        <v>21.644662921348313</v>
      </c>
      <c r="E111" s="214">
        <f>IF((+E113+E115)=0,0,((+E112+E113+E114)/(+E113+E115)))</f>
        <v>17.501488435211733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27930000</v>
      </c>
      <c r="D112" s="76">
        <f>+D17</f>
        <v>36372000</v>
      </c>
      <c r="E112" s="76">
        <f>+E17</f>
        <v>26856169</v>
      </c>
    </row>
    <row r="113" spans="1:8" ht="24" customHeight="1" x14ac:dyDescent="0.2">
      <c r="A113" s="85">
        <v>17</v>
      </c>
      <c r="B113" s="75" t="s">
        <v>88</v>
      </c>
      <c r="C113" s="218">
        <v>469000</v>
      </c>
      <c r="D113" s="76">
        <v>343000</v>
      </c>
      <c r="E113" s="76">
        <v>310142</v>
      </c>
    </row>
    <row r="114" spans="1:8" ht="24" customHeight="1" x14ac:dyDescent="0.2">
      <c r="A114" s="85">
        <v>18</v>
      </c>
      <c r="B114" s="75" t="s">
        <v>374</v>
      </c>
      <c r="C114" s="218">
        <v>21233000</v>
      </c>
      <c r="D114" s="76">
        <v>24929000</v>
      </c>
      <c r="E114" s="76">
        <v>23853013</v>
      </c>
    </row>
    <row r="115" spans="1:8" ht="24" customHeight="1" x14ac:dyDescent="0.2">
      <c r="A115" s="85">
        <v>19</v>
      </c>
      <c r="B115" s="75" t="s">
        <v>104</v>
      </c>
      <c r="C115" s="218">
        <v>2430000</v>
      </c>
      <c r="D115" s="76">
        <v>2505000</v>
      </c>
      <c r="E115" s="76">
        <v>2605000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9.1647906560542545</v>
      </c>
      <c r="D119" s="214">
        <f>IF(+D121=0,0,(+D120)/(+D121))</f>
        <v>8.5433430943880619</v>
      </c>
      <c r="E119" s="214">
        <f>IF(+E121=0,0,(+E120)/(+E121))</f>
        <v>9.7175935803162474</v>
      </c>
    </row>
    <row r="120" spans="1:8" ht="24" customHeight="1" x14ac:dyDescent="0.2">
      <c r="A120" s="85">
        <v>21</v>
      </c>
      <c r="B120" s="75" t="s">
        <v>378</v>
      </c>
      <c r="C120" s="218">
        <v>194596000</v>
      </c>
      <c r="D120" s="218">
        <v>212977000</v>
      </c>
      <c r="E120" s="218">
        <v>231793886</v>
      </c>
    </row>
    <row r="121" spans="1:8" ht="24" customHeight="1" x14ac:dyDescent="0.2">
      <c r="A121" s="85">
        <v>22</v>
      </c>
      <c r="B121" s="75" t="s">
        <v>374</v>
      </c>
      <c r="C121" s="218">
        <v>21233000</v>
      </c>
      <c r="D121" s="218">
        <v>24929000</v>
      </c>
      <c r="E121" s="218">
        <v>23853013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51964</v>
      </c>
      <c r="D124" s="218">
        <v>54509</v>
      </c>
      <c r="E124" s="218">
        <v>53840</v>
      </c>
    </row>
    <row r="125" spans="1:8" ht="24" customHeight="1" x14ac:dyDescent="0.2">
      <c r="A125" s="85">
        <v>2</v>
      </c>
      <c r="B125" s="75" t="s">
        <v>381</v>
      </c>
      <c r="C125" s="218">
        <v>12439</v>
      </c>
      <c r="D125" s="218">
        <v>12538</v>
      </c>
      <c r="E125" s="218">
        <v>13296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4.1775062304043731</v>
      </c>
      <c r="D126" s="219">
        <f>IF(D125=0,0,D124/D125)</f>
        <v>4.3475035890891691</v>
      </c>
      <c r="E126" s="219">
        <f>IF(E125=0,0,E124/E125)</f>
        <v>4.0493381468110714</v>
      </c>
    </row>
    <row r="127" spans="1:8" ht="24" customHeight="1" x14ac:dyDescent="0.2">
      <c r="A127" s="85">
        <v>4</v>
      </c>
      <c r="B127" s="75" t="s">
        <v>383</v>
      </c>
      <c r="C127" s="218">
        <v>206</v>
      </c>
      <c r="D127" s="218">
        <v>206</v>
      </c>
      <c r="E127" s="218">
        <v>206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206</v>
      </c>
      <c r="E128" s="218">
        <v>206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206</v>
      </c>
      <c r="D129" s="218">
        <v>206</v>
      </c>
      <c r="E129" s="218">
        <v>206</v>
      </c>
    </row>
    <row r="130" spans="1:7" ht="24" customHeight="1" x14ac:dyDescent="0.2">
      <c r="A130" s="85">
        <v>7</v>
      </c>
      <c r="B130" s="75" t="s">
        <v>386</v>
      </c>
      <c r="C130" s="193">
        <v>0.69110000000000005</v>
      </c>
      <c r="D130" s="193">
        <v>0.72489999999999999</v>
      </c>
      <c r="E130" s="193">
        <v>0.71599999999999997</v>
      </c>
    </row>
    <row r="131" spans="1:7" ht="24" customHeight="1" x14ac:dyDescent="0.2">
      <c r="A131" s="85">
        <v>8</v>
      </c>
      <c r="B131" s="75" t="s">
        <v>387</v>
      </c>
      <c r="C131" s="193">
        <v>0.69110000000000005</v>
      </c>
      <c r="D131" s="193">
        <v>0.72489999999999999</v>
      </c>
      <c r="E131" s="193">
        <v>0.71599999999999997</v>
      </c>
    </row>
    <row r="132" spans="1:7" ht="24" customHeight="1" x14ac:dyDescent="0.2">
      <c r="A132" s="85">
        <v>9</v>
      </c>
      <c r="B132" s="75" t="s">
        <v>388</v>
      </c>
      <c r="C132" s="219">
        <v>1465.1</v>
      </c>
      <c r="D132" s="219">
        <v>1475.3</v>
      </c>
      <c r="E132" s="219">
        <v>1475.7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0.50838908717510845</v>
      </c>
      <c r="D135" s="227">
        <f>IF(D149=0,0,D143/D149)</f>
        <v>0.5071553970978665</v>
      </c>
      <c r="E135" s="227">
        <f>IF(E149=0,0,E143/E149)</f>
        <v>0.48781025901780095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0.40460921629188545</v>
      </c>
      <c r="D136" s="227">
        <f>IF(D149=0,0,D144/D149)</f>
        <v>0.40506224096247839</v>
      </c>
      <c r="E136" s="227">
        <f>IF(E149=0,0,E144/E149)</f>
        <v>0.41800510304158545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3.2050927405096699E-2</v>
      </c>
      <c r="D137" s="227">
        <f>IF(D149=0,0,D145/D149)</f>
        <v>3.5999683934047726E-2</v>
      </c>
      <c r="E137" s="227">
        <f>IF(E149=0,0,E145/E149)</f>
        <v>4.2132385740951447E-2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2.2961057517838595E-2</v>
      </c>
      <c r="D138" s="227">
        <f>IF(D149=0,0,D146/D149)</f>
        <v>2.4189846770812717E-2</v>
      </c>
      <c r="E138" s="227">
        <f>IF(E149=0,0,E146/E149)</f>
        <v>2.6351856601809383E-2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3.1278174534281437E-2</v>
      </c>
      <c r="D139" s="227">
        <f>IF(D149=0,0,D147/D149)</f>
        <v>2.6704271663070905E-2</v>
      </c>
      <c r="E139" s="227">
        <f>IF(E149=0,0,E147/E149)</f>
        <v>2.4722402124688327E-2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7.1153707578935346E-4</v>
      </c>
      <c r="D140" s="227">
        <f>IF(D149=0,0,D148/D149)</f>
        <v>8.8855957172372937E-4</v>
      </c>
      <c r="E140" s="227">
        <f>IF(E149=0,0,E148/E149)</f>
        <v>9.779934731644535E-4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549641068</v>
      </c>
      <c r="D143" s="229">
        <f>+D46-D147</f>
        <v>583151935</v>
      </c>
      <c r="E143" s="229">
        <f>+E46-E147</f>
        <v>569946247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437440235</v>
      </c>
      <c r="D144" s="229">
        <f>+D51</f>
        <v>465760260</v>
      </c>
      <c r="E144" s="229">
        <f>+E51</f>
        <v>488387514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34651621</v>
      </c>
      <c r="D145" s="229">
        <f>+D55</f>
        <v>41394187</v>
      </c>
      <c r="E145" s="229">
        <f>+E55</f>
        <v>49226507</v>
      </c>
    </row>
    <row r="146" spans="1:7" ht="20.100000000000001" customHeight="1" x14ac:dyDescent="0.2">
      <c r="A146" s="226">
        <v>11</v>
      </c>
      <c r="B146" s="224" t="s">
        <v>400</v>
      </c>
      <c r="C146" s="228">
        <v>24824176</v>
      </c>
      <c r="D146" s="229">
        <v>27814662</v>
      </c>
      <c r="E146" s="229">
        <v>30788901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33816165</v>
      </c>
      <c r="D147" s="229">
        <f>+D47</f>
        <v>30705870</v>
      </c>
      <c r="E147" s="229">
        <f>+E47</f>
        <v>28885084</v>
      </c>
    </row>
    <row r="148" spans="1:7" ht="20.100000000000001" customHeight="1" x14ac:dyDescent="0.2">
      <c r="A148" s="226">
        <v>13</v>
      </c>
      <c r="B148" s="224" t="s">
        <v>402</v>
      </c>
      <c r="C148" s="230">
        <v>769273</v>
      </c>
      <c r="D148" s="229">
        <v>1021709</v>
      </c>
      <c r="E148" s="229">
        <v>1142665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1081142538</v>
      </c>
      <c r="D149" s="229">
        <f>SUM(D143:D148)</f>
        <v>1149848623</v>
      </c>
      <c r="E149" s="229">
        <f>SUM(E143:E148)</f>
        <v>1168376918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0.67571830952259571</v>
      </c>
      <c r="D152" s="227">
        <f>IF(D166=0,0,D160/D166)</f>
        <v>0.68166718788494174</v>
      </c>
      <c r="E152" s="227">
        <f>IF(E166=0,0,E160/E166)</f>
        <v>0.68161329480872734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0.27251521826704855</v>
      </c>
      <c r="D153" s="227">
        <f>IF(D166=0,0,D161/D166)</f>
        <v>0.27642706925351446</v>
      </c>
      <c r="E153" s="227">
        <f>IF(E166=0,0,E161/E166)</f>
        <v>0.26792636837981076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2.0722555109478475E-2</v>
      </c>
      <c r="D154" s="227">
        <f>IF(D166=0,0,D162/D166)</f>
        <v>2.4585937956256212E-2</v>
      </c>
      <c r="E154" s="227">
        <f>IF(E166=0,0,E162/E166)</f>
        <v>2.3197161268662191E-2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1.6074736237470407E-2</v>
      </c>
      <c r="D155" s="227">
        <f>IF(D166=0,0,D163/D166)</f>
        <v>1.0663300667077585E-2</v>
      </c>
      <c r="E155" s="227">
        <f>IF(E166=0,0,E163/E166)</f>
        <v>1.489873619061801E-2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1.3817159569056424E-2</v>
      </c>
      <c r="D156" s="227">
        <f>IF(D166=0,0,D164/D166)</f>
        <v>5.702071129935116E-3</v>
      </c>
      <c r="E156" s="227">
        <f>IF(E166=0,0,E164/E166)</f>
        <v>1.1674579320422061E-2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1.1520212943504093E-3</v>
      </c>
      <c r="D157" s="227">
        <f>IF(D166=0,0,D165/D166)</f>
        <v>9.5443310827489944E-4</v>
      </c>
      <c r="E157" s="227">
        <f>IF(E166=0,0,E165/E166)</f>
        <v>6.8986003175961408E-4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219209643</v>
      </c>
      <c r="D160" s="229">
        <f>+D44-D164</f>
        <v>234424956</v>
      </c>
      <c r="E160" s="229">
        <f>+E44-E164</f>
        <v>241797528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88406608</v>
      </c>
      <c r="D161" s="229">
        <f>+D50</f>
        <v>95063111</v>
      </c>
      <c r="E161" s="229">
        <f>+E50</f>
        <v>95044997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6722600</v>
      </c>
      <c r="D162" s="229">
        <f>+D54</f>
        <v>8455090</v>
      </c>
      <c r="E162" s="229">
        <f>+E54</f>
        <v>8229030</v>
      </c>
    </row>
    <row r="163" spans="1:6" ht="20.100000000000001" customHeight="1" x14ac:dyDescent="0.2">
      <c r="A163" s="226">
        <v>11</v>
      </c>
      <c r="B163" s="224" t="s">
        <v>415</v>
      </c>
      <c r="C163" s="228">
        <v>5214802</v>
      </c>
      <c r="D163" s="229">
        <v>3667103</v>
      </c>
      <c r="E163" s="229">
        <v>5285222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4482422</v>
      </c>
      <c r="D164" s="229">
        <f>+D45</f>
        <v>1960939</v>
      </c>
      <c r="E164" s="229">
        <f>+E45</f>
        <v>4141475</v>
      </c>
    </row>
    <row r="165" spans="1:6" ht="20.100000000000001" customHeight="1" x14ac:dyDescent="0.2">
      <c r="A165" s="226">
        <v>13</v>
      </c>
      <c r="B165" s="224" t="s">
        <v>417</v>
      </c>
      <c r="C165" s="230">
        <v>373727</v>
      </c>
      <c r="D165" s="229">
        <v>328229</v>
      </c>
      <c r="E165" s="229">
        <v>244723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324409802</v>
      </c>
      <c r="D166" s="229">
        <f>SUM(D160:D165)</f>
        <v>343899428</v>
      </c>
      <c r="E166" s="229">
        <f>SUM(E160:E165)</f>
        <v>354742975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6891</v>
      </c>
      <c r="D169" s="218">
        <v>7182</v>
      </c>
      <c r="E169" s="218">
        <v>7654</v>
      </c>
    </row>
    <row r="170" spans="1:6" ht="20.100000000000001" customHeight="1" x14ac:dyDescent="0.2">
      <c r="A170" s="226">
        <v>2</v>
      </c>
      <c r="B170" s="224" t="s">
        <v>420</v>
      </c>
      <c r="C170" s="218">
        <v>4888</v>
      </c>
      <c r="D170" s="218">
        <v>4545</v>
      </c>
      <c r="E170" s="218">
        <v>4713</v>
      </c>
    </row>
    <row r="171" spans="1:6" ht="20.100000000000001" customHeight="1" x14ac:dyDescent="0.2">
      <c r="A171" s="226">
        <v>3</v>
      </c>
      <c r="B171" s="224" t="s">
        <v>421</v>
      </c>
      <c r="C171" s="218">
        <v>647</v>
      </c>
      <c r="D171" s="218">
        <v>797</v>
      </c>
      <c r="E171" s="218">
        <v>913</v>
      </c>
    </row>
    <row r="172" spans="1:6" ht="20.100000000000001" customHeight="1" x14ac:dyDescent="0.2">
      <c r="A172" s="226">
        <v>4</v>
      </c>
      <c r="B172" s="224" t="s">
        <v>422</v>
      </c>
      <c r="C172" s="218">
        <v>370</v>
      </c>
      <c r="D172" s="218">
        <v>416</v>
      </c>
      <c r="E172" s="218">
        <v>470</v>
      </c>
    </row>
    <row r="173" spans="1:6" ht="20.100000000000001" customHeight="1" x14ac:dyDescent="0.2">
      <c r="A173" s="226">
        <v>5</v>
      </c>
      <c r="B173" s="224" t="s">
        <v>423</v>
      </c>
      <c r="C173" s="218">
        <v>277</v>
      </c>
      <c r="D173" s="218">
        <v>381</v>
      </c>
      <c r="E173" s="218">
        <v>443</v>
      </c>
    </row>
    <row r="174" spans="1:6" ht="20.100000000000001" customHeight="1" x14ac:dyDescent="0.2">
      <c r="A174" s="226">
        <v>6</v>
      </c>
      <c r="B174" s="224" t="s">
        <v>424</v>
      </c>
      <c r="C174" s="218">
        <v>13</v>
      </c>
      <c r="D174" s="218">
        <v>14</v>
      </c>
      <c r="E174" s="218">
        <v>16</v>
      </c>
    </row>
    <row r="175" spans="1:6" ht="20.100000000000001" customHeight="1" x14ac:dyDescent="0.2">
      <c r="A175" s="226">
        <v>7</v>
      </c>
      <c r="B175" s="224" t="s">
        <v>425</v>
      </c>
      <c r="C175" s="218">
        <v>340</v>
      </c>
      <c r="D175" s="218">
        <v>167</v>
      </c>
      <c r="E175" s="218">
        <v>234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12439</v>
      </c>
      <c r="D176" s="218">
        <f>+D169+D170+D171+D174</f>
        <v>12538</v>
      </c>
      <c r="E176" s="218">
        <f>+E169+E170+E171+E174</f>
        <v>13296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0.87034</v>
      </c>
      <c r="D179" s="231">
        <v>0.90366999999999997</v>
      </c>
      <c r="E179" s="231">
        <v>0.90549999999999997</v>
      </c>
    </row>
    <row r="180" spans="1:6" ht="20.100000000000001" customHeight="1" x14ac:dyDescent="0.2">
      <c r="A180" s="226">
        <v>2</v>
      </c>
      <c r="B180" s="224" t="s">
        <v>420</v>
      </c>
      <c r="C180" s="231">
        <v>1.4593700000000001</v>
      </c>
      <c r="D180" s="231">
        <v>1.57877</v>
      </c>
      <c r="E180" s="231">
        <v>1.5670500000000001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1.0239290000000001</v>
      </c>
      <c r="D181" s="231">
        <v>1.075909</v>
      </c>
      <c r="E181" s="231">
        <v>1.0067459999999999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0.92637999999999998</v>
      </c>
      <c r="D182" s="231">
        <v>0.99914999999999998</v>
      </c>
      <c r="E182" s="231">
        <v>1.0079400000000001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1.1542300000000001</v>
      </c>
      <c r="D183" s="231">
        <v>1.1597200000000001</v>
      </c>
      <c r="E183" s="231">
        <v>1.0054799999999999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0.69643999999999995</v>
      </c>
      <c r="D184" s="231">
        <v>1.0708</v>
      </c>
      <c r="E184" s="231">
        <v>0.90332999999999997</v>
      </c>
    </row>
    <row r="185" spans="1:6" ht="20.100000000000001" customHeight="1" x14ac:dyDescent="0.2">
      <c r="A185" s="226">
        <v>7</v>
      </c>
      <c r="B185" s="224" t="s">
        <v>425</v>
      </c>
      <c r="C185" s="231">
        <v>0.98687000000000002</v>
      </c>
      <c r="D185" s="231">
        <v>1.0280499999999999</v>
      </c>
      <c r="E185" s="231">
        <v>0.98980999999999997</v>
      </c>
    </row>
    <row r="186" spans="1:6" ht="20.100000000000001" customHeight="1" x14ac:dyDescent="0.2">
      <c r="A186" s="226">
        <v>8</v>
      </c>
      <c r="B186" s="224" t="s">
        <v>429</v>
      </c>
      <c r="C186" s="231">
        <v>1.10961</v>
      </c>
      <c r="D186" s="231">
        <v>1.159527</v>
      </c>
      <c r="E186" s="231">
        <v>1.1469469999999999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7527</v>
      </c>
      <c r="D189" s="218">
        <v>6790</v>
      </c>
      <c r="E189" s="218">
        <v>7846</v>
      </c>
    </row>
    <row r="190" spans="1:6" ht="20.100000000000001" customHeight="1" x14ac:dyDescent="0.2">
      <c r="A190" s="226">
        <v>2</v>
      </c>
      <c r="B190" s="224" t="s">
        <v>433</v>
      </c>
      <c r="C190" s="218">
        <v>34925</v>
      </c>
      <c r="D190" s="218">
        <v>32604</v>
      </c>
      <c r="E190" s="218">
        <v>31400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42452</v>
      </c>
      <c r="D191" s="218">
        <f>+D190+D189</f>
        <v>39394</v>
      </c>
      <c r="E191" s="218">
        <f>+E190+E189</f>
        <v>39246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FILING&amp;RGREENWICH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468375</v>
      </c>
      <c r="D14" s="258">
        <v>2998058</v>
      </c>
      <c r="E14" s="258">
        <f t="shared" ref="E14:E24" si="0">D14-C14</f>
        <v>2529683</v>
      </c>
      <c r="F14" s="259">
        <f t="shared" ref="F14:F24" si="1">IF(C14=0,0,E14/C14)</f>
        <v>5.4009778489458231</v>
      </c>
    </row>
    <row r="15" spans="1:7" ht="20.25" customHeight="1" x14ac:dyDescent="0.3">
      <c r="A15" s="256">
        <v>2</v>
      </c>
      <c r="B15" s="257" t="s">
        <v>442</v>
      </c>
      <c r="C15" s="258">
        <v>139326</v>
      </c>
      <c r="D15" s="258">
        <v>700378</v>
      </c>
      <c r="E15" s="258">
        <f t="shared" si="0"/>
        <v>561052</v>
      </c>
      <c r="F15" s="259">
        <f t="shared" si="1"/>
        <v>4.0269009373699092</v>
      </c>
    </row>
    <row r="16" spans="1:7" ht="20.25" customHeight="1" x14ac:dyDescent="0.3">
      <c r="A16" s="256">
        <v>3</v>
      </c>
      <c r="B16" s="257" t="s">
        <v>443</v>
      </c>
      <c r="C16" s="258">
        <v>708179</v>
      </c>
      <c r="D16" s="258">
        <v>1596495</v>
      </c>
      <c r="E16" s="258">
        <f t="shared" si="0"/>
        <v>888316</v>
      </c>
      <c r="F16" s="259">
        <f t="shared" si="1"/>
        <v>1.2543664807908734</v>
      </c>
    </row>
    <row r="17" spans="1:6" ht="20.25" customHeight="1" x14ac:dyDescent="0.3">
      <c r="A17" s="256">
        <v>4</v>
      </c>
      <c r="B17" s="257" t="s">
        <v>444</v>
      </c>
      <c r="C17" s="258">
        <v>97935</v>
      </c>
      <c r="D17" s="258">
        <v>255660</v>
      </c>
      <c r="E17" s="258">
        <f t="shared" si="0"/>
        <v>157725</v>
      </c>
      <c r="F17" s="259">
        <f t="shared" si="1"/>
        <v>1.6105069689079492</v>
      </c>
    </row>
    <row r="18" spans="1:6" ht="20.25" customHeight="1" x14ac:dyDescent="0.3">
      <c r="A18" s="256">
        <v>5</v>
      </c>
      <c r="B18" s="257" t="s">
        <v>381</v>
      </c>
      <c r="C18" s="260">
        <v>16</v>
      </c>
      <c r="D18" s="260">
        <v>66</v>
      </c>
      <c r="E18" s="260">
        <f t="shared" si="0"/>
        <v>50</v>
      </c>
      <c r="F18" s="259">
        <f t="shared" si="1"/>
        <v>3.125</v>
      </c>
    </row>
    <row r="19" spans="1:6" ht="20.25" customHeight="1" x14ac:dyDescent="0.3">
      <c r="A19" s="256">
        <v>6</v>
      </c>
      <c r="B19" s="257" t="s">
        <v>380</v>
      </c>
      <c r="C19" s="260">
        <v>63</v>
      </c>
      <c r="D19" s="260">
        <v>339</v>
      </c>
      <c r="E19" s="260">
        <f t="shared" si="0"/>
        <v>276</v>
      </c>
      <c r="F19" s="259">
        <f t="shared" si="1"/>
        <v>4.3809523809523814</v>
      </c>
    </row>
    <row r="20" spans="1:6" ht="20.25" customHeight="1" x14ac:dyDescent="0.3">
      <c r="A20" s="256">
        <v>7</v>
      </c>
      <c r="B20" s="257" t="s">
        <v>445</v>
      </c>
      <c r="C20" s="260">
        <v>191</v>
      </c>
      <c r="D20" s="260">
        <v>322</v>
      </c>
      <c r="E20" s="260">
        <f t="shared" si="0"/>
        <v>131</v>
      </c>
      <c r="F20" s="259">
        <f t="shared" si="1"/>
        <v>0.68586387434554974</v>
      </c>
    </row>
    <row r="21" spans="1:6" ht="20.25" customHeight="1" x14ac:dyDescent="0.3">
      <c r="A21" s="256">
        <v>8</v>
      </c>
      <c r="B21" s="257" t="s">
        <v>446</v>
      </c>
      <c r="C21" s="260">
        <v>41</v>
      </c>
      <c r="D21" s="260">
        <v>65</v>
      </c>
      <c r="E21" s="260">
        <f t="shared" si="0"/>
        <v>24</v>
      </c>
      <c r="F21" s="259">
        <f t="shared" si="1"/>
        <v>0.58536585365853655</v>
      </c>
    </row>
    <row r="22" spans="1:6" ht="20.25" customHeight="1" x14ac:dyDescent="0.3">
      <c r="A22" s="256">
        <v>9</v>
      </c>
      <c r="B22" s="257" t="s">
        <v>447</v>
      </c>
      <c r="C22" s="260">
        <v>16</v>
      </c>
      <c r="D22" s="260">
        <v>56</v>
      </c>
      <c r="E22" s="260">
        <f t="shared" si="0"/>
        <v>40</v>
      </c>
      <c r="F22" s="259">
        <f t="shared" si="1"/>
        <v>2.5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1176554</v>
      </c>
      <c r="D23" s="263">
        <f>+D14+D16</f>
        <v>4594553</v>
      </c>
      <c r="E23" s="263">
        <f t="shared" si="0"/>
        <v>3417999</v>
      </c>
      <c r="F23" s="264">
        <f t="shared" si="1"/>
        <v>2.9050931788936163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237261</v>
      </c>
      <c r="D24" s="263">
        <f>+D15+D17</f>
        <v>956038</v>
      </c>
      <c r="E24" s="263">
        <f t="shared" si="0"/>
        <v>718777</v>
      </c>
      <c r="F24" s="264">
        <f t="shared" si="1"/>
        <v>3.0294780853153278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13231</v>
      </c>
      <c r="E29" s="258">
        <f t="shared" si="2"/>
        <v>13231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2137</v>
      </c>
      <c r="E30" s="258">
        <f t="shared" si="2"/>
        <v>2137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1</v>
      </c>
      <c r="E33" s="260">
        <f t="shared" si="2"/>
        <v>1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13231</v>
      </c>
      <c r="E36" s="263">
        <f t="shared" si="2"/>
        <v>13231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2137</v>
      </c>
      <c r="E37" s="263">
        <f t="shared" si="2"/>
        <v>2137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1512537</v>
      </c>
      <c r="D40" s="258">
        <v>778753</v>
      </c>
      <c r="E40" s="258">
        <f t="shared" ref="E40:E50" si="4">D40-C40</f>
        <v>-733784</v>
      </c>
      <c r="F40" s="259">
        <f t="shared" ref="F40:F50" si="5">IF(C40=0,0,E40/C40)</f>
        <v>-0.48513457852601294</v>
      </c>
    </row>
    <row r="41" spans="1:6" ht="20.25" customHeight="1" x14ac:dyDescent="0.3">
      <c r="A41" s="256">
        <v>2</v>
      </c>
      <c r="B41" s="257" t="s">
        <v>442</v>
      </c>
      <c r="C41" s="258">
        <v>284382</v>
      </c>
      <c r="D41" s="258">
        <v>150606</v>
      </c>
      <c r="E41" s="258">
        <f t="shared" si="4"/>
        <v>-133776</v>
      </c>
      <c r="F41" s="259">
        <f t="shared" si="5"/>
        <v>-0.47040951958984745</v>
      </c>
    </row>
    <row r="42" spans="1:6" ht="20.25" customHeight="1" x14ac:dyDescent="0.3">
      <c r="A42" s="256">
        <v>3</v>
      </c>
      <c r="B42" s="257" t="s">
        <v>443</v>
      </c>
      <c r="C42" s="258">
        <v>2106817</v>
      </c>
      <c r="D42" s="258">
        <v>1465968</v>
      </c>
      <c r="E42" s="258">
        <f t="shared" si="4"/>
        <v>-640849</v>
      </c>
      <c r="F42" s="259">
        <f t="shared" si="5"/>
        <v>-0.30417876825561974</v>
      </c>
    </row>
    <row r="43" spans="1:6" ht="20.25" customHeight="1" x14ac:dyDescent="0.3">
      <c r="A43" s="256">
        <v>4</v>
      </c>
      <c r="B43" s="257" t="s">
        <v>444</v>
      </c>
      <c r="C43" s="258">
        <v>355754</v>
      </c>
      <c r="D43" s="258">
        <v>225814</v>
      </c>
      <c r="E43" s="258">
        <f t="shared" si="4"/>
        <v>-129940</v>
      </c>
      <c r="F43" s="259">
        <f t="shared" si="5"/>
        <v>-0.36525239350787342</v>
      </c>
    </row>
    <row r="44" spans="1:6" ht="20.25" customHeight="1" x14ac:dyDescent="0.3">
      <c r="A44" s="256">
        <v>5</v>
      </c>
      <c r="B44" s="257" t="s">
        <v>381</v>
      </c>
      <c r="C44" s="260">
        <v>19</v>
      </c>
      <c r="D44" s="260">
        <v>18</v>
      </c>
      <c r="E44" s="260">
        <f t="shared" si="4"/>
        <v>-1</v>
      </c>
      <c r="F44" s="259">
        <f t="shared" si="5"/>
        <v>-5.2631578947368418E-2</v>
      </c>
    </row>
    <row r="45" spans="1:6" ht="20.25" customHeight="1" x14ac:dyDescent="0.3">
      <c r="A45" s="256">
        <v>6</v>
      </c>
      <c r="B45" s="257" t="s">
        <v>380</v>
      </c>
      <c r="C45" s="260">
        <v>153</v>
      </c>
      <c r="D45" s="260">
        <v>63</v>
      </c>
      <c r="E45" s="260">
        <f t="shared" si="4"/>
        <v>-90</v>
      </c>
      <c r="F45" s="259">
        <f t="shared" si="5"/>
        <v>-0.58823529411764708</v>
      </c>
    </row>
    <row r="46" spans="1:6" ht="20.25" customHeight="1" x14ac:dyDescent="0.3">
      <c r="A46" s="256">
        <v>7</v>
      </c>
      <c r="B46" s="257" t="s">
        <v>445</v>
      </c>
      <c r="C46" s="260">
        <v>647</v>
      </c>
      <c r="D46" s="260">
        <v>792</v>
      </c>
      <c r="E46" s="260">
        <f t="shared" si="4"/>
        <v>145</v>
      </c>
      <c r="F46" s="259">
        <f t="shared" si="5"/>
        <v>0.22411128284389489</v>
      </c>
    </row>
    <row r="47" spans="1:6" ht="20.25" customHeight="1" x14ac:dyDescent="0.3">
      <c r="A47" s="256">
        <v>8</v>
      </c>
      <c r="B47" s="257" t="s">
        <v>446</v>
      </c>
      <c r="C47" s="260">
        <v>28</v>
      </c>
      <c r="D47" s="260">
        <v>23</v>
      </c>
      <c r="E47" s="260">
        <f t="shared" si="4"/>
        <v>-5</v>
      </c>
      <c r="F47" s="259">
        <f t="shared" si="5"/>
        <v>-0.17857142857142858</v>
      </c>
    </row>
    <row r="48" spans="1:6" ht="20.25" customHeight="1" x14ac:dyDescent="0.3">
      <c r="A48" s="256">
        <v>9</v>
      </c>
      <c r="B48" s="257" t="s">
        <v>447</v>
      </c>
      <c r="C48" s="260">
        <v>17</v>
      </c>
      <c r="D48" s="260">
        <v>12</v>
      </c>
      <c r="E48" s="260">
        <f t="shared" si="4"/>
        <v>-5</v>
      </c>
      <c r="F48" s="259">
        <f t="shared" si="5"/>
        <v>-0.29411764705882354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3619354</v>
      </c>
      <c r="D49" s="263">
        <f>+D40+D42</f>
        <v>2244721</v>
      </c>
      <c r="E49" s="263">
        <f t="shared" si="4"/>
        <v>-1374633</v>
      </c>
      <c r="F49" s="264">
        <f t="shared" si="5"/>
        <v>-0.37980064950817188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640136</v>
      </c>
      <c r="D50" s="263">
        <f>+D41+D43</f>
        <v>376420</v>
      </c>
      <c r="E50" s="263">
        <f t="shared" si="4"/>
        <v>-263716</v>
      </c>
      <c r="F50" s="264">
        <f t="shared" si="5"/>
        <v>-0.41196870664983692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6333180</v>
      </c>
      <c r="D66" s="258">
        <v>5788330</v>
      </c>
      <c r="E66" s="258">
        <f t="shared" ref="E66:E76" si="8">D66-C66</f>
        <v>-544850</v>
      </c>
      <c r="F66" s="259">
        <f t="shared" ref="F66:F76" si="9">IF(C66=0,0,E66/C66)</f>
        <v>-8.6031030224942281E-2</v>
      </c>
    </row>
    <row r="67" spans="1:6" ht="20.25" customHeight="1" x14ac:dyDescent="0.3">
      <c r="A67" s="256">
        <v>2</v>
      </c>
      <c r="B67" s="257" t="s">
        <v>442</v>
      </c>
      <c r="C67" s="258">
        <v>1378980</v>
      </c>
      <c r="D67" s="258">
        <v>1356361</v>
      </c>
      <c r="E67" s="258">
        <f t="shared" si="8"/>
        <v>-22619</v>
      </c>
      <c r="F67" s="259">
        <f t="shared" si="9"/>
        <v>-1.6402703447475669E-2</v>
      </c>
    </row>
    <row r="68" spans="1:6" ht="20.25" customHeight="1" x14ac:dyDescent="0.3">
      <c r="A68" s="256">
        <v>3</v>
      </c>
      <c r="B68" s="257" t="s">
        <v>443</v>
      </c>
      <c r="C68" s="258">
        <v>2867135</v>
      </c>
      <c r="D68" s="258">
        <v>2016465</v>
      </c>
      <c r="E68" s="258">
        <f t="shared" si="8"/>
        <v>-850670</v>
      </c>
      <c r="F68" s="259">
        <f t="shared" si="9"/>
        <v>-0.29669687684744528</v>
      </c>
    </row>
    <row r="69" spans="1:6" ht="20.25" customHeight="1" x14ac:dyDescent="0.3">
      <c r="A69" s="256">
        <v>4</v>
      </c>
      <c r="B69" s="257" t="s">
        <v>444</v>
      </c>
      <c r="C69" s="258">
        <v>395522</v>
      </c>
      <c r="D69" s="258">
        <v>270282</v>
      </c>
      <c r="E69" s="258">
        <f t="shared" si="8"/>
        <v>-125240</v>
      </c>
      <c r="F69" s="259">
        <f t="shared" si="9"/>
        <v>-0.31664483897229484</v>
      </c>
    </row>
    <row r="70" spans="1:6" ht="20.25" customHeight="1" x14ac:dyDescent="0.3">
      <c r="A70" s="256">
        <v>5</v>
      </c>
      <c r="B70" s="257" t="s">
        <v>381</v>
      </c>
      <c r="C70" s="260">
        <v>135</v>
      </c>
      <c r="D70" s="260">
        <v>108</v>
      </c>
      <c r="E70" s="260">
        <f t="shared" si="8"/>
        <v>-27</v>
      </c>
      <c r="F70" s="259">
        <f t="shared" si="9"/>
        <v>-0.2</v>
      </c>
    </row>
    <row r="71" spans="1:6" ht="20.25" customHeight="1" x14ac:dyDescent="0.3">
      <c r="A71" s="256">
        <v>6</v>
      </c>
      <c r="B71" s="257" t="s">
        <v>380</v>
      </c>
      <c r="C71" s="260">
        <v>864</v>
      </c>
      <c r="D71" s="260">
        <v>614</v>
      </c>
      <c r="E71" s="260">
        <f t="shared" si="8"/>
        <v>-250</v>
      </c>
      <c r="F71" s="259">
        <f t="shared" si="9"/>
        <v>-0.28935185185185186</v>
      </c>
    </row>
    <row r="72" spans="1:6" ht="20.25" customHeight="1" x14ac:dyDescent="0.3">
      <c r="A72" s="256">
        <v>7</v>
      </c>
      <c r="B72" s="257" t="s">
        <v>445</v>
      </c>
      <c r="C72" s="260">
        <v>358</v>
      </c>
      <c r="D72" s="260">
        <v>206</v>
      </c>
      <c r="E72" s="260">
        <f t="shared" si="8"/>
        <v>-152</v>
      </c>
      <c r="F72" s="259">
        <f t="shared" si="9"/>
        <v>-0.42458100558659218</v>
      </c>
    </row>
    <row r="73" spans="1:6" ht="20.25" customHeight="1" x14ac:dyDescent="0.3">
      <c r="A73" s="256">
        <v>8</v>
      </c>
      <c r="B73" s="257" t="s">
        <v>446</v>
      </c>
      <c r="C73" s="260">
        <v>179</v>
      </c>
      <c r="D73" s="260">
        <v>108</v>
      </c>
      <c r="E73" s="260">
        <f t="shared" si="8"/>
        <v>-71</v>
      </c>
      <c r="F73" s="259">
        <f t="shared" si="9"/>
        <v>-0.39664804469273746</v>
      </c>
    </row>
    <row r="74" spans="1:6" ht="20.25" customHeight="1" x14ac:dyDescent="0.3">
      <c r="A74" s="256">
        <v>9</v>
      </c>
      <c r="B74" s="257" t="s">
        <v>447</v>
      </c>
      <c r="C74" s="260">
        <v>124</v>
      </c>
      <c r="D74" s="260">
        <v>95</v>
      </c>
      <c r="E74" s="260">
        <f t="shared" si="8"/>
        <v>-29</v>
      </c>
      <c r="F74" s="259">
        <f t="shared" si="9"/>
        <v>-0.23387096774193547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9200315</v>
      </c>
      <c r="D75" s="263">
        <f>+D66+D68</f>
        <v>7804795</v>
      </c>
      <c r="E75" s="263">
        <f t="shared" si="8"/>
        <v>-1395520</v>
      </c>
      <c r="F75" s="264">
        <f t="shared" si="9"/>
        <v>-0.15168176307006881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1774502</v>
      </c>
      <c r="D76" s="263">
        <f>+D67+D69</f>
        <v>1626643</v>
      </c>
      <c r="E76" s="263">
        <f t="shared" si="8"/>
        <v>-147859</v>
      </c>
      <c r="F76" s="264">
        <f t="shared" si="9"/>
        <v>-8.3324222796029537E-2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12548076</v>
      </c>
      <c r="D92" s="258">
        <v>13589977</v>
      </c>
      <c r="E92" s="258">
        <f t="shared" ref="E92:E102" si="12">D92-C92</f>
        <v>1041901</v>
      </c>
      <c r="F92" s="259">
        <f t="shared" ref="F92:F102" si="13">IF(C92=0,0,E92/C92)</f>
        <v>8.3032729479802322E-2</v>
      </c>
    </row>
    <row r="93" spans="1:6" ht="20.25" customHeight="1" x14ac:dyDescent="0.3">
      <c r="A93" s="256">
        <v>2</v>
      </c>
      <c r="B93" s="257" t="s">
        <v>442</v>
      </c>
      <c r="C93" s="258">
        <v>2889753</v>
      </c>
      <c r="D93" s="258">
        <v>3272530</v>
      </c>
      <c r="E93" s="258">
        <f t="shared" si="12"/>
        <v>382777</v>
      </c>
      <c r="F93" s="259">
        <f t="shared" si="13"/>
        <v>0.13246010991250809</v>
      </c>
    </row>
    <row r="94" spans="1:6" ht="20.25" customHeight="1" x14ac:dyDescent="0.3">
      <c r="A94" s="256">
        <v>3</v>
      </c>
      <c r="B94" s="257" t="s">
        <v>443</v>
      </c>
      <c r="C94" s="258">
        <v>9295394</v>
      </c>
      <c r="D94" s="258">
        <v>13357499</v>
      </c>
      <c r="E94" s="258">
        <f t="shared" si="12"/>
        <v>4062105</v>
      </c>
      <c r="F94" s="259">
        <f t="shared" si="13"/>
        <v>0.43700191729366178</v>
      </c>
    </row>
    <row r="95" spans="1:6" ht="20.25" customHeight="1" x14ac:dyDescent="0.3">
      <c r="A95" s="256">
        <v>4</v>
      </c>
      <c r="B95" s="257" t="s">
        <v>444</v>
      </c>
      <c r="C95" s="258">
        <v>1508786</v>
      </c>
      <c r="D95" s="258">
        <v>1955060</v>
      </c>
      <c r="E95" s="258">
        <f t="shared" si="12"/>
        <v>446274</v>
      </c>
      <c r="F95" s="259">
        <f t="shared" si="13"/>
        <v>0.29578349746087251</v>
      </c>
    </row>
    <row r="96" spans="1:6" ht="20.25" customHeight="1" x14ac:dyDescent="0.3">
      <c r="A96" s="256">
        <v>5</v>
      </c>
      <c r="B96" s="257" t="s">
        <v>381</v>
      </c>
      <c r="C96" s="260">
        <v>237</v>
      </c>
      <c r="D96" s="260">
        <v>251</v>
      </c>
      <c r="E96" s="260">
        <f t="shared" si="12"/>
        <v>14</v>
      </c>
      <c r="F96" s="259">
        <f t="shared" si="13"/>
        <v>5.9071729957805907E-2</v>
      </c>
    </row>
    <row r="97" spans="1:6" ht="20.25" customHeight="1" x14ac:dyDescent="0.3">
      <c r="A97" s="256">
        <v>6</v>
      </c>
      <c r="B97" s="257" t="s">
        <v>380</v>
      </c>
      <c r="C97" s="260">
        <v>1351</v>
      </c>
      <c r="D97" s="260">
        <v>1512</v>
      </c>
      <c r="E97" s="260">
        <f t="shared" si="12"/>
        <v>161</v>
      </c>
      <c r="F97" s="259">
        <f t="shared" si="13"/>
        <v>0.11917098445595854</v>
      </c>
    </row>
    <row r="98" spans="1:6" ht="20.25" customHeight="1" x14ac:dyDescent="0.3">
      <c r="A98" s="256">
        <v>7</v>
      </c>
      <c r="B98" s="257" t="s">
        <v>445</v>
      </c>
      <c r="C98" s="260">
        <v>3321</v>
      </c>
      <c r="D98" s="260">
        <v>5153</v>
      </c>
      <c r="E98" s="260">
        <f t="shared" si="12"/>
        <v>1832</v>
      </c>
      <c r="F98" s="259">
        <f t="shared" si="13"/>
        <v>0.55164107196627521</v>
      </c>
    </row>
    <row r="99" spans="1:6" ht="20.25" customHeight="1" x14ac:dyDescent="0.3">
      <c r="A99" s="256">
        <v>8</v>
      </c>
      <c r="B99" s="257" t="s">
        <v>446</v>
      </c>
      <c r="C99" s="260">
        <v>310</v>
      </c>
      <c r="D99" s="260">
        <v>356</v>
      </c>
      <c r="E99" s="260">
        <f t="shared" si="12"/>
        <v>46</v>
      </c>
      <c r="F99" s="259">
        <f t="shared" si="13"/>
        <v>0.14838709677419354</v>
      </c>
    </row>
    <row r="100" spans="1:6" ht="20.25" customHeight="1" x14ac:dyDescent="0.3">
      <c r="A100" s="256">
        <v>9</v>
      </c>
      <c r="B100" s="257" t="s">
        <v>447</v>
      </c>
      <c r="C100" s="260">
        <v>201</v>
      </c>
      <c r="D100" s="260">
        <v>215</v>
      </c>
      <c r="E100" s="260">
        <f t="shared" si="12"/>
        <v>14</v>
      </c>
      <c r="F100" s="259">
        <f t="shared" si="13"/>
        <v>6.965174129353234E-2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21843470</v>
      </c>
      <c r="D101" s="263">
        <f>+D92+D94</f>
        <v>26947476</v>
      </c>
      <c r="E101" s="263">
        <f t="shared" si="12"/>
        <v>5104006</v>
      </c>
      <c r="F101" s="264">
        <f t="shared" si="13"/>
        <v>0.23366278343138705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4398539</v>
      </c>
      <c r="D102" s="263">
        <f>+D93+D95</f>
        <v>5227590</v>
      </c>
      <c r="E102" s="263">
        <f t="shared" si="12"/>
        <v>829051</v>
      </c>
      <c r="F102" s="264">
        <f t="shared" si="13"/>
        <v>0.18848326683019065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79896</v>
      </c>
      <c r="D105" s="258">
        <v>65111</v>
      </c>
      <c r="E105" s="258">
        <f t="shared" ref="E105:E115" si="14">D105-C105</f>
        <v>-14785</v>
      </c>
      <c r="F105" s="259">
        <f t="shared" ref="F105:F115" si="15">IF(C105=0,0,E105/C105)</f>
        <v>-0.1850530689896866</v>
      </c>
    </row>
    <row r="106" spans="1:6" ht="20.25" customHeight="1" x14ac:dyDescent="0.3">
      <c r="A106" s="256">
        <v>2</v>
      </c>
      <c r="B106" s="257" t="s">
        <v>442</v>
      </c>
      <c r="C106" s="258">
        <v>24628</v>
      </c>
      <c r="D106" s="258">
        <v>23286</v>
      </c>
      <c r="E106" s="258">
        <f t="shared" si="14"/>
        <v>-1342</v>
      </c>
      <c r="F106" s="259">
        <f t="shared" si="15"/>
        <v>-5.4490823452980348E-2</v>
      </c>
    </row>
    <row r="107" spans="1:6" ht="20.25" customHeight="1" x14ac:dyDescent="0.3">
      <c r="A107" s="256">
        <v>3</v>
      </c>
      <c r="B107" s="257" t="s">
        <v>443</v>
      </c>
      <c r="C107" s="258">
        <v>264975</v>
      </c>
      <c r="D107" s="258">
        <v>300196</v>
      </c>
      <c r="E107" s="258">
        <f t="shared" si="14"/>
        <v>35221</v>
      </c>
      <c r="F107" s="259">
        <f t="shared" si="15"/>
        <v>0.13292197377111048</v>
      </c>
    </row>
    <row r="108" spans="1:6" ht="20.25" customHeight="1" x14ac:dyDescent="0.3">
      <c r="A108" s="256">
        <v>4</v>
      </c>
      <c r="B108" s="257" t="s">
        <v>444</v>
      </c>
      <c r="C108" s="258">
        <v>40783</v>
      </c>
      <c r="D108" s="258">
        <v>47900</v>
      </c>
      <c r="E108" s="258">
        <f t="shared" si="14"/>
        <v>7117</v>
      </c>
      <c r="F108" s="259">
        <f t="shared" si="15"/>
        <v>0.17450898658754874</v>
      </c>
    </row>
    <row r="109" spans="1:6" ht="20.25" customHeight="1" x14ac:dyDescent="0.3">
      <c r="A109" s="256">
        <v>5</v>
      </c>
      <c r="B109" s="257" t="s">
        <v>381</v>
      </c>
      <c r="C109" s="260">
        <v>4</v>
      </c>
      <c r="D109" s="260">
        <v>3</v>
      </c>
      <c r="E109" s="260">
        <f t="shared" si="14"/>
        <v>-1</v>
      </c>
      <c r="F109" s="259">
        <f t="shared" si="15"/>
        <v>-0.25</v>
      </c>
    </row>
    <row r="110" spans="1:6" ht="20.25" customHeight="1" x14ac:dyDescent="0.3">
      <c r="A110" s="256">
        <v>6</v>
      </c>
      <c r="B110" s="257" t="s">
        <v>380</v>
      </c>
      <c r="C110" s="260">
        <v>6</v>
      </c>
      <c r="D110" s="260">
        <v>8</v>
      </c>
      <c r="E110" s="260">
        <f t="shared" si="14"/>
        <v>2</v>
      </c>
      <c r="F110" s="259">
        <f t="shared" si="15"/>
        <v>0.33333333333333331</v>
      </c>
    </row>
    <row r="111" spans="1:6" ht="20.25" customHeight="1" x14ac:dyDescent="0.3">
      <c r="A111" s="256">
        <v>7</v>
      </c>
      <c r="B111" s="257" t="s">
        <v>445</v>
      </c>
      <c r="C111" s="260">
        <v>162</v>
      </c>
      <c r="D111" s="260">
        <v>219</v>
      </c>
      <c r="E111" s="260">
        <f t="shared" si="14"/>
        <v>57</v>
      </c>
      <c r="F111" s="259">
        <f t="shared" si="15"/>
        <v>0.35185185185185186</v>
      </c>
    </row>
    <row r="112" spans="1:6" ht="20.25" customHeight="1" x14ac:dyDescent="0.3">
      <c r="A112" s="256">
        <v>8</v>
      </c>
      <c r="B112" s="257" t="s">
        <v>446</v>
      </c>
      <c r="C112" s="260">
        <v>8</v>
      </c>
      <c r="D112" s="260">
        <v>12</v>
      </c>
      <c r="E112" s="260">
        <f t="shared" si="14"/>
        <v>4</v>
      </c>
      <c r="F112" s="259">
        <f t="shared" si="15"/>
        <v>0.5</v>
      </c>
    </row>
    <row r="113" spans="1:6" ht="20.25" customHeight="1" x14ac:dyDescent="0.3">
      <c r="A113" s="256">
        <v>9</v>
      </c>
      <c r="B113" s="257" t="s">
        <v>447</v>
      </c>
      <c r="C113" s="260">
        <v>4</v>
      </c>
      <c r="D113" s="260">
        <v>2</v>
      </c>
      <c r="E113" s="260">
        <f t="shared" si="14"/>
        <v>-2</v>
      </c>
      <c r="F113" s="259">
        <f t="shared" si="15"/>
        <v>-0.5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344871</v>
      </c>
      <c r="D114" s="263">
        <f>+D105+D107</f>
        <v>365307</v>
      </c>
      <c r="E114" s="263">
        <f t="shared" si="14"/>
        <v>20436</v>
      </c>
      <c r="F114" s="264">
        <f t="shared" si="15"/>
        <v>5.9256939551310492E-2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65411</v>
      </c>
      <c r="D115" s="263">
        <f>+D106+D108</f>
        <v>71186</v>
      </c>
      <c r="E115" s="263">
        <f t="shared" si="14"/>
        <v>5775</v>
      </c>
      <c r="F115" s="264">
        <f t="shared" si="15"/>
        <v>8.8287902646343883E-2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9927429</v>
      </c>
      <c r="D118" s="258">
        <v>8635543</v>
      </c>
      <c r="E118" s="258">
        <f t="shared" ref="E118:E128" si="16">D118-C118</f>
        <v>-1291886</v>
      </c>
      <c r="F118" s="259">
        <f t="shared" ref="F118:F128" si="17">IF(C118=0,0,E118/C118)</f>
        <v>-0.13013298810799856</v>
      </c>
    </row>
    <row r="119" spans="1:6" ht="20.25" customHeight="1" x14ac:dyDescent="0.3">
      <c r="A119" s="256">
        <v>2</v>
      </c>
      <c r="B119" s="257" t="s">
        <v>442</v>
      </c>
      <c r="C119" s="258">
        <v>2481628</v>
      </c>
      <c r="D119" s="258">
        <v>1822508</v>
      </c>
      <c r="E119" s="258">
        <f t="shared" si="16"/>
        <v>-659120</v>
      </c>
      <c r="F119" s="259">
        <f t="shared" si="17"/>
        <v>-0.26559984010496335</v>
      </c>
    </row>
    <row r="120" spans="1:6" ht="20.25" customHeight="1" x14ac:dyDescent="0.3">
      <c r="A120" s="256">
        <v>3</v>
      </c>
      <c r="B120" s="257" t="s">
        <v>443</v>
      </c>
      <c r="C120" s="258">
        <v>6061449</v>
      </c>
      <c r="D120" s="258">
        <v>7804323</v>
      </c>
      <c r="E120" s="258">
        <f t="shared" si="16"/>
        <v>1742874</v>
      </c>
      <c r="F120" s="259">
        <f t="shared" si="17"/>
        <v>0.28753421830324727</v>
      </c>
    </row>
    <row r="121" spans="1:6" ht="20.25" customHeight="1" x14ac:dyDescent="0.3">
      <c r="A121" s="256">
        <v>4</v>
      </c>
      <c r="B121" s="257" t="s">
        <v>444</v>
      </c>
      <c r="C121" s="258">
        <v>1201101</v>
      </c>
      <c r="D121" s="258">
        <v>1497475</v>
      </c>
      <c r="E121" s="258">
        <f t="shared" si="16"/>
        <v>296374</v>
      </c>
      <c r="F121" s="259">
        <f t="shared" si="17"/>
        <v>0.24675193842982396</v>
      </c>
    </row>
    <row r="122" spans="1:6" ht="20.25" customHeight="1" x14ac:dyDescent="0.3">
      <c r="A122" s="256">
        <v>5</v>
      </c>
      <c r="B122" s="257" t="s">
        <v>381</v>
      </c>
      <c r="C122" s="260">
        <v>202</v>
      </c>
      <c r="D122" s="260">
        <v>178</v>
      </c>
      <c r="E122" s="260">
        <f t="shared" si="16"/>
        <v>-24</v>
      </c>
      <c r="F122" s="259">
        <f t="shared" si="17"/>
        <v>-0.11881188118811881</v>
      </c>
    </row>
    <row r="123" spans="1:6" ht="20.25" customHeight="1" x14ac:dyDescent="0.3">
      <c r="A123" s="256">
        <v>6</v>
      </c>
      <c r="B123" s="257" t="s">
        <v>380</v>
      </c>
      <c r="C123" s="260">
        <v>1235</v>
      </c>
      <c r="D123" s="260">
        <v>908</v>
      </c>
      <c r="E123" s="260">
        <f t="shared" si="16"/>
        <v>-327</v>
      </c>
      <c r="F123" s="259">
        <f t="shared" si="17"/>
        <v>-0.26477732793522268</v>
      </c>
    </row>
    <row r="124" spans="1:6" ht="20.25" customHeight="1" x14ac:dyDescent="0.3">
      <c r="A124" s="256">
        <v>7</v>
      </c>
      <c r="B124" s="257" t="s">
        <v>445</v>
      </c>
      <c r="C124" s="260">
        <v>2385</v>
      </c>
      <c r="D124" s="260">
        <v>2513</v>
      </c>
      <c r="E124" s="260">
        <f t="shared" si="16"/>
        <v>128</v>
      </c>
      <c r="F124" s="259">
        <f t="shared" si="17"/>
        <v>5.3668763102725364E-2</v>
      </c>
    </row>
    <row r="125" spans="1:6" ht="20.25" customHeight="1" x14ac:dyDescent="0.3">
      <c r="A125" s="256">
        <v>8</v>
      </c>
      <c r="B125" s="257" t="s">
        <v>446</v>
      </c>
      <c r="C125" s="260">
        <v>176</v>
      </c>
      <c r="D125" s="260">
        <v>226</v>
      </c>
      <c r="E125" s="260">
        <f t="shared" si="16"/>
        <v>50</v>
      </c>
      <c r="F125" s="259">
        <f t="shared" si="17"/>
        <v>0.28409090909090912</v>
      </c>
    </row>
    <row r="126" spans="1:6" ht="20.25" customHeight="1" x14ac:dyDescent="0.3">
      <c r="A126" s="256">
        <v>9</v>
      </c>
      <c r="B126" s="257" t="s">
        <v>447</v>
      </c>
      <c r="C126" s="260">
        <v>175</v>
      </c>
      <c r="D126" s="260">
        <v>146</v>
      </c>
      <c r="E126" s="260">
        <f t="shared" si="16"/>
        <v>-29</v>
      </c>
      <c r="F126" s="259">
        <f t="shared" si="17"/>
        <v>-0.1657142857142857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15988878</v>
      </c>
      <c r="D127" s="263">
        <f>+D118+D120</f>
        <v>16439866</v>
      </c>
      <c r="E127" s="263">
        <f t="shared" si="16"/>
        <v>450988</v>
      </c>
      <c r="F127" s="264">
        <f t="shared" si="17"/>
        <v>2.8206356943870609E-2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3682729</v>
      </c>
      <c r="D128" s="263">
        <f>+D119+D121</f>
        <v>3319983</v>
      </c>
      <c r="E128" s="263">
        <f t="shared" si="16"/>
        <v>-362746</v>
      </c>
      <c r="F128" s="264">
        <f t="shared" si="17"/>
        <v>-9.8499237929263864E-2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122677</v>
      </c>
      <c r="D131" s="258">
        <v>157752</v>
      </c>
      <c r="E131" s="258">
        <f t="shared" ref="E131:E141" si="18">D131-C131</f>
        <v>35075</v>
      </c>
      <c r="F131" s="259">
        <f t="shared" ref="F131:F141" si="19">IF(C131=0,0,E131/C131)</f>
        <v>0.28591341490254896</v>
      </c>
    </row>
    <row r="132" spans="1:6" ht="20.25" customHeight="1" x14ac:dyDescent="0.3">
      <c r="A132" s="256">
        <v>2</v>
      </c>
      <c r="B132" s="257" t="s">
        <v>442</v>
      </c>
      <c r="C132" s="258">
        <v>32338</v>
      </c>
      <c r="D132" s="258">
        <v>44115</v>
      </c>
      <c r="E132" s="258">
        <f t="shared" si="18"/>
        <v>11777</v>
      </c>
      <c r="F132" s="259">
        <f t="shared" si="19"/>
        <v>0.36418455068340649</v>
      </c>
    </row>
    <row r="133" spans="1:6" ht="20.25" customHeight="1" x14ac:dyDescent="0.3">
      <c r="A133" s="256">
        <v>3</v>
      </c>
      <c r="B133" s="257" t="s">
        <v>443</v>
      </c>
      <c r="C133" s="258">
        <v>124641</v>
      </c>
      <c r="D133" s="258">
        <v>107414</v>
      </c>
      <c r="E133" s="258">
        <f t="shared" si="18"/>
        <v>-17227</v>
      </c>
      <c r="F133" s="259">
        <f t="shared" si="19"/>
        <v>-0.13821294758546546</v>
      </c>
    </row>
    <row r="134" spans="1:6" ht="20.25" customHeight="1" x14ac:dyDescent="0.3">
      <c r="A134" s="256">
        <v>4</v>
      </c>
      <c r="B134" s="257" t="s">
        <v>444</v>
      </c>
      <c r="C134" s="258">
        <v>23640</v>
      </c>
      <c r="D134" s="258">
        <v>16543</v>
      </c>
      <c r="E134" s="258">
        <f t="shared" si="18"/>
        <v>-7097</v>
      </c>
      <c r="F134" s="259">
        <f t="shared" si="19"/>
        <v>-0.30021150592216583</v>
      </c>
    </row>
    <row r="135" spans="1:6" ht="20.25" customHeight="1" x14ac:dyDescent="0.3">
      <c r="A135" s="256">
        <v>5</v>
      </c>
      <c r="B135" s="257" t="s">
        <v>381</v>
      </c>
      <c r="C135" s="260">
        <v>5</v>
      </c>
      <c r="D135" s="260">
        <v>5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12</v>
      </c>
      <c r="D136" s="260">
        <v>13</v>
      </c>
      <c r="E136" s="260">
        <f t="shared" si="18"/>
        <v>1</v>
      </c>
      <c r="F136" s="259">
        <f t="shared" si="19"/>
        <v>8.3333333333333329E-2</v>
      </c>
    </row>
    <row r="137" spans="1:6" ht="20.25" customHeight="1" x14ac:dyDescent="0.3">
      <c r="A137" s="256">
        <v>7</v>
      </c>
      <c r="B137" s="257" t="s">
        <v>445</v>
      </c>
      <c r="C137" s="260">
        <v>58</v>
      </c>
      <c r="D137" s="260">
        <v>50</v>
      </c>
      <c r="E137" s="260">
        <f t="shared" si="18"/>
        <v>-8</v>
      </c>
      <c r="F137" s="259">
        <f t="shared" si="19"/>
        <v>-0.13793103448275862</v>
      </c>
    </row>
    <row r="138" spans="1:6" ht="20.25" customHeight="1" x14ac:dyDescent="0.3">
      <c r="A138" s="256">
        <v>8</v>
      </c>
      <c r="B138" s="257" t="s">
        <v>446</v>
      </c>
      <c r="C138" s="260">
        <v>9</v>
      </c>
      <c r="D138" s="260">
        <v>12</v>
      </c>
      <c r="E138" s="260">
        <f t="shared" si="18"/>
        <v>3</v>
      </c>
      <c r="F138" s="259">
        <f t="shared" si="19"/>
        <v>0.33333333333333331</v>
      </c>
    </row>
    <row r="139" spans="1:6" ht="20.25" customHeight="1" x14ac:dyDescent="0.3">
      <c r="A139" s="256">
        <v>9</v>
      </c>
      <c r="B139" s="257" t="s">
        <v>447</v>
      </c>
      <c r="C139" s="260">
        <v>5</v>
      </c>
      <c r="D139" s="260">
        <v>5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247318</v>
      </c>
      <c r="D140" s="263">
        <f>+D131+D133</f>
        <v>265166</v>
      </c>
      <c r="E140" s="263">
        <f t="shared" si="18"/>
        <v>17848</v>
      </c>
      <c r="F140" s="264">
        <f t="shared" si="19"/>
        <v>7.2166198982686253E-2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55978</v>
      </c>
      <c r="D141" s="263">
        <f>+D132+D134</f>
        <v>60658</v>
      </c>
      <c r="E141" s="263">
        <f t="shared" si="18"/>
        <v>4680</v>
      </c>
      <c r="F141" s="264">
        <f t="shared" si="19"/>
        <v>8.3604273107292154E-2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30992170</v>
      </c>
      <c r="D198" s="263">
        <f t="shared" si="28"/>
        <v>32013524</v>
      </c>
      <c r="E198" s="263">
        <f t="shared" ref="E198:E208" si="29">D198-C198</f>
        <v>1021354</v>
      </c>
      <c r="F198" s="273">
        <f t="shared" ref="F198:F208" si="30">IF(C198=0,0,E198/C198)</f>
        <v>3.2955227078323331E-2</v>
      </c>
    </row>
    <row r="199" spans="1:9" ht="20.25" customHeight="1" x14ac:dyDescent="0.3">
      <c r="A199" s="271"/>
      <c r="B199" s="272" t="s">
        <v>466</v>
      </c>
      <c r="C199" s="263">
        <f t="shared" si="28"/>
        <v>7231035</v>
      </c>
      <c r="D199" s="263">
        <f t="shared" si="28"/>
        <v>7369784</v>
      </c>
      <c r="E199" s="263">
        <f t="shared" si="29"/>
        <v>138749</v>
      </c>
      <c r="F199" s="273">
        <f t="shared" si="30"/>
        <v>1.9187986228804035E-2</v>
      </c>
    </row>
    <row r="200" spans="1:9" ht="20.25" customHeight="1" x14ac:dyDescent="0.3">
      <c r="A200" s="271"/>
      <c r="B200" s="272" t="s">
        <v>467</v>
      </c>
      <c r="C200" s="263">
        <f t="shared" si="28"/>
        <v>21428590</v>
      </c>
      <c r="D200" s="263">
        <f t="shared" si="28"/>
        <v>26661591</v>
      </c>
      <c r="E200" s="263">
        <f t="shared" si="29"/>
        <v>5233001</v>
      </c>
      <c r="F200" s="273">
        <f t="shared" si="30"/>
        <v>0.24420650168769853</v>
      </c>
    </row>
    <row r="201" spans="1:9" ht="20.25" customHeight="1" x14ac:dyDescent="0.3">
      <c r="A201" s="271"/>
      <c r="B201" s="272" t="s">
        <v>468</v>
      </c>
      <c r="C201" s="263">
        <f t="shared" si="28"/>
        <v>3623521</v>
      </c>
      <c r="D201" s="263">
        <f t="shared" si="28"/>
        <v>4270871</v>
      </c>
      <c r="E201" s="263">
        <f t="shared" si="29"/>
        <v>647350</v>
      </c>
      <c r="F201" s="273">
        <f t="shared" si="30"/>
        <v>0.17865220044260818</v>
      </c>
    </row>
    <row r="202" spans="1:9" ht="20.25" customHeight="1" x14ac:dyDescent="0.3">
      <c r="A202" s="271"/>
      <c r="B202" s="272" t="s">
        <v>138</v>
      </c>
      <c r="C202" s="274">
        <f t="shared" si="28"/>
        <v>618</v>
      </c>
      <c r="D202" s="274">
        <f t="shared" si="28"/>
        <v>629</v>
      </c>
      <c r="E202" s="274">
        <f t="shared" si="29"/>
        <v>11</v>
      </c>
      <c r="F202" s="273">
        <f t="shared" si="30"/>
        <v>1.7799352750809062E-2</v>
      </c>
    </row>
    <row r="203" spans="1:9" ht="20.25" customHeight="1" x14ac:dyDescent="0.3">
      <c r="A203" s="271"/>
      <c r="B203" s="272" t="s">
        <v>140</v>
      </c>
      <c r="C203" s="274">
        <f t="shared" si="28"/>
        <v>3684</v>
      </c>
      <c r="D203" s="274">
        <f t="shared" si="28"/>
        <v>3457</v>
      </c>
      <c r="E203" s="274">
        <f t="shared" si="29"/>
        <v>-227</v>
      </c>
      <c r="F203" s="273">
        <f t="shared" si="30"/>
        <v>-6.1617806731813246E-2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7122</v>
      </c>
      <c r="D204" s="274">
        <f t="shared" si="28"/>
        <v>9256</v>
      </c>
      <c r="E204" s="274">
        <f t="shared" si="29"/>
        <v>2134</v>
      </c>
      <c r="F204" s="273">
        <f t="shared" si="30"/>
        <v>0.29963493400730135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751</v>
      </c>
      <c r="D205" s="274">
        <f t="shared" si="28"/>
        <v>802</v>
      </c>
      <c r="E205" s="274">
        <f t="shared" si="29"/>
        <v>51</v>
      </c>
      <c r="F205" s="273">
        <f t="shared" si="30"/>
        <v>6.7909454061251665E-2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542</v>
      </c>
      <c r="D206" s="274">
        <f t="shared" si="28"/>
        <v>531</v>
      </c>
      <c r="E206" s="274">
        <f t="shared" si="29"/>
        <v>-11</v>
      </c>
      <c r="F206" s="273">
        <f t="shared" si="30"/>
        <v>-2.0295202952029519E-2</v>
      </c>
    </row>
    <row r="207" spans="1:9" ht="20.25" customHeight="1" x14ac:dyDescent="0.3">
      <c r="A207" s="271"/>
      <c r="B207" s="262" t="s">
        <v>471</v>
      </c>
      <c r="C207" s="263">
        <f>+C198+C200</f>
        <v>52420760</v>
      </c>
      <c r="D207" s="263">
        <f>+D198+D200</f>
        <v>58675115</v>
      </c>
      <c r="E207" s="263">
        <f t="shared" si="29"/>
        <v>6254355</v>
      </c>
      <c r="F207" s="273">
        <f t="shared" si="30"/>
        <v>0.11931065097110381</v>
      </c>
    </row>
    <row r="208" spans="1:9" ht="20.25" customHeight="1" x14ac:dyDescent="0.3">
      <c r="A208" s="271"/>
      <c r="B208" s="262" t="s">
        <v>472</v>
      </c>
      <c r="C208" s="263">
        <f>+C199+C201</f>
        <v>10854556</v>
      </c>
      <c r="D208" s="263">
        <f>+D199+D201</f>
        <v>11640655</v>
      </c>
      <c r="E208" s="263">
        <f t="shared" si="29"/>
        <v>786099</v>
      </c>
      <c r="F208" s="273">
        <f t="shared" si="30"/>
        <v>7.242111054565474E-2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FILING&amp;RGREENWICH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FILING&amp;RGREENWICH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47945000</v>
      </c>
      <c r="D13" s="22">
        <v>31360000</v>
      </c>
      <c r="E13" s="22">
        <f t="shared" ref="E13:E22" si="0">D13-C13</f>
        <v>-16585000</v>
      </c>
      <c r="F13" s="306">
        <f t="shared" ref="F13:F22" si="1">IF(C13=0,0,E13/C13)</f>
        <v>-0.34591719678798621</v>
      </c>
    </row>
    <row r="14" spans="1:8" ht="24" customHeight="1" x14ac:dyDescent="0.2">
      <c r="A14" s="304">
        <v>2</v>
      </c>
      <c r="B14" s="305" t="s">
        <v>17</v>
      </c>
      <c r="C14" s="22">
        <v>31934000</v>
      </c>
      <c r="D14" s="22">
        <v>72659000</v>
      </c>
      <c r="E14" s="22">
        <f t="shared" si="0"/>
        <v>40725000</v>
      </c>
      <c r="F14" s="306">
        <f t="shared" si="1"/>
        <v>1.275286528464959</v>
      </c>
    </row>
    <row r="15" spans="1:8" ht="35.1" customHeight="1" x14ac:dyDescent="0.2">
      <c r="A15" s="304">
        <v>3</v>
      </c>
      <c r="B15" s="305" t="s">
        <v>18</v>
      </c>
      <c r="C15" s="22">
        <v>40615000</v>
      </c>
      <c r="D15" s="22">
        <v>41279000</v>
      </c>
      <c r="E15" s="22">
        <f t="shared" si="0"/>
        <v>664000</v>
      </c>
      <c r="F15" s="306">
        <f t="shared" si="1"/>
        <v>1.6348639665148344E-2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2041000</v>
      </c>
      <c r="D19" s="22">
        <v>1551531</v>
      </c>
      <c r="E19" s="22">
        <f t="shared" si="0"/>
        <v>-489469</v>
      </c>
      <c r="F19" s="306">
        <f t="shared" si="1"/>
        <v>-0.23981822635962763</v>
      </c>
    </row>
    <row r="20" spans="1:11" ht="24" customHeight="1" x14ac:dyDescent="0.2">
      <c r="A20" s="304">
        <v>8</v>
      </c>
      <c r="B20" s="305" t="s">
        <v>23</v>
      </c>
      <c r="C20" s="22">
        <v>7227000</v>
      </c>
      <c r="D20" s="22">
        <v>5855047</v>
      </c>
      <c r="E20" s="22">
        <f t="shared" si="0"/>
        <v>-1371953</v>
      </c>
      <c r="F20" s="306">
        <f t="shared" si="1"/>
        <v>-0.18983713850837139</v>
      </c>
    </row>
    <row r="21" spans="1:11" ht="24" customHeight="1" x14ac:dyDescent="0.2">
      <c r="A21" s="304">
        <v>9</v>
      </c>
      <c r="B21" s="305" t="s">
        <v>24</v>
      </c>
      <c r="C21" s="22">
        <v>17551000</v>
      </c>
      <c r="D21" s="22">
        <v>12759422</v>
      </c>
      <c r="E21" s="22">
        <f t="shared" si="0"/>
        <v>-4791578</v>
      </c>
      <c r="F21" s="306">
        <f t="shared" si="1"/>
        <v>-0.27300883140561794</v>
      </c>
    </row>
    <row r="22" spans="1:11" ht="24" customHeight="1" x14ac:dyDescent="0.25">
      <c r="A22" s="307"/>
      <c r="B22" s="308" t="s">
        <v>25</v>
      </c>
      <c r="C22" s="309">
        <f>SUM(C13:C21)</f>
        <v>147313000</v>
      </c>
      <c r="D22" s="309">
        <f>SUM(D13:D21)</f>
        <v>165464000</v>
      </c>
      <c r="E22" s="309">
        <f t="shared" si="0"/>
        <v>18151000</v>
      </c>
      <c r="F22" s="310">
        <f t="shared" si="1"/>
        <v>0.12321383720377699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794000</v>
      </c>
      <c r="D25" s="22">
        <v>794266</v>
      </c>
      <c r="E25" s="22">
        <f>D25-C25</f>
        <v>266</v>
      </c>
      <c r="F25" s="306">
        <f>IF(C25=0,0,E25/C25)</f>
        <v>3.350125944584383E-4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102819600</v>
      </c>
      <c r="D26" s="22">
        <v>107476151</v>
      </c>
      <c r="E26" s="22">
        <f>D26-C26</f>
        <v>4656551</v>
      </c>
      <c r="F26" s="306">
        <f>IF(C26=0,0,E26/C26)</f>
        <v>4.5288553933296762E-2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1400</v>
      </c>
      <c r="D27" s="22">
        <v>583</v>
      </c>
      <c r="E27" s="22">
        <f>D27-C27</f>
        <v>-817</v>
      </c>
      <c r="F27" s="306">
        <f>IF(C27=0,0,E27/C27)</f>
        <v>-0.58357142857142852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103615000</v>
      </c>
      <c r="D29" s="309">
        <f>SUM(D25:D28)</f>
        <v>108271000</v>
      </c>
      <c r="E29" s="309">
        <f>D29-C29</f>
        <v>4656000</v>
      </c>
      <c r="F29" s="310">
        <f>IF(C29=0,0,E29/C29)</f>
        <v>4.4935578825459635E-2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64943000</v>
      </c>
      <c r="D32" s="22">
        <v>64783000</v>
      </c>
      <c r="E32" s="22">
        <f>D32-C32</f>
        <v>-160000</v>
      </c>
      <c r="F32" s="306">
        <f>IF(C32=0,0,E32/C32)</f>
        <v>-2.4636989359900219E-3</v>
      </c>
    </row>
    <row r="33" spans="1:8" ht="24" customHeight="1" x14ac:dyDescent="0.2">
      <c r="A33" s="304">
        <v>7</v>
      </c>
      <c r="B33" s="305" t="s">
        <v>35</v>
      </c>
      <c r="C33" s="22">
        <v>33663000</v>
      </c>
      <c r="D33" s="22">
        <v>23119000</v>
      </c>
      <c r="E33" s="22">
        <f>D33-C33</f>
        <v>-10544000</v>
      </c>
      <c r="F33" s="306">
        <f>IF(C33=0,0,E33/C33)</f>
        <v>-0.31322223212429079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486940000</v>
      </c>
      <c r="D36" s="22">
        <v>494377000</v>
      </c>
      <c r="E36" s="22">
        <f>D36-C36</f>
        <v>7437000</v>
      </c>
      <c r="F36" s="306">
        <f>IF(C36=0,0,E36/C36)</f>
        <v>1.5272928902944922E-2</v>
      </c>
    </row>
    <row r="37" spans="1:8" ht="24" customHeight="1" x14ac:dyDescent="0.2">
      <c r="A37" s="304">
        <v>2</v>
      </c>
      <c r="B37" s="305" t="s">
        <v>39</v>
      </c>
      <c r="C37" s="22">
        <v>232025000</v>
      </c>
      <c r="D37" s="22">
        <v>252107000</v>
      </c>
      <c r="E37" s="22">
        <f>D37-C37</f>
        <v>20082000</v>
      </c>
      <c r="F37" s="22">
        <f>IF(C37=0,0,E37/C37)</f>
        <v>8.6551018209244698E-2</v>
      </c>
    </row>
    <row r="38" spans="1:8" ht="24" customHeight="1" x14ac:dyDescent="0.25">
      <c r="A38" s="307"/>
      <c r="B38" s="308" t="s">
        <v>40</v>
      </c>
      <c r="C38" s="309">
        <f>C36-C37</f>
        <v>254915000</v>
      </c>
      <c r="D38" s="309">
        <f>D36-D37</f>
        <v>242270000</v>
      </c>
      <c r="E38" s="309">
        <f>D38-C38</f>
        <v>-12645000</v>
      </c>
      <c r="F38" s="310">
        <f>IF(C38=0,0,E38/C38)</f>
        <v>-4.9604770217523485E-2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601000</v>
      </c>
      <c r="D40" s="22">
        <v>4840000</v>
      </c>
      <c r="E40" s="22">
        <f>D40-C40</f>
        <v>4239000</v>
      </c>
      <c r="F40" s="306">
        <f>IF(C40=0,0,E40/C40)</f>
        <v>7.0532445923460898</v>
      </c>
    </row>
    <row r="41" spans="1:8" ht="24" customHeight="1" x14ac:dyDescent="0.25">
      <c r="A41" s="307"/>
      <c r="B41" s="308" t="s">
        <v>42</v>
      </c>
      <c r="C41" s="309">
        <f>+C38+C40</f>
        <v>255516000</v>
      </c>
      <c r="D41" s="309">
        <f>+D38+D40</f>
        <v>247110000</v>
      </c>
      <c r="E41" s="309">
        <f>D41-C41</f>
        <v>-8406000</v>
      </c>
      <c r="F41" s="310">
        <f>IF(C41=0,0,E41/C41)</f>
        <v>-3.2898135537500588E-2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605050000</v>
      </c>
      <c r="D43" s="309">
        <f>D22+D29+D31+D32+D33+D41</f>
        <v>608747000</v>
      </c>
      <c r="E43" s="309">
        <f>D43-C43</f>
        <v>3697000</v>
      </c>
      <c r="F43" s="310">
        <f>IF(C43=0,0,E43/C43)</f>
        <v>6.1102388232377493E-3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21338080</v>
      </c>
      <c r="D49" s="22">
        <v>19799949</v>
      </c>
      <c r="E49" s="22">
        <f t="shared" ref="E49:E56" si="2">D49-C49</f>
        <v>-1538131</v>
      </c>
      <c r="F49" s="306">
        <f t="shared" ref="F49:F56" si="3">IF(C49=0,0,E49/C49)</f>
        <v>-7.2083851967937138E-2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12547920</v>
      </c>
      <c r="D50" s="22">
        <v>13268051</v>
      </c>
      <c r="E50" s="22">
        <f t="shared" si="2"/>
        <v>720131</v>
      </c>
      <c r="F50" s="306">
        <f t="shared" si="3"/>
        <v>5.7390467902249935E-2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930766</v>
      </c>
      <c r="D51" s="22">
        <v>462435</v>
      </c>
      <c r="E51" s="22">
        <f t="shared" si="2"/>
        <v>-468331</v>
      </c>
      <c r="F51" s="306">
        <f t="shared" si="3"/>
        <v>-0.50316728372115016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2605000</v>
      </c>
      <c r="D53" s="22">
        <v>2675000</v>
      </c>
      <c r="E53" s="22">
        <f t="shared" si="2"/>
        <v>70000</v>
      </c>
      <c r="F53" s="306">
        <f t="shared" si="3"/>
        <v>2.6871401151631478E-2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21856234</v>
      </c>
      <c r="D55" s="22">
        <v>20513565</v>
      </c>
      <c r="E55" s="22">
        <f t="shared" si="2"/>
        <v>-1342669</v>
      </c>
      <c r="F55" s="306">
        <f t="shared" si="3"/>
        <v>-6.1431855094523605E-2</v>
      </c>
    </row>
    <row r="56" spans="1:6" ht="24" customHeight="1" x14ac:dyDescent="0.25">
      <c r="A56" s="307"/>
      <c r="B56" s="308" t="s">
        <v>54</v>
      </c>
      <c r="C56" s="309">
        <f>SUM(C49:C55)</f>
        <v>59278000</v>
      </c>
      <c r="D56" s="309">
        <f>SUM(D49:D55)</f>
        <v>56719000</v>
      </c>
      <c r="E56" s="309">
        <f t="shared" si="2"/>
        <v>-2559000</v>
      </c>
      <c r="F56" s="310">
        <f t="shared" si="3"/>
        <v>-4.3169472654273087E-2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35105000</v>
      </c>
      <c r="D59" s="22">
        <v>32430000</v>
      </c>
      <c r="E59" s="22">
        <f>D59-C59</f>
        <v>-2675000</v>
      </c>
      <c r="F59" s="306">
        <f>IF(C59=0,0,E59/C59)</f>
        <v>-7.6199971514029338E-2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35105000</v>
      </c>
      <c r="D61" s="309">
        <f>SUM(D59:D60)</f>
        <v>32430000</v>
      </c>
      <c r="E61" s="309">
        <f>D61-C61</f>
        <v>-2675000</v>
      </c>
      <c r="F61" s="310">
        <f>IF(C61=0,0,E61/C61)</f>
        <v>-7.6199971514029338E-2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31684000</v>
      </c>
      <c r="D63" s="22">
        <v>42787000</v>
      </c>
      <c r="E63" s="22">
        <f>D63-C63</f>
        <v>11103000</v>
      </c>
      <c r="F63" s="306">
        <f>IF(C63=0,0,E63/C63)</f>
        <v>0.35042923873248327</v>
      </c>
    </row>
    <row r="64" spans="1:6" ht="24" customHeight="1" x14ac:dyDescent="0.2">
      <c r="A64" s="304">
        <v>4</v>
      </c>
      <c r="B64" s="305" t="s">
        <v>60</v>
      </c>
      <c r="C64" s="22">
        <v>43065000</v>
      </c>
      <c r="D64" s="22">
        <v>36812000</v>
      </c>
      <c r="E64" s="22">
        <f>D64-C64</f>
        <v>-6253000</v>
      </c>
      <c r="F64" s="306">
        <f>IF(C64=0,0,E64/C64)</f>
        <v>-0.14519911761291071</v>
      </c>
    </row>
    <row r="65" spans="1:6" ht="24" customHeight="1" x14ac:dyDescent="0.25">
      <c r="A65" s="307"/>
      <c r="B65" s="308" t="s">
        <v>61</v>
      </c>
      <c r="C65" s="309">
        <f>SUM(C61:C64)</f>
        <v>109854000</v>
      </c>
      <c r="D65" s="309">
        <f>SUM(D61:D64)</f>
        <v>112029000</v>
      </c>
      <c r="E65" s="309">
        <f>D65-C65</f>
        <v>2175000</v>
      </c>
      <c r="F65" s="310">
        <f>IF(C65=0,0,E65/C65)</f>
        <v>1.9799005953356274E-2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1136000</v>
      </c>
      <c r="D67" s="22">
        <v>1305000</v>
      </c>
      <c r="E67" s="22">
        <f>D67-C67</f>
        <v>169000</v>
      </c>
      <c r="F67" s="321">
        <f>IF(C67=0,0,E67/C67)</f>
        <v>0.14876760563380281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367460000</v>
      </c>
      <c r="D70" s="22">
        <v>373318000</v>
      </c>
      <c r="E70" s="22">
        <f>D70-C70</f>
        <v>5858000</v>
      </c>
      <c r="F70" s="306">
        <f>IF(C70=0,0,E70/C70)</f>
        <v>1.5941871224078811E-2</v>
      </c>
    </row>
    <row r="71" spans="1:6" ht="24" customHeight="1" x14ac:dyDescent="0.2">
      <c r="A71" s="304">
        <v>2</v>
      </c>
      <c r="B71" s="305" t="s">
        <v>65</v>
      </c>
      <c r="C71" s="22">
        <v>44115000</v>
      </c>
      <c r="D71" s="22">
        <v>41782000</v>
      </c>
      <c r="E71" s="22">
        <f>D71-C71</f>
        <v>-2333000</v>
      </c>
      <c r="F71" s="306">
        <f>IF(C71=0,0,E71/C71)</f>
        <v>-5.2884506403717557E-2</v>
      </c>
    </row>
    <row r="72" spans="1:6" ht="24" customHeight="1" x14ac:dyDescent="0.2">
      <c r="A72" s="304">
        <v>3</v>
      </c>
      <c r="B72" s="305" t="s">
        <v>66</v>
      </c>
      <c r="C72" s="22">
        <v>23207000</v>
      </c>
      <c r="D72" s="22">
        <v>23594000</v>
      </c>
      <c r="E72" s="22">
        <f>D72-C72</f>
        <v>387000</v>
      </c>
      <c r="F72" s="306">
        <f>IF(C72=0,0,E72/C72)</f>
        <v>1.6676002930150386E-2</v>
      </c>
    </row>
    <row r="73" spans="1:6" ht="24" customHeight="1" x14ac:dyDescent="0.25">
      <c r="A73" s="304"/>
      <c r="B73" s="308" t="s">
        <v>67</v>
      </c>
      <c r="C73" s="309">
        <f>SUM(C70:C72)</f>
        <v>434782000</v>
      </c>
      <c r="D73" s="309">
        <f>SUM(D70:D72)</f>
        <v>438694000</v>
      </c>
      <c r="E73" s="309">
        <f>D73-C73</f>
        <v>3912000</v>
      </c>
      <c r="F73" s="310">
        <f>IF(C73=0,0,E73/C73)</f>
        <v>8.9976125966576351E-3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605050000</v>
      </c>
      <c r="D75" s="309">
        <f>D56+D65+D67+D73</f>
        <v>608747000</v>
      </c>
      <c r="E75" s="309">
        <f>D75-C75</f>
        <v>3697000</v>
      </c>
      <c r="F75" s="310">
        <f>IF(C75=0,0,E75/C75)</f>
        <v>6.1102388232377493E-3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FILING&amp;RGREENWICH HEALTH 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1196974000</v>
      </c>
      <c r="D11" s="76">
        <v>1225854000</v>
      </c>
      <c r="E11" s="76">
        <f t="shared" ref="E11:E20" si="0">D11-C11</f>
        <v>28880000</v>
      </c>
      <c r="F11" s="77">
        <f t="shared" ref="F11:F20" si="1">IF(C11=0,0,E11/C11)</f>
        <v>2.4127508199843939E-2</v>
      </c>
    </row>
    <row r="12" spans="1:7" ht="23.1" customHeight="1" x14ac:dyDescent="0.2">
      <c r="A12" s="74">
        <v>2</v>
      </c>
      <c r="B12" s="75" t="s">
        <v>72</v>
      </c>
      <c r="C12" s="76">
        <v>784591000</v>
      </c>
      <c r="D12" s="76">
        <v>811460300</v>
      </c>
      <c r="E12" s="76">
        <f t="shared" si="0"/>
        <v>26869300</v>
      </c>
      <c r="F12" s="77">
        <f t="shared" si="1"/>
        <v>3.4246250594258662E-2</v>
      </c>
    </row>
    <row r="13" spans="1:7" ht="23.1" customHeight="1" x14ac:dyDescent="0.2">
      <c r="A13" s="74">
        <v>3</v>
      </c>
      <c r="B13" s="75" t="s">
        <v>73</v>
      </c>
      <c r="C13" s="76">
        <v>19753000</v>
      </c>
      <c r="D13" s="76">
        <v>20563000</v>
      </c>
      <c r="E13" s="76">
        <f t="shared" si="0"/>
        <v>810000</v>
      </c>
      <c r="F13" s="77">
        <f t="shared" si="1"/>
        <v>4.1006429403128639E-2</v>
      </c>
    </row>
    <row r="14" spans="1:7" ht="23.1" customHeight="1" x14ac:dyDescent="0.2">
      <c r="A14" s="74">
        <v>4</v>
      </c>
      <c r="B14" s="75" t="s">
        <v>74</v>
      </c>
      <c r="C14" s="76">
        <v>18370000</v>
      </c>
      <c r="D14" s="76">
        <v>21694700</v>
      </c>
      <c r="E14" s="76">
        <f t="shared" si="0"/>
        <v>3324700</v>
      </c>
      <c r="F14" s="77">
        <f t="shared" si="1"/>
        <v>0.18098530212302669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374260000</v>
      </c>
      <c r="D15" s="79">
        <f>D11-D12-D13-D14</f>
        <v>372136000</v>
      </c>
      <c r="E15" s="79">
        <f t="shared" si="0"/>
        <v>-2124000</v>
      </c>
      <c r="F15" s="80">
        <f t="shared" si="1"/>
        <v>-5.6751990594773689E-3</v>
      </c>
    </row>
    <row r="16" spans="1:7" ht="23.1" customHeight="1" x14ac:dyDescent="0.2">
      <c r="A16" s="74">
        <v>5</v>
      </c>
      <c r="B16" s="75" t="s">
        <v>76</v>
      </c>
      <c r="C16" s="76">
        <v>25252000</v>
      </c>
      <c r="D16" s="76">
        <v>12484000</v>
      </c>
      <c r="E16" s="76">
        <f t="shared" si="0"/>
        <v>-12768000</v>
      </c>
      <c r="F16" s="77">
        <f t="shared" si="1"/>
        <v>-0.50562331696499285</v>
      </c>
      <c r="G16" s="65"/>
    </row>
    <row r="17" spans="1:7" ht="31.5" customHeight="1" x14ac:dyDescent="0.25">
      <c r="A17" s="71"/>
      <c r="B17" s="81" t="s">
        <v>77</v>
      </c>
      <c r="C17" s="79">
        <f>C15-C16</f>
        <v>349008000</v>
      </c>
      <c r="D17" s="79">
        <f>D15-D16</f>
        <v>359652000</v>
      </c>
      <c r="E17" s="79">
        <f t="shared" si="0"/>
        <v>10644000</v>
      </c>
      <c r="F17" s="80">
        <f t="shared" si="1"/>
        <v>3.0497868243707881E-2</v>
      </c>
    </row>
    <row r="18" spans="1:7" ht="23.1" customHeight="1" x14ac:dyDescent="0.2">
      <c r="A18" s="74">
        <v>6</v>
      </c>
      <c r="B18" s="75" t="s">
        <v>78</v>
      </c>
      <c r="C18" s="76">
        <v>9523000</v>
      </c>
      <c r="D18" s="76">
        <v>8943000</v>
      </c>
      <c r="E18" s="76">
        <f t="shared" si="0"/>
        <v>-580000</v>
      </c>
      <c r="F18" s="77">
        <f t="shared" si="1"/>
        <v>-6.0905176940039905E-2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3010000</v>
      </c>
      <c r="D19" s="76">
        <v>4783000</v>
      </c>
      <c r="E19" s="76">
        <f t="shared" si="0"/>
        <v>1773000</v>
      </c>
      <c r="F19" s="77">
        <f t="shared" si="1"/>
        <v>0.58903654485049839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361541000</v>
      </c>
      <c r="D20" s="79">
        <f>SUM(D17:D19)</f>
        <v>373378000</v>
      </c>
      <c r="E20" s="79">
        <f t="shared" si="0"/>
        <v>11837000</v>
      </c>
      <c r="F20" s="80">
        <f t="shared" si="1"/>
        <v>3.274040841840898E-2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113219000</v>
      </c>
      <c r="D23" s="76">
        <v>116725687</v>
      </c>
      <c r="E23" s="76">
        <f t="shared" ref="E23:E32" si="2">D23-C23</f>
        <v>3506687</v>
      </c>
      <c r="F23" s="77">
        <f t="shared" ref="F23:F32" si="3">IF(C23=0,0,E23/C23)</f>
        <v>3.0972601771787421E-2</v>
      </c>
    </row>
    <row r="24" spans="1:7" ht="23.1" customHeight="1" x14ac:dyDescent="0.2">
      <c r="A24" s="74">
        <v>2</v>
      </c>
      <c r="B24" s="75" t="s">
        <v>83</v>
      </c>
      <c r="C24" s="76">
        <v>37520000</v>
      </c>
      <c r="D24" s="76">
        <v>37029313</v>
      </c>
      <c r="E24" s="76">
        <f t="shared" si="2"/>
        <v>-490687</v>
      </c>
      <c r="F24" s="77">
        <f t="shared" si="3"/>
        <v>-1.3078011727078891E-2</v>
      </c>
    </row>
    <row r="25" spans="1:7" ht="23.1" customHeight="1" x14ac:dyDescent="0.2">
      <c r="A25" s="74">
        <v>3</v>
      </c>
      <c r="B25" s="75" t="s">
        <v>84</v>
      </c>
      <c r="C25" s="76">
        <v>9386000</v>
      </c>
      <c r="D25" s="76">
        <v>10436943</v>
      </c>
      <c r="E25" s="76">
        <f t="shared" si="2"/>
        <v>1050943</v>
      </c>
      <c r="F25" s="77">
        <f t="shared" si="3"/>
        <v>0.11196920946089921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52215706</v>
      </c>
      <c r="D26" s="76">
        <v>51195100</v>
      </c>
      <c r="E26" s="76">
        <f t="shared" si="2"/>
        <v>-1020606</v>
      </c>
      <c r="F26" s="77">
        <f t="shared" si="3"/>
        <v>-1.9545958068631686E-2</v>
      </c>
    </row>
    <row r="27" spans="1:7" ht="23.1" customHeight="1" x14ac:dyDescent="0.2">
      <c r="A27" s="74">
        <v>5</v>
      </c>
      <c r="B27" s="75" t="s">
        <v>86</v>
      </c>
      <c r="C27" s="76">
        <v>26218000</v>
      </c>
      <c r="D27" s="76">
        <v>25119000</v>
      </c>
      <c r="E27" s="76">
        <f t="shared" si="2"/>
        <v>-1099000</v>
      </c>
      <c r="F27" s="77">
        <f t="shared" si="3"/>
        <v>-4.191776642001678E-2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349000</v>
      </c>
      <c r="D29" s="76">
        <v>314000</v>
      </c>
      <c r="E29" s="76">
        <f t="shared" si="2"/>
        <v>-35000</v>
      </c>
      <c r="F29" s="77">
        <f t="shared" si="3"/>
        <v>-0.10028653295128939</v>
      </c>
    </row>
    <row r="30" spans="1:7" ht="23.1" customHeight="1" x14ac:dyDescent="0.2">
      <c r="A30" s="74">
        <v>8</v>
      </c>
      <c r="B30" s="75" t="s">
        <v>89</v>
      </c>
      <c r="C30" s="76">
        <v>-1799000</v>
      </c>
      <c r="D30" s="76">
        <v>1279220</v>
      </c>
      <c r="E30" s="76">
        <f t="shared" si="2"/>
        <v>3078220</v>
      </c>
      <c r="F30" s="77">
        <f t="shared" si="3"/>
        <v>-1.7110728182323514</v>
      </c>
    </row>
    <row r="31" spans="1:7" ht="23.1" customHeight="1" x14ac:dyDescent="0.2">
      <c r="A31" s="74">
        <v>9</v>
      </c>
      <c r="B31" s="75" t="s">
        <v>90</v>
      </c>
      <c r="C31" s="76">
        <v>99298294</v>
      </c>
      <c r="D31" s="76">
        <v>104628737</v>
      </c>
      <c r="E31" s="76">
        <f t="shared" si="2"/>
        <v>5330443</v>
      </c>
      <c r="F31" s="77">
        <f t="shared" si="3"/>
        <v>5.3681113594962672E-2</v>
      </c>
    </row>
    <row r="32" spans="1:7" ht="23.1" customHeight="1" x14ac:dyDescent="0.25">
      <c r="A32" s="71"/>
      <c r="B32" s="78" t="s">
        <v>91</v>
      </c>
      <c r="C32" s="79">
        <f>SUM(C23:C31)</f>
        <v>336407000</v>
      </c>
      <c r="D32" s="79">
        <f>SUM(D23:D31)</f>
        <v>346728000</v>
      </c>
      <c r="E32" s="79">
        <f t="shared" si="2"/>
        <v>10321000</v>
      </c>
      <c r="F32" s="80">
        <f t="shared" si="3"/>
        <v>3.0680098808883286E-2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25134000</v>
      </c>
      <c r="D34" s="79">
        <f>+D20-D32</f>
        <v>26650000</v>
      </c>
      <c r="E34" s="79">
        <f>D34-C34</f>
        <v>1516000</v>
      </c>
      <c r="F34" s="80">
        <f>IF(C34=0,0,E34/C34)</f>
        <v>6.0316702474735417E-2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718000</v>
      </c>
      <c r="D37" s="76">
        <v>1937000</v>
      </c>
      <c r="E37" s="76">
        <f>D37-C37</f>
        <v>1219000</v>
      </c>
      <c r="F37" s="77">
        <f>IF(C37=0,0,E37/C37)</f>
        <v>1.6977715877437325</v>
      </c>
    </row>
    <row r="38" spans="1:6" ht="23.1" customHeight="1" x14ac:dyDescent="0.2">
      <c r="A38" s="85">
        <v>2</v>
      </c>
      <c r="B38" s="75" t="s">
        <v>95</v>
      </c>
      <c r="C38" s="76">
        <v>2412000</v>
      </c>
      <c r="D38" s="76">
        <v>2760000</v>
      </c>
      <c r="E38" s="76">
        <f>D38-C38</f>
        <v>348000</v>
      </c>
      <c r="F38" s="77">
        <f>IF(C38=0,0,E38/C38)</f>
        <v>0.14427860696517414</v>
      </c>
    </row>
    <row r="39" spans="1:6" ht="23.1" customHeight="1" x14ac:dyDescent="0.2">
      <c r="A39" s="85">
        <v>3</v>
      </c>
      <c r="B39" s="75" t="s">
        <v>96</v>
      </c>
      <c r="C39" s="76">
        <v>-8094000</v>
      </c>
      <c r="D39" s="76">
        <v>-5702000</v>
      </c>
      <c r="E39" s="76">
        <f>D39-C39</f>
        <v>2392000</v>
      </c>
      <c r="F39" s="77">
        <f>IF(C39=0,0,E39/C39)</f>
        <v>-0.29552755127254754</v>
      </c>
    </row>
    <row r="40" spans="1:6" ht="23.1" customHeight="1" x14ac:dyDescent="0.25">
      <c r="A40" s="83"/>
      <c r="B40" s="78" t="s">
        <v>97</v>
      </c>
      <c r="C40" s="79">
        <f>SUM(C37:C39)</f>
        <v>-4964000</v>
      </c>
      <c r="D40" s="79">
        <f>SUM(D37:D39)</f>
        <v>-1005000</v>
      </c>
      <c r="E40" s="79">
        <f>D40-C40</f>
        <v>3959000</v>
      </c>
      <c r="F40" s="80">
        <f>IF(C40=0,0,E40/C40)</f>
        <v>-0.79754230459307007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20170000</v>
      </c>
      <c r="D42" s="79">
        <f>D34+D40</f>
        <v>25645000</v>
      </c>
      <c r="E42" s="79">
        <f>D42-C42</f>
        <v>5475000</v>
      </c>
      <c r="F42" s="80">
        <f>IF(C42=0,0,E42/C42)</f>
        <v>0.27144273673772928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6345000</v>
      </c>
      <c r="D45" s="76">
        <v>-7035000</v>
      </c>
      <c r="E45" s="76">
        <f>D45-C45</f>
        <v>-13380000</v>
      </c>
      <c r="F45" s="77">
        <f>IF(C45=0,0,E45/C45)</f>
        <v>-2.1087470449172576</v>
      </c>
    </row>
    <row r="46" spans="1:6" ht="23.1" customHeight="1" x14ac:dyDescent="0.2">
      <c r="A46" s="85"/>
      <c r="B46" s="75" t="s">
        <v>101</v>
      </c>
      <c r="C46" s="76">
        <v>-847000</v>
      </c>
      <c r="D46" s="76">
        <v>-1430000</v>
      </c>
      <c r="E46" s="76">
        <f>D46-C46</f>
        <v>-583000</v>
      </c>
      <c r="F46" s="77">
        <f>IF(C46=0,0,E46/C46)</f>
        <v>0.68831168831168832</v>
      </c>
    </row>
    <row r="47" spans="1:6" ht="23.1" customHeight="1" x14ac:dyDescent="0.25">
      <c r="A47" s="83"/>
      <c r="B47" s="78" t="s">
        <v>102</v>
      </c>
      <c r="C47" s="79">
        <f>SUM(C45:C46)</f>
        <v>5498000</v>
      </c>
      <c r="D47" s="79">
        <f>SUM(D45:D46)</f>
        <v>-8465000</v>
      </c>
      <c r="E47" s="79">
        <f>D47-C47</f>
        <v>-13963000</v>
      </c>
      <c r="F47" s="80">
        <f>IF(C47=0,0,E47/C47)</f>
        <v>-2.5396507821025827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25668000</v>
      </c>
      <c r="D49" s="79">
        <f>D42+D47</f>
        <v>17180000</v>
      </c>
      <c r="E49" s="79">
        <f>D49-C49</f>
        <v>-8488000</v>
      </c>
      <c r="F49" s="80">
        <f>IF(C49=0,0,E49/C49)</f>
        <v>-0.3306841203054387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FILING&amp;R&amp;8GREENWICH HEALTH 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2016-07-19T19:25:16Z</cp:lastPrinted>
  <dcterms:created xsi:type="dcterms:W3CDTF">2016-07-19T18:34:56Z</dcterms:created>
  <dcterms:modified xsi:type="dcterms:W3CDTF">2016-07-19T19:25:23Z</dcterms:modified>
</cp:coreProperties>
</file>