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 s="1"/>
  <c r="C96" i="22"/>
  <c r="C98" i="22" s="1"/>
  <c r="E92" i="22"/>
  <c r="D92" i="22"/>
  <c r="C92" i="22"/>
  <c r="E91" i="22"/>
  <c r="E93" i="22" s="1"/>
  <c r="D91" i="22"/>
  <c r="D93" i="22"/>
  <c r="C91" i="22"/>
  <c r="C93" i="22"/>
  <c r="E87" i="22"/>
  <c r="D87" i="22"/>
  <c r="C87" i="22"/>
  <c r="E86" i="22"/>
  <c r="E88" i="22" s="1"/>
  <c r="D86" i="22"/>
  <c r="D88" i="22" s="1"/>
  <c r="C86" i="22"/>
  <c r="C88" i="22" s="1"/>
  <c r="E83" i="22"/>
  <c r="E101" i="22"/>
  <c r="E103" i="22" s="1"/>
  <c r="D83" i="22"/>
  <c r="D102" i="22" s="1"/>
  <c r="C83" i="22"/>
  <c r="C101" i="22" s="1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D34" i="22" s="1"/>
  <c r="C12" i="22"/>
  <c r="C33" i="22"/>
  <c r="D21" i="21"/>
  <c r="E21" i="21"/>
  <c r="C21" i="21"/>
  <c r="D19" i="21"/>
  <c r="E19" i="21" s="1"/>
  <c r="C19" i="21"/>
  <c r="F19" i="21" s="1"/>
  <c r="E17" i="21"/>
  <c r="F17" i="21" s="1"/>
  <c r="E15" i="21"/>
  <c r="F15" i="21" s="1"/>
  <c r="D45" i="20"/>
  <c r="C45" i="20"/>
  <c r="D44" i="20"/>
  <c r="D46" i="20" s="1"/>
  <c r="C44" i="20"/>
  <c r="D43" i="20"/>
  <c r="C43" i="20"/>
  <c r="D36" i="20"/>
  <c r="D40" i="20" s="1"/>
  <c r="C36" i="20"/>
  <c r="E35" i="20"/>
  <c r="F35" i="20" s="1"/>
  <c r="E34" i="20"/>
  <c r="F34" i="20"/>
  <c r="E33" i="20"/>
  <c r="F33" i="20"/>
  <c r="E30" i="20"/>
  <c r="F30" i="20" s="1"/>
  <c r="E29" i="20"/>
  <c r="F29" i="20"/>
  <c r="E28" i="20"/>
  <c r="F28" i="20"/>
  <c r="E27" i="20"/>
  <c r="F27" i="20"/>
  <c r="D25" i="20"/>
  <c r="D39" i="20" s="1"/>
  <c r="C25" i="20"/>
  <c r="E24" i="20"/>
  <c r="F24" i="20" s="1"/>
  <c r="E23" i="20"/>
  <c r="F23" i="20" s="1"/>
  <c r="E22" i="20"/>
  <c r="F22" i="20" s="1"/>
  <c r="D19" i="20"/>
  <c r="D20" i="20"/>
  <c r="C19" i="20"/>
  <c r="E18" i="20"/>
  <c r="F18" i="20"/>
  <c r="D16" i="20"/>
  <c r="C16" i="20"/>
  <c r="E15" i="20"/>
  <c r="F15" i="20" s="1"/>
  <c r="E13" i="20"/>
  <c r="F13" i="20" s="1"/>
  <c r="E12" i="20"/>
  <c r="F12" i="20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3" i="19"/>
  <c r="C32" i="19"/>
  <c r="C21" i="19"/>
  <c r="C37" i="19" s="1"/>
  <c r="E328" i="18"/>
  <c r="E325" i="18"/>
  <c r="D324" i="18"/>
  <c r="D326" i="18" s="1"/>
  <c r="C324" i="18"/>
  <c r="C326" i="18" s="1"/>
  <c r="C330" i="18" s="1"/>
  <c r="E318" i="18"/>
  <c r="E315" i="18"/>
  <c r="D314" i="18"/>
  <c r="E314" i="18" s="1"/>
  <c r="D316" i="18"/>
  <c r="C314" i="18"/>
  <c r="C316" i="18"/>
  <c r="C320" i="18" s="1"/>
  <c r="E308" i="18"/>
  <c r="E305" i="18"/>
  <c r="D301" i="18"/>
  <c r="C301" i="18"/>
  <c r="E301" i="18" s="1"/>
  <c r="D293" i="18"/>
  <c r="E293" i="18"/>
  <c r="C293" i="18"/>
  <c r="D292" i="18"/>
  <c r="C292" i="18"/>
  <c r="E292" i="18" s="1"/>
  <c r="D291" i="18"/>
  <c r="E291" i="18"/>
  <c r="C291" i="18"/>
  <c r="D290" i="18"/>
  <c r="E290" i="18" s="1"/>
  <c r="C290" i="18"/>
  <c r="D288" i="18"/>
  <c r="C288" i="18"/>
  <c r="E288" i="18"/>
  <c r="D287" i="18"/>
  <c r="C287" i="18"/>
  <c r="D282" i="18"/>
  <c r="C282" i="18"/>
  <c r="E282" i="18"/>
  <c r="D281" i="18"/>
  <c r="E281" i="18"/>
  <c r="C281" i="18"/>
  <c r="D280" i="18"/>
  <c r="C280" i="18"/>
  <c r="E280" i="18" s="1"/>
  <c r="D279" i="18"/>
  <c r="E279" i="18"/>
  <c r="C279" i="18"/>
  <c r="D278" i="18"/>
  <c r="E278" i="18" s="1"/>
  <c r="C278" i="18"/>
  <c r="D277" i="18"/>
  <c r="E277" i="18" s="1"/>
  <c r="C277" i="18"/>
  <c r="D276" i="18"/>
  <c r="C276" i="18"/>
  <c r="E276" i="18"/>
  <c r="E270" i="18"/>
  <c r="D265" i="18"/>
  <c r="D302" i="18"/>
  <c r="D303" i="18" s="1"/>
  <c r="C265" i="18"/>
  <c r="C302" i="18" s="1"/>
  <c r="D262" i="18"/>
  <c r="C262" i="18"/>
  <c r="E262" i="18"/>
  <c r="D251" i="18"/>
  <c r="E251" i="18" s="1"/>
  <c r="C251" i="18"/>
  <c r="D233" i="18"/>
  <c r="C233" i="18"/>
  <c r="D232" i="18"/>
  <c r="C232" i="18"/>
  <c r="D231" i="18"/>
  <c r="C231" i="18"/>
  <c r="E231" i="18"/>
  <c r="D230" i="18"/>
  <c r="E230" i="18" s="1"/>
  <c r="C230" i="18"/>
  <c r="D228" i="18"/>
  <c r="C228" i="18"/>
  <c r="E228" i="18" s="1"/>
  <c r="D227" i="18"/>
  <c r="C227" i="18"/>
  <c r="D221" i="18"/>
  <c r="D245" i="18"/>
  <c r="C221" i="18"/>
  <c r="C245" i="18"/>
  <c r="D220" i="18"/>
  <c r="D244" i="18" s="1"/>
  <c r="C220" i="18"/>
  <c r="C244" i="18" s="1"/>
  <c r="D219" i="18"/>
  <c r="D243" i="18"/>
  <c r="C219" i="18"/>
  <c r="C243" i="18"/>
  <c r="D218" i="18"/>
  <c r="C218" i="18"/>
  <c r="C242" i="18" s="1"/>
  <c r="D216" i="18"/>
  <c r="D240" i="18" s="1"/>
  <c r="C216" i="18"/>
  <c r="C240" i="18" s="1"/>
  <c r="E240" i="18" s="1"/>
  <c r="D215" i="18"/>
  <c r="D239" i="18" s="1"/>
  <c r="C215" i="18"/>
  <c r="C239" i="18" s="1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C179" i="18"/>
  <c r="E179" i="18" s="1"/>
  <c r="D178" i="18"/>
  <c r="E178" i="18"/>
  <c r="C178" i="18"/>
  <c r="D177" i="18"/>
  <c r="E177" i="18" s="1"/>
  <c r="C177" i="18"/>
  <c r="D176" i="18"/>
  <c r="E176" i="18" s="1"/>
  <c r="C176" i="18"/>
  <c r="D174" i="18"/>
  <c r="E174" i="18" s="1"/>
  <c r="C174" i="18"/>
  <c r="D173" i="18"/>
  <c r="C173" i="18"/>
  <c r="E173" i="18"/>
  <c r="D167" i="18"/>
  <c r="E167" i="18" s="1"/>
  <c r="C167" i="18"/>
  <c r="D166" i="18"/>
  <c r="C166" i="18"/>
  <c r="E166" i="18" s="1"/>
  <c r="D165" i="18"/>
  <c r="E165" i="18"/>
  <c r="C165" i="18"/>
  <c r="D164" i="18"/>
  <c r="E164" i="18" s="1"/>
  <c r="C164" i="18"/>
  <c r="D162" i="18"/>
  <c r="C162" i="18"/>
  <c r="D161" i="18"/>
  <c r="E161" i="18" s="1"/>
  <c r="C161" i="18"/>
  <c r="D156" i="18"/>
  <c r="D157" i="18" s="1"/>
  <c r="E155" i="18"/>
  <c r="E154" i="18"/>
  <c r="E153" i="18"/>
  <c r="E152" i="18"/>
  <c r="D151" i="18"/>
  <c r="C151" i="18"/>
  <c r="E151" i="18"/>
  <c r="E150" i="18"/>
  <c r="E149" i="18"/>
  <c r="E143" i="18"/>
  <c r="E142" i="18"/>
  <c r="E141" i="18"/>
  <c r="E140" i="18"/>
  <c r="D139" i="18"/>
  <c r="D163" i="18" s="1"/>
  <c r="C139" i="18"/>
  <c r="C144" i="18" s="1"/>
  <c r="E138" i="18"/>
  <c r="E137" i="18"/>
  <c r="D75" i="18"/>
  <c r="C75" i="18"/>
  <c r="E75" i="18"/>
  <c r="D74" i="18"/>
  <c r="E74" i="18"/>
  <c r="C74" i="18"/>
  <c r="D73" i="18"/>
  <c r="C73" i="18"/>
  <c r="E73" i="18" s="1"/>
  <c r="D72" i="18"/>
  <c r="E72" i="18"/>
  <c r="C72" i="18"/>
  <c r="C71" i="18"/>
  <c r="C76" i="18" s="1"/>
  <c r="D70" i="18"/>
  <c r="C70" i="18"/>
  <c r="D69" i="18"/>
  <c r="C69" i="18"/>
  <c r="C65" i="18"/>
  <c r="C66" i="18" s="1"/>
  <c r="E64" i="18"/>
  <c r="E63" i="18"/>
  <c r="E62" i="18"/>
  <c r="E61" i="18"/>
  <c r="D60" i="18"/>
  <c r="C60" i="18"/>
  <c r="C289" i="18"/>
  <c r="E59" i="18"/>
  <c r="E58" i="18"/>
  <c r="C55" i="18"/>
  <c r="D54" i="18"/>
  <c r="C54" i="18"/>
  <c r="E53" i="18"/>
  <c r="E52" i="18"/>
  <c r="E51" i="18"/>
  <c r="E50" i="18"/>
  <c r="E49" i="18"/>
  <c r="E48" i="18"/>
  <c r="E47" i="18"/>
  <c r="D42" i="18"/>
  <c r="E42" i="18" s="1"/>
  <c r="C42" i="18"/>
  <c r="D41" i="18"/>
  <c r="E41" i="18" s="1"/>
  <c r="C41" i="18"/>
  <c r="D40" i="18"/>
  <c r="C40" i="18"/>
  <c r="E40" i="18"/>
  <c r="D39" i="18"/>
  <c r="E39" i="18" s="1"/>
  <c r="C39" i="18"/>
  <c r="D38" i="18"/>
  <c r="C38" i="18"/>
  <c r="E38" i="18" s="1"/>
  <c r="D37" i="18"/>
  <c r="D43" i="18"/>
  <c r="C37" i="18"/>
  <c r="C43" i="18" s="1"/>
  <c r="C259" i="18" s="1"/>
  <c r="C263" i="18" s="1"/>
  <c r="D36" i="18"/>
  <c r="D44" i="18"/>
  <c r="C36" i="18"/>
  <c r="D33" i="18"/>
  <c r="D32" i="18"/>
  <c r="C32" i="18"/>
  <c r="C294" i="18"/>
  <c r="E31" i="18"/>
  <c r="E30" i="18"/>
  <c r="E29" i="18"/>
  <c r="E28" i="18"/>
  <c r="E27" i="18"/>
  <c r="E26" i="18"/>
  <c r="E25" i="18"/>
  <c r="D21" i="18"/>
  <c r="D283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F332" i="17"/>
  <c r="E332" i="17"/>
  <c r="F331" i="17"/>
  <c r="E331" i="17"/>
  <c r="F330" i="17"/>
  <c r="E330" i="17"/>
  <c r="E329" i="17"/>
  <c r="F329" i="17" s="1"/>
  <c r="F316" i="17"/>
  <c r="E316" i="17"/>
  <c r="D311" i="17"/>
  <c r="E311" i="17" s="1"/>
  <c r="C311" i="17"/>
  <c r="F311" i="17" s="1"/>
  <c r="E308" i="17"/>
  <c r="F308" i="17" s="1"/>
  <c r="D307" i="17"/>
  <c r="E307" i="17"/>
  <c r="C307" i="17"/>
  <c r="D299" i="17"/>
  <c r="C299" i="17"/>
  <c r="D298" i="17"/>
  <c r="E298" i="17" s="1"/>
  <c r="F298" i="17" s="1"/>
  <c r="C298" i="17"/>
  <c r="D297" i="17"/>
  <c r="C297" i="17"/>
  <c r="D296" i="17"/>
  <c r="E296" i="17" s="1"/>
  <c r="F296" i="17"/>
  <c r="C296" i="17"/>
  <c r="D295" i="17"/>
  <c r="C295" i="17"/>
  <c r="D294" i="17"/>
  <c r="E294" i="17" s="1"/>
  <c r="F294" i="17" s="1"/>
  <c r="C294" i="17"/>
  <c r="D250" i="17"/>
  <c r="D306" i="17"/>
  <c r="C250" i="17"/>
  <c r="E249" i="17"/>
  <c r="F249" i="17" s="1"/>
  <c r="E248" i="17"/>
  <c r="F248" i="17"/>
  <c r="F245" i="17"/>
  <c r="E245" i="17"/>
  <c r="E244" i="17"/>
  <c r="F244" i="17" s="1"/>
  <c r="E243" i="17"/>
  <c r="F243" i="17" s="1"/>
  <c r="D238" i="17"/>
  <c r="D239" i="17" s="1"/>
  <c r="C238" i="17"/>
  <c r="D237" i="17"/>
  <c r="C237" i="17"/>
  <c r="E234" i="17"/>
  <c r="F234" i="17"/>
  <c r="E233" i="17"/>
  <c r="F233" i="17" s="1"/>
  <c r="D230" i="17"/>
  <c r="C230" i="17"/>
  <c r="D229" i="17"/>
  <c r="C229" i="17"/>
  <c r="E228" i="17"/>
  <c r="F228" i="17"/>
  <c r="D226" i="17"/>
  <c r="D227" i="17" s="1"/>
  <c r="C226" i="17"/>
  <c r="C227" i="17" s="1"/>
  <c r="E225" i="17"/>
  <c r="F225" i="17"/>
  <c r="E224" i="17"/>
  <c r="F224" i="17"/>
  <c r="D223" i="17"/>
  <c r="C223" i="17"/>
  <c r="E222" i="17"/>
  <c r="F222" i="17" s="1"/>
  <c r="E221" i="17"/>
  <c r="F221" i="17"/>
  <c r="D204" i="17"/>
  <c r="D285" i="17"/>
  <c r="C204" i="17"/>
  <c r="D203" i="17"/>
  <c r="D283" i="17"/>
  <c r="C203" i="17"/>
  <c r="D198" i="17"/>
  <c r="C198" i="17"/>
  <c r="D191" i="17"/>
  <c r="D264" i="17"/>
  <c r="C191" i="17"/>
  <c r="C280" i="17" s="1"/>
  <c r="D189" i="17"/>
  <c r="D278" i="17" s="1"/>
  <c r="C189" i="17"/>
  <c r="C278" i="17"/>
  <c r="D188" i="17"/>
  <c r="E188" i="17"/>
  <c r="F188" i="17" s="1"/>
  <c r="C188" i="17"/>
  <c r="C277" i="17"/>
  <c r="D180" i="17"/>
  <c r="E180" i="17"/>
  <c r="F180" i="17"/>
  <c r="C180" i="17"/>
  <c r="D179" i="17"/>
  <c r="D181" i="17" s="1"/>
  <c r="E181" i="17" s="1"/>
  <c r="C179" i="17"/>
  <c r="C181" i="17" s="1"/>
  <c r="D171" i="17"/>
  <c r="D172" i="17"/>
  <c r="C171" i="17"/>
  <c r="C172" i="17"/>
  <c r="D170" i="17"/>
  <c r="E170" i="17" s="1"/>
  <c r="F170" i="17" s="1"/>
  <c r="C170" i="17"/>
  <c r="E169" i="17"/>
  <c r="F169" i="17"/>
  <c r="E168" i="17"/>
  <c r="F168" i="17"/>
  <c r="D165" i="17"/>
  <c r="E165" i="17" s="1"/>
  <c r="F165" i="17"/>
  <c r="C165" i="17"/>
  <c r="D164" i="17"/>
  <c r="C164" i="17"/>
  <c r="E163" i="17"/>
  <c r="F163" i="17" s="1"/>
  <c r="D158" i="17"/>
  <c r="D159" i="17" s="1"/>
  <c r="C158" i="17"/>
  <c r="C193" i="17" s="1"/>
  <c r="E157" i="17"/>
  <c r="F157" i="17"/>
  <c r="E156" i="17"/>
  <c r="F156" i="17"/>
  <c r="D155" i="17"/>
  <c r="E155" i="17"/>
  <c r="F155" i="17"/>
  <c r="C155" i="17"/>
  <c r="E154" i="17"/>
  <c r="F154" i="17"/>
  <c r="E153" i="17"/>
  <c r="F153" i="17"/>
  <c r="D145" i="17"/>
  <c r="E145" i="17"/>
  <c r="F145" i="17"/>
  <c r="C145" i="17"/>
  <c r="D144" i="17"/>
  <c r="E144" i="17" s="1"/>
  <c r="F144" i="17" s="1"/>
  <c r="D146" i="17"/>
  <c r="E146" i="17" s="1"/>
  <c r="F146" i="17" s="1"/>
  <c r="C144" i="17"/>
  <c r="C146" i="17" s="1"/>
  <c r="D136" i="17"/>
  <c r="D137" i="17"/>
  <c r="C136" i="17"/>
  <c r="C137" i="17"/>
  <c r="D135" i="17"/>
  <c r="E135" i="17" s="1"/>
  <c r="F135" i="17"/>
  <c r="C135" i="17"/>
  <c r="E134" i="17"/>
  <c r="F134" i="17"/>
  <c r="E133" i="17"/>
  <c r="F133" i="17"/>
  <c r="D130" i="17"/>
  <c r="E130" i="17" s="1"/>
  <c r="F130" i="17" s="1"/>
  <c r="C130" i="17"/>
  <c r="D129" i="17"/>
  <c r="C129" i="17"/>
  <c r="E128" i="17"/>
  <c r="F128" i="17" s="1"/>
  <c r="D123" i="17"/>
  <c r="C123" i="17"/>
  <c r="E122" i="17"/>
  <c r="F122" i="17" s="1"/>
  <c r="E121" i="17"/>
  <c r="F121" i="17"/>
  <c r="D120" i="17"/>
  <c r="E120" i="17"/>
  <c r="C120" i="17"/>
  <c r="E119" i="17"/>
  <c r="F119" i="17" s="1"/>
  <c r="E118" i="17"/>
  <c r="F118" i="17"/>
  <c r="D110" i="17"/>
  <c r="E110" i="17"/>
  <c r="C110" i="17"/>
  <c r="D109" i="17"/>
  <c r="C109" i="17"/>
  <c r="C111" i="17"/>
  <c r="D101" i="17"/>
  <c r="E101" i="17" s="1"/>
  <c r="F101" i="17"/>
  <c r="C101" i="17"/>
  <c r="C102" i="17"/>
  <c r="C103" i="17"/>
  <c r="D100" i="17"/>
  <c r="E100" i="17"/>
  <c r="F100" i="17" s="1"/>
  <c r="C100" i="17"/>
  <c r="E99" i="17"/>
  <c r="F99" i="17" s="1"/>
  <c r="E98" i="17"/>
  <c r="F98" i="17"/>
  <c r="D95" i="17"/>
  <c r="E95" i="17"/>
  <c r="F95" i="17" s="1"/>
  <c r="C95" i="17"/>
  <c r="D94" i="17"/>
  <c r="E94" i="17" s="1"/>
  <c r="C94" i="17"/>
  <c r="F94" i="17" s="1"/>
  <c r="E93" i="17"/>
  <c r="F93" i="17"/>
  <c r="D88" i="17"/>
  <c r="E88" i="17" s="1"/>
  <c r="F88" i="17"/>
  <c r="C88" i="17"/>
  <c r="C89" i="17" s="1"/>
  <c r="E87" i="17"/>
  <c r="F87" i="17" s="1"/>
  <c r="E86" i="17"/>
  <c r="F86" i="17"/>
  <c r="D85" i="17"/>
  <c r="E85" i="17"/>
  <c r="C85" i="17"/>
  <c r="F85" i="17" s="1"/>
  <c r="E84" i="17"/>
  <c r="F84" i="17" s="1"/>
  <c r="E83" i="17"/>
  <c r="F83" i="17" s="1"/>
  <c r="D76" i="17"/>
  <c r="D77" i="17"/>
  <c r="C76" i="17"/>
  <c r="C77" i="17"/>
  <c r="E74" i="17"/>
  <c r="F74" i="17" s="1"/>
  <c r="E73" i="17"/>
  <c r="F73" i="17" s="1"/>
  <c r="D67" i="17"/>
  <c r="C67" i="17"/>
  <c r="D66" i="17"/>
  <c r="D68" i="17" s="1"/>
  <c r="C66" i="17"/>
  <c r="D59" i="17"/>
  <c r="E59" i="17"/>
  <c r="F59" i="17" s="1"/>
  <c r="C59" i="17"/>
  <c r="C60" i="17"/>
  <c r="D58" i="17"/>
  <c r="E58" i="17" s="1"/>
  <c r="F58" i="17" s="1"/>
  <c r="C58" i="17"/>
  <c r="E57" i="17"/>
  <c r="F57" i="17"/>
  <c r="E56" i="17"/>
  <c r="F56" i="17"/>
  <c r="D53" i="17"/>
  <c r="E53" i="17" s="1"/>
  <c r="F53" i="17" s="1"/>
  <c r="C53" i="17"/>
  <c r="D52" i="17"/>
  <c r="E52" i="17"/>
  <c r="C52" i="17"/>
  <c r="E51" i="17"/>
  <c r="F51" i="17" s="1"/>
  <c r="D47" i="17"/>
  <c r="E47" i="17" s="1"/>
  <c r="F47" i="17"/>
  <c r="C47" i="17"/>
  <c r="C48" i="17" s="1"/>
  <c r="E46" i="17"/>
  <c r="F46" i="17" s="1"/>
  <c r="E45" i="17"/>
  <c r="F45" i="17"/>
  <c r="D44" i="17"/>
  <c r="E44" i="17"/>
  <c r="F44" i="17" s="1"/>
  <c r="C44" i="17"/>
  <c r="E43" i="17"/>
  <c r="F43" i="17" s="1"/>
  <c r="E42" i="17"/>
  <c r="F42" i="17"/>
  <c r="D36" i="17"/>
  <c r="E36" i="17"/>
  <c r="F36" i="17"/>
  <c r="C36" i="17"/>
  <c r="D35" i="17"/>
  <c r="E35" i="17" s="1"/>
  <c r="C35" i="17"/>
  <c r="D30" i="17"/>
  <c r="E30" i="17"/>
  <c r="F30" i="17"/>
  <c r="C30" i="17"/>
  <c r="C31" i="17"/>
  <c r="D29" i="17"/>
  <c r="E29" i="17" s="1"/>
  <c r="F29" i="17" s="1"/>
  <c r="C29" i="17"/>
  <c r="E28" i="17"/>
  <c r="F28" i="17" s="1"/>
  <c r="E27" i="17"/>
  <c r="F27" i="17"/>
  <c r="D24" i="17"/>
  <c r="E24" i="17" s="1"/>
  <c r="F24" i="17" s="1"/>
  <c r="C24" i="17"/>
  <c r="D23" i="17"/>
  <c r="E23" i="17" s="1"/>
  <c r="C23" i="17"/>
  <c r="E22" i="17"/>
  <c r="F22" i="17" s="1"/>
  <c r="D20" i="17"/>
  <c r="C20" i="17"/>
  <c r="E19" i="17"/>
  <c r="F19" i="17"/>
  <c r="E18" i="17"/>
  <c r="F18" i="17"/>
  <c r="D17" i="17"/>
  <c r="E17" i="17" s="1"/>
  <c r="F17" i="17" s="1"/>
  <c r="C17" i="17"/>
  <c r="E16" i="17"/>
  <c r="F16" i="17"/>
  <c r="E15" i="17"/>
  <c r="F15" i="17"/>
  <c r="D23" i="16"/>
  <c r="E23" i="16" s="1"/>
  <c r="C23" i="16"/>
  <c r="E22" i="16"/>
  <c r="F22" i="16" s="1"/>
  <c r="D19" i="16"/>
  <c r="E19" i="16" s="1"/>
  <c r="F19" i="16" s="1"/>
  <c r="C19" i="16"/>
  <c r="E18" i="16"/>
  <c r="F18" i="16" s="1"/>
  <c r="E17" i="16"/>
  <c r="F17" i="16" s="1"/>
  <c r="D14" i="16"/>
  <c r="E14" i="16" s="1"/>
  <c r="F14" i="16"/>
  <c r="C14" i="16"/>
  <c r="E13" i="16"/>
  <c r="F13" i="16" s="1"/>
  <c r="E12" i="16"/>
  <c r="F12" i="16" s="1"/>
  <c r="D107" i="15"/>
  <c r="E107" i="15" s="1"/>
  <c r="F107" i="15" s="1"/>
  <c r="C107" i="15"/>
  <c r="E106" i="15"/>
  <c r="F106" i="15" s="1"/>
  <c r="E105" i="15"/>
  <c r="F105" i="15" s="1"/>
  <c r="F104" i="15"/>
  <c r="E104" i="15"/>
  <c r="D100" i="15"/>
  <c r="E100" i="15" s="1"/>
  <c r="C100" i="15"/>
  <c r="E99" i="15"/>
  <c r="F99" i="15" s="1"/>
  <c r="F98" i="15"/>
  <c r="E98" i="15"/>
  <c r="F97" i="15"/>
  <c r="E97" i="15"/>
  <c r="E96" i="15"/>
  <c r="F96" i="15" s="1"/>
  <c r="E95" i="15"/>
  <c r="F95" i="15" s="1"/>
  <c r="D92" i="15"/>
  <c r="E92" i="15" s="1"/>
  <c r="F92" i="15" s="1"/>
  <c r="C92" i="15"/>
  <c r="F91" i="15"/>
  <c r="E91" i="15"/>
  <c r="F90" i="15"/>
  <c r="E90" i="15"/>
  <c r="F89" i="15"/>
  <c r="E89" i="15"/>
  <c r="F88" i="15"/>
  <c r="E88" i="15"/>
  <c r="E87" i="15"/>
  <c r="F87" i="15" s="1"/>
  <c r="F86" i="15"/>
  <c r="E86" i="15"/>
  <c r="F85" i="15"/>
  <c r="E85" i="15"/>
  <c r="F84" i="15"/>
  <c r="E84" i="15"/>
  <c r="F83" i="15"/>
  <c r="E83" i="15"/>
  <c r="E82" i="15"/>
  <c r="F82" i="15" s="1"/>
  <c r="F81" i="15"/>
  <c r="E81" i="15"/>
  <c r="F80" i="15"/>
  <c r="E80" i="15"/>
  <c r="E79" i="15"/>
  <c r="F79" i="15" s="1"/>
  <c r="D75" i="15"/>
  <c r="C75" i="15"/>
  <c r="F75" i="15" s="1"/>
  <c r="F74" i="15"/>
  <c r="E74" i="15"/>
  <c r="F73" i="15"/>
  <c r="E73" i="15"/>
  <c r="E75" i="15"/>
  <c r="D70" i="15"/>
  <c r="E70" i="15"/>
  <c r="F70" i="15"/>
  <c r="C70" i="15"/>
  <c r="F69" i="15"/>
  <c r="E69" i="15"/>
  <c r="E68" i="15"/>
  <c r="F68" i="15" s="1"/>
  <c r="D65" i="15"/>
  <c r="E65" i="15"/>
  <c r="F65" i="15"/>
  <c r="C65" i="15"/>
  <c r="F64" i="15"/>
  <c r="E64" i="15"/>
  <c r="E63" i="15"/>
  <c r="F63" i="15" s="1"/>
  <c r="D60" i="15"/>
  <c r="C60" i="15"/>
  <c r="F60" i="15" s="1"/>
  <c r="F59" i="15"/>
  <c r="E59" i="15"/>
  <c r="F58" i="15"/>
  <c r="E58" i="15"/>
  <c r="E60" i="15"/>
  <c r="D55" i="15"/>
  <c r="E55" i="15"/>
  <c r="F55" i="15"/>
  <c r="C55" i="15"/>
  <c r="F54" i="15"/>
  <c r="E54" i="15"/>
  <c r="E53" i="15"/>
  <c r="F53" i="15" s="1"/>
  <c r="D50" i="15"/>
  <c r="E50" i="15"/>
  <c r="F50" i="15" s="1"/>
  <c r="C50" i="15"/>
  <c r="F49" i="15"/>
  <c r="E49" i="15"/>
  <c r="E48" i="15"/>
  <c r="F48" i="15" s="1"/>
  <c r="D45" i="15"/>
  <c r="E45" i="15"/>
  <c r="F45" i="15" s="1"/>
  <c r="C45" i="15"/>
  <c r="F44" i="15"/>
  <c r="E44" i="15"/>
  <c r="E43" i="15"/>
  <c r="F43" i="15" s="1"/>
  <c r="D37" i="15"/>
  <c r="E37" i="15"/>
  <c r="F37" i="15" s="1"/>
  <c r="C37" i="15"/>
  <c r="F36" i="15"/>
  <c r="E36" i="15"/>
  <c r="F35" i="15"/>
  <c r="E35" i="15"/>
  <c r="E34" i="15"/>
  <c r="F34" i="15" s="1"/>
  <c r="F33" i="15"/>
  <c r="E33" i="15"/>
  <c r="F30" i="15"/>
  <c r="D30" i="15"/>
  <c r="E30" i="15" s="1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E21" i="15"/>
  <c r="F21" i="15" s="1"/>
  <c r="E20" i="15"/>
  <c r="F20" i="15" s="1"/>
  <c r="F19" i="15"/>
  <c r="E19" i="15"/>
  <c r="D16" i="15"/>
  <c r="E16" i="15" s="1"/>
  <c r="C16" i="15"/>
  <c r="E15" i="15"/>
  <c r="F15" i="15" s="1"/>
  <c r="F14" i="15"/>
  <c r="E14" i="15"/>
  <c r="F13" i="15"/>
  <c r="E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 s="1"/>
  <c r="D17" i="14"/>
  <c r="D33" i="14" s="1"/>
  <c r="D36" i="14" s="1"/>
  <c r="D38" i="14" s="1"/>
  <c r="D40" i="14" s="1"/>
  <c r="C17" i="14"/>
  <c r="C31" i="14" s="1"/>
  <c r="H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 s="1"/>
  <c r="D78" i="13"/>
  <c r="D80" i="13" s="1"/>
  <c r="D77" i="13" s="1"/>
  <c r="C78" i="13"/>
  <c r="C80" i="13" s="1"/>
  <c r="C77" i="13" s="1"/>
  <c r="E73" i="13"/>
  <c r="E75" i="13" s="1"/>
  <c r="D73" i="13"/>
  <c r="D75" i="13" s="1"/>
  <c r="C73" i="13"/>
  <c r="C75" i="13" s="1"/>
  <c r="E71" i="13"/>
  <c r="D71" i="13"/>
  <c r="C71" i="13"/>
  <c r="E66" i="13"/>
  <c r="E65" i="13"/>
  <c r="D66" i="13"/>
  <c r="D65" i="13" s="1"/>
  <c r="C66" i="13"/>
  <c r="C65" i="13"/>
  <c r="E60" i="13"/>
  <c r="D60" i="13"/>
  <c r="C60" i="13"/>
  <c r="E59" i="13"/>
  <c r="E61" i="13"/>
  <c r="E57" i="13" s="1"/>
  <c r="E58" i="13"/>
  <c r="D58" i="13"/>
  <c r="C58" i="13"/>
  <c r="E55" i="13"/>
  <c r="E50" i="13" s="1"/>
  <c r="D55" i="13"/>
  <c r="C55" i="13"/>
  <c r="E54" i="13"/>
  <c r="D54" i="13"/>
  <c r="C54" i="13"/>
  <c r="C50" i="13"/>
  <c r="D50" i="13"/>
  <c r="E42" i="13"/>
  <c r="E46" i="13"/>
  <c r="E48" i="13" s="1"/>
  <c r="D46" i="13"/>
  <c r="D59" i="13"/>
  <c r="D61" i="13" s="1"/>
  <c r="D57" i="13" s="1"/>
  <c r="C46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C25" i="13"/>
  <c r="C24" i="13"/>
  <c r="E13" i="13"/>
  <c r="D13" i="13"/>
  <c r="D25" i="13"/>
  <c r="D27" i="13" s="1"/>
  <c r="C13" i="13"/>
  <c r="C15" i="13" s="1"/>
  <c r="D47" i="12"/>
  <c r="E47" i="12" s="1"/>
  <c r="F47" i="12"/>
  <c r="C47" i="12"/>
  <c r="E46" i="12"/>
  <c r="F46" i="12" s="1"/>
  <c r="F45" i="12"/>
  <c r="E45" i="12"/>
  <c r="D40" i="12"/>
  <c r="E40" i="12" s="1"/>
  <c r="F40" i="12" s="1"/>
  <c r="C40" i="12"/>
  <c r="E39" i="12"/>
  <c r="F39" i="12" s="1"/>
  <c r="F38" i="12"/>
  <c r="E38" i="12"/>
  <c r="F37" i="12"/>
  <c r="E37" i="12"/>
  <c r="D32" i="12"/>
  <c r="E32" i="12" s="1"/>
  <c r="C32" i="12"/>
  <c r="E31" i="12"/>
  <c r="F31" i="12" s="1"/>
  <c r="F30" i="12"/>
  <c r="E30" i="12"/>
  <c r="E29" i="12"/>
  <c r="F29" i="12" s="1"/>
  <c r="E28" i="12"/>
  <c r="F28" i="12" s="1"/>
  <c r="E27" i="12"/>
  <c r="F27" i="12" s="1"/>
  <c r="E26" i="12"/>
  <c r="F26" i="12" s="1"/>
  <c r="F25" i="12"/>
  <c r="E25" i="12"/>
  <c r="E24" i="12"/>
  <c r="F24" i="12" s="1"/>
  <c r="E23" i="12"/>
  <c r="F23" i="12" s="1"/>
  <c r="E19" i="12"/>
  <c r="F19" i="12" s="1"/>
  <c r="F18" i="12"/>
  <c r="E18" i="12"/>
  <c r="F16" i="12"/>
  <c r="E16" i="12"/>
  <c r="D15" i="12"/>
  <c r="D17" i="12" s="1"/>
  <c r="C15" i="12"/>
  <c r="C17" i="12" s="1"/>
  <c r="E14" i="12"/>
  <c r="F14" i="12" s="1"/>
  <c r="E13" i="12"/>
  <c r="F13" i="12" s="1"/>
  <c r="F12" i="12"/>
  <c r="E12" i="12"/>
  <c r="F11" i="12"/>
  <c r="E11" i="12"/>
  <c r="D73" i="11"/>
  <c r="C73" i="11"/>
  <c r="F72" i="11"/>
  <c r="E72" i="11"/>
  <c r="F71" i="11"/>
  <c r="E71" i="11"/>
  <c r="E70" i="11"/>
  <c r="F70" i="11" s="1"/>
  <c r="E67" i="11"/>
  <c r="F67" i="11" s="1"/>
  <c r="E64" i="11"/>
  <c r="F64" i="11" s="1"/>
  <c r="E63" i="11"/>
  <c r="F63" i="11" s="1"/>
  <c r="D61" i="11"/>
  <c r="D65" i="11" s="1"/>
  <c r="E65" i="11" s="1"/>
  <c r="F65" i="11" s="1"/>
  <c r="C61" i="11"/>
  <c r="C65" i="11" s="1"/>
  <c r="F60" i="11"/>
  <c r="E60" i="11"/>
  <c r="E59" i="11"/>
  <c r="F59" i="11" s="1"/>
  <c r="D56" i="11"/>
  <c r="C56" i="11"/>
  <c r="E55" i="11"/>
  <c r="F55" i="11" s="1"/>
  <c r="F54" i="11"/>
  <c r="E54" i="11"/>
  <c r="E53" i="11"/>
  <c r="F53" i="11" s="1"/>
  <c r="F52" i="11"/>
  <c r="E52" i="11"/>
  <c r="E51" i="11"/>
  <c r="F51" i="11" s="1"/>
  <c r="E50" i="11"/>
  <c r="F50" i="11"/>
  <c r="A50" i="11"/>
  <c r="A51" i="11" s="1"/>
  <c r="A52" i="11" s="1"/>
  <c r="A53" i="11" s="1"/>
  <c r="A54" i="11" s="1"/>
  <c r="A55" i="11" s="1"/>
  <c r="F49" i="11"/>
  <c r="E49" i="11"/>
  <c r="E40" i="11"/>
  <c r="F40" i="11" s="1"/>
  <c r="D38" i="11"/>
  <c r="D41" i="11" s="1"/>
  <c r="C38" i="11"/>
  <c r="C41" i="11"/>
  <c r="E37" i="11"/>
  <c r="F37" i="11" s="1"/>
  <c r="E36" i="11"/>
  <c r="F36" i="11" s="1"/>
  <c r="E33" i="11"/>
  <c r="F33" i="11" s="1"/>
  <c r="E32" i="11"/>
  <c r="F32" i="11" s="1"/>
  <c r="F31" i="11"/>
  <c r="E31" i="11"/>
  <c r="D29" i="11"/>
  <c r="E29" i="11"/>
  <c r="C29" i="11"/>
  <c r="F29" i="11" s="1"/>
  <c r="F28" i="11"/>
  <c r="E28" i="11"/>
  <c r="E27" i="11"/>
  <c r="F27" i="11" s="1"/>
  <c r="E26" i="11"/>
  <c r="F26" i="11" s="1"/>
  <c r="E25" i="11"/>
  <c r="F25" i="11" s="1"/>
  <c r="D22" i="11"/>
  <c r="D43" i="11"/>
  <c r="C22" i="11"/>
  <c r="C43" i="11" s="1"/>
  <c r="E21" i="11"/>
  <c r="F21" i="11" s="1"/>
  <c r="E20" i="11"/>
  <c r="F20" i="11" s="1"/>
  <c r="E19" i="11"/>
  <c r="F19" i="11" s="1"/>
  <c r="F18" i="11"/>
  <c r="E18" i="11"/>
  <c r="F17" i="11"/>
  <c r="E17" i="11"/>
  <c r="F16" i="11"/>
  <c r="E16" i="11"/>
  <c r="E15" i="11"/>
  <c r="F15" i="11" s="1"/>
  <c r="E14" i="11"/>
  <c r="F14" i="11" s="1"/>
  <c r="E13" i="11"/>
  <c r="F13" i="11" s="1"/>
  <c r="D120" i="10"/>
  <c r="E120" i="10" s="1"/>
  <c r="C120" i="10"/>
  <c r="D119" i="10"/>
  <c r="E119" i="10" s="1"/>
  <c r="C119" i="10"/>
  <c r="D118" i="10"/>
  <c r="C118" i="10"/>
  <c r="D117" i="10"/>
  <c r="E117" i="10"/>
  <c r="C117" i="10"/>
  <c r="D116" i="10"/>
  <c r="E116" i="10" s="1"/>
  <c r="C116" i="10"/>
  <c r="D115" i="10"/>
  <c r="E115" i="10" s="1"/>
  <c r="C115" i="10"/>
  <c r="D114" i="10"/>
  <c r="E114" i="10" s="1"/>
  <c r="C114" i="10"/>
  <c r="D113" i="10"/>
  <c r="D122" i="10" s="1"/>
  <c r="C113" i="10"/>
  <c r="D112" i="10"/>
  <c r="D121" i="10" s="1"/>
  <c r="C112" i="10"/>
  <c r="C121" i="10"/>
  <c r="D108" i="10"/>
  <c r="E108" i="10"/>
  <c r="F108" i="10" s="1"/>
  <c r="C108" i="10"/>
  <c r="D107" i="10"/>
  <c r="C107" i="10"/>
  <c r="E106" i="10"/>
  <c r="F106" i="10" s="1"/>
  <c r="F105" i="10"/>
  <c r="E105" i="10"/>
  <c r="E104" i="10"/>
  <c r="F104" i="10" s="1"/>
  <c r="E103" i="10"/>
  <c r="F103" i="10" s="1"/>
  <c r="E102" i="10"/>
  <c r="F102" i="10" s="1"/>
  <c r="F101" i="10"/>
  <c r="E101" i="10"/>
  <c r="E100" i="10"/>
  <c r="F100" i="10" s="1"/>
  <c r="F99" i="10"/>
  <c r="E99" i="10"/>
  <c r="E98" i="10"/>
  <c r="F98" i="10" s="1"/>
  <c r="D96" i="10"/>
  <c r="E96" i="10" s="1"/>
  <c r="C96" i="10"/>
  <c r="D95" i="10"/>
  <c r="C95" i="10"/>
  <c r="F94" i="10"/>
  <c r="E94" i="10"/>
  <c r="E93" i="10"/>
  <c r="F93" i="10" s="1"/>
  <c r="F92" i="10"/>
  <c r="E92" i="10"/>
  <c r="E91" i="10"/>
  <c r="F91" i="10" s="1"/>
  <c r="F90" i="10"/>
  <c r="E90" i="10"/>
  <c r="E89" i="10"/>
  <c r="F89" i="10" s="1"/>
  <c r="F88" i="10"/>
  <c r="E88" i="10"/>
  <c r="E87" i="10"/>
  <c r="F87" i="10" s="1"/>
  <c r="F86" i="10"/>
  <c r="E86" i="10"/>
  <c r="D84" i="10"/>
  <c r="E84" i="10"/>
  <c r="C84" i="10"/>
  <c r="F84" i="10" s="1"/>
  <c r="D83" i="10"/>
  <c r="E83" i="10" s="1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/>
  <c r="F60" i="10" s="1"/>
  <c r="C60" i="10"/>
  <c r="D59" i="10"/>
  <c r="E59" i="10"/>
  <c r="F59" i="10" s="1"/>
  <c r="C59" i="10"/>
  <c r="F58" i="10"/>
  <c r="E58" i="10"/>
  <c r="F57" i="10"/>
  <c r="E57" i="10"/>
  <c r="E56" i="10"/>
  <c r="F56" i="10" s="1"/>
  <c r="F55" i="10"/>
  <c r="E55" i="10"/>
  <c r="E54" i="10"/>
  <c r="F54" i="10" s="1"/>
  <c r="F53" i="10"/>
  <c r="E53" i="10"/>
  <c r="E52" i="10"/>
  <c r="F52" i="10" s="1"/>
  <c r="E51" i="10"/>
  <c r="F51" i="10" s="1"/>
  <c r="E50" i="10"/>
  <c r="F50" i="10" s="1"/>
  <c r="D48" i="10"/>
  <c r="C48" i="10"/>
  <c r="D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/>
  <c r="F36" i="10" s="1"/>
  <c r="C36" i="10"/>
  <c r="D35" i="10"/>
  <c r="E35" i="10"/>
  <c r="F35" i="10" s="1"/>
  <c r="C35" i="10"/>
  <c r="F34" i="10"/>
  <c r="E34" i="10"/>
  <c r="F33" i="10"/>
  <c r="E33" i="10"/>
  <c r="E32" i="10"/>
  <c r="F32" i="10" s="1"/>
  <c r="E31" i="10"/>
  <c r="F31" i="10" s="1"/>
  <c r="E30" i="10"/>
  <c r="F30" i="10" s="1"/>
  <c r="F29" i="10"/>
  <c r="E29" i="10"/>
  <c r="E28" i="10"/>
  <c r="F28" i="10" s="1"/>
  <c r="E27" i="10"/>
  <c r="F27" i="10" s="1"/>
  <c r="E26" i="10"/>
  <c r="F26" i="10" s="1"/>
  <c r="D24" i="10"/>
  <c r="C24" i="10"/>
  <c r="F24" i="10" s="1"/>
  <c r="D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E205" i="9"/>
  <c r="F205" i="9"/>
  <c r="C205" i="9"/>
  <c r="D204" i="9"/>
  <c r="E204" i="9"/>
  <c r="C204" i="9"/>
  <c r="D203" i="9"/>
  <c r="E203" i="9"/>
  <c r="C203" i="9"/>
  <c r="D202" i="9"/>
  <c r="E202" i="9"/>
  <c r="C202" i="9"/>
  <c r="D201" i="9"/>
  <c r="F201" i="9"/>
  <c r="C201" i="9"/>
  <c r="E201" i="9" s="1"/>
  <c r="D200" i="9"/>
  <c r="E200" i="9"/>
  <c r="C200" i="9"/>
  <c r="D199" i="9"/>
  <c r="D208" i="9"/>
  <c r="C199" i="9"/>
  <c r="D198" i="9"/>
  <c r="C198" i="9"/>
  <c r="F193" i="9"/>
  <c r="D193" i="9"/>
  <c r="E193" i="9" s="1"/>
  <c r="C193" i="9"/>
  <c r="D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E180" i="9" s="1"/>
  <c r="C180" i="9"/>
  <c r="F180" i="9" s="1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 s="1"/>
  <c r="C167" i="9"/>
  <c r="F167" i="9" s="1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F153" i="9"/>
  <c r="D153" i="9"/>
  <c r="E153" i="9" s="1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E140" i="9"/>
  <c r="F140" i="9" s="1"/>
  <c r="C140" i="9"/>
  <c r="F139" i="9"/>
  <c r="E139" i="9"/>
  <c r="E138" i="9"/>
  <c r="F138" i="9" s="1"/>
  <c r="F137" i="9"/>
  <c r="E137" i="9"/>
  <c r="F136" i="9"/>
  <c r="E136" i="9"/>
  <c r="F135" i="9"/>
  <c r="E135" i="9"/>
  <c r="E134" i="9"/>
  <c r="F134" i="9" s="1"/>
  <c r="F133" i="9"/>
  <c r="E133" i="9"/>
  <c r="F132" i="9"/>
  <c r="E132" i="9"/>
  <c r="F131" i="9"/>
  <c r="E131" i="9"/>
  <c r="D128" i="9"/>
  <c r="E128" i="9"/>
  <c r="F128" i="9"/>
  <c r="C128" i="9"/>
  <c r="D127" i="9"/>
  <c r="E127" i="9" s="1"/>
  <c r="F127" i="9" s="1"/>
  <c r="C127" i="9"/>
  <c r="E126" i="9"/>
  <c r="F126" i="9" s="1"/>
  <c r="F125" i="9"/>
  <c r="E125" i="9"/>
  <c r="F124" i="9"/>
  <c r="E124" i="9"/>
  <c r="F123" i="9"/>
  <c r="E123" i="9"/>
  <c r="E122" i="9"/>
  <c r="F122" i="9" s="1"/>
  <c r="F121" i="9"/>
  <c r="E121" i="9"/>
  <c r="F120" i="9"/>
  <c r="E120" i="9"/>
  <c r="F119" i="9"/>
  <c r="E119" i="9"/>
  <c r="E118" i="9"/>
  <c r="F118" i="9" s="1"/>
  <c r="F115" i="9"/>
  <c r="D115" i="9"/>
  <c r="E115" i="9" s="1"/>
  <c r="C115" i="9"/>
  <c r="D114" i="9"/>
  <c r="E114" i="9"/>
  <c r="C114" i="9"/>
  <c r="F114" i="9" s="1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 s="1"/>
  <c r="F102" i="9" s="1"/>
  <c r="C102" i="9"/>
  <c r="D101" i="9"/>
  <c r="E101" i="9" s="1"/>
  <c r="F101" i="9" s="1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E89" i="9" s="1"/>
  <c r="F89" i="9"/>
  <c r="C89" i="9"/>
  <c r="D88" i="9"/>
  <c r="E88" i="9" s="1"/>
  <c r="F88" i="9" s="1"/>
  <c r="C88" i="9"/>
  <c r="F87" i="9"/>
  <c r="E87" i="9"/>
  <c r="E86" i="9"/>
  <c r="F86" i="9" s="1"/>
  <c r="F85" i="9"/>
  <c r="E85" i="9"/>
  <c r="F84" i="9"/>
  <c r="E84" i="9"/>
  <c r="F83" i="9"/>
  <c r="E83" i="9"/>
  <c r="E82" i="9"/>
  <c r="F82" i="9" s="1"/>
  <c r="F81" i="9"/>
  <c r="E81" i="9"/>
  <c r="F80" i="9"/>
  <c r="E80" i="9"/>
  <c r="F79" i="9"/>
  <c r="E79" i="9"/>
  <c r="D76" i="9"/>
  <c r="E76" i="9"/>
  <c r="F76" i="9"/>
  <c r="C76" i="9"/>
  <c r="D75" i="9"/>
  <c r="E75" i="9" s="1"/>
  <c r="F75" i="9" s="1"/>
  <c r="C75" i="9"/>
  <c r="E74" i="9"/>
  <c r="F74" i="9" s="1"/>
  <c r="F73" i="9"/>
  <c r="E73" i="9"/>
  <c r="F72" i="9"/>
  <c r="E72" i="9"/>
  <c r="F71" i="9"/>
  <c r="E71" i="9"/>
  <c r="E70" i="9"/>
  <c r="F70" i="9" s="1"/>
  <c r="F69" i="9"/>
  <c r="E69" i="9"/>
  <c r="F68" i="9"/>
  <c r="E68" i="9"/>
  <c r="F67" i="9"/>
  <c r="E67" i="9"/>
  <c r="E66" i="9"/>
  <c r="F66" i="9" s="1"/>
  <c r="F63" i="9"/>
  <c r="D63" i="9"/>
  <c r="E63" i="9" s="1"/>
  <c r="C63" i="9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F50" i="9" s="1"/>
  <c r="C50" i="9"/>
  <c r="D49" i="9"/>
  <c r="E49" i="9" s="1"/>
  <c r="F49" i="9" s="1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D37" i="9"/>
  <c r="E37" i="9"/>
  <c r="C37" i="9"/>
  <c r="F37" i="9" s="1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 s="1"/>
  <c r="C24" i="9"/>
  <c r="D23" i="9"/>
  <c r="E23" i="9" s="1"/>
  <c r="F23" i="9" s="1"/>
  <c r="C23" i="9"/>
  <c r="F22" i="9"/>
  <c r="E22" i="9"/>
  <c r="F21" i="9"/>
  <c r="E21" i="9"/>
  <c r="F20" i="9"/>
  <c r="E20" i="9"/>
  <c r="F19" i="9"/>
  <c r="E19" i="9"/>
  <c r="E18" i="9"/>
  <c r="F18" i="9" s="1"/>
  <c r="F17" i="9"/>
  <c r="E17" i="9"/>
  <c r="F16" i="9"/>
  <c r="E16" i="9"/>
  <c r="F15" i="9"/>
  <c r="E15" i="9"/>
  <c r="E14" i="9"/>
  <c r="F14" i="9" s="1"/>
  <c r="E191" i="8"/>
  <c r="D191" i="8"/>
  <c r="C191" i="8"/>
  <c r="E176" i="8"/>
  <c r="D176" i="8"/>
  <c r="C176" i="8"/>
  <c r="E164" i="8"/>
  <c r="E160" i="8" s="1"/>
  <c r="D164" i="8"/>
  <c r="D160" i="8"/>
  <c r="D166" i="8" s="1"/>
  <c r="C164" i="8"/>
  <c r="E162" i="8"/>
  <c r="D162" i="8"/>
  <c r="C162" i="8"/>
  <c r="E161" i="8"/>
  <c r="D161" i="8"/>
  <c r="C161" i="8"/>
  <c r="C160" i="8"/>
  <c r="C166" i="8" s="1"/>
  <c r="E147" i="8"/>
  <c r="D147" i="8"/>
  <c r="D143" i="8"/>
  <c r="D149" i="8" s="1"/>
  <c r="C147" i="8"/>
  <c r="C143" i="8" s="1"/>
  <c r="E145" i="8"/>
  <c r="D145" i="8"/>
  <c r="C145" i="8"/>
  <c r="E144" i="8"/>
  <c r="D144" i="8"/>
  <c r="C144" i="8"/>
  <c r="E143" i="8"/>
  <c r="E149" i="8" s="1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 s="1"/>
  <c r="D106" i="8" s="1"/>
  <c r="C107" i="8"/>
  <c r="C109" i="8"/>
  <c r="C106" i="8" s="1"/>
  <c r="E104" i="8"/>
  <c r="C104" i="8"/>
  <c r="E102" i="8"/>
  <c r="D102" i="8"/>
  <c r="D104" i="8" s="1"/>
  <c r="C102" i="8"/>
  <c r="E100" i="8"/>
  <c r="D100" i="8"/>
  <c r="C100" i="8"/>
  <c r="E95" i="8"/>
  <c r="E94" i="8"/>
  <c r="D95" i="8"/>
  <c r="D94" i="8" s="1"/>
  <c r="C95" i="8"/>
  <c r="C94" i="8"/>
  <c r="E89" i="8"/>
  <c r="D89" i="8"/>
  <c r="C89" i="8"/>
  <c r="E87" i="8"/>
  <c r="D87" i="8"/>
  <c r="C87" i="8"/>
  <c r="E84" i="8"/>
  <c r="D84" i="8"/>
  <c r="C84" i="8"/>
  <c r="E83" i="8"/>
  <c r="E79" i="8"/>
  <c r="D83" i="8"/>
  <c r="D79" i="8" s="1"/>
  <c r="C83" i="8"/>
  <c r="C79" i="8" s="1"/>
  <c r="E75" i="8"/>
  <c r="D75" i="8"/>
  <c r="D88" i="8" s="1"/>
  <c r="D90" i="8" s="1"/>
  <c r="D86" i="8" s="1"/>
  <c r="C75" i="8"/>
  <c r="C88" i="8" s="1"/>
  <c r="E74" i="8"/>
  <c r="D74" i="8"/>
  <c r="C74" i="8"/>
  <c r="E67" i="8"/>
  <c r="D67" i="8"/>
  <c r="C67" i="8"/>
  <c r="E38" i="8"/>
  <c r="E57" i="8" s="1"/>
  <c r="E62" i="8" s="1"/>
  <c r="D38" i="8"/>
  <c r="D57" i="8" s="1"/>
  <c r="D62" i="8" s="1"/>
  <c r="C38" i="8"/>
  <c r="C57" i="8"/>
  <c r="C62" i="8"/>
  <c r="E33" i="8"/>
  <c r="E34" i="8"/>
  <c r="D33" i="8"/>
  <c r="D34" i="8"/>
  <c r="E26" i="8"/>
  <c r="D26" i="8"/>
  <c r="C26" i="8"/>
  <c r="C25" i="8"/>
  <c r="C27" i="8" s="1"/>
  <c r="E15" i="8"/>
  <c r="E13" i="8"/>
  <c r="E25" i="8" s="1"/>
  <c r="E27" i="8" s="1"/>
  <c r="D13" i="8"/>
  <c r="D25" i="8"/>
  <c r="D27" i="8"/>
  <c r="C13" i="8"/>
  <c r="C15" i="8" s="1"/>
  <c r="C24" i="8" s="1"/>
  <c r="F186" i="7"/>
  <c r="E186" i="7"/>
  <c r="D183" i="7"/>
  <c r="C183" i="7"/>
  <c r="E182" i="7"/>
  <c r="F182" i="7" s="1"/>
  <c r="E181" i="7"/>
  <c r="F181" i="7" s="1"/>
  <c r="E180" i="7"/>
  <c r="F180" i="7"/>
  <c r="E179" i="7"/>
  <c r="F179" i="7" s="1"/>
  <c r="F178" i="7"/>
  <c r="E178" i="7"/>
  <c r="E177" i="7"/>
  <c r="F177" i="7" s="1"/>
  <c r="E176" i="7"/>
  <c r="F176" i="7"/>
  <c r="E175" i="7"/>
  <c r="F175" i="7" s="1"/>
  <c r="E174" i="7"/>
  <c r="F174" i="7" s="1"/>
  <c r="E173" i="7"/>
  <c r="F173" i="7" s="1"/>
  <c r="F172" i="7"/>
  <c r="E172" i="7"/>
  <c r="E171" i="7"/>
  <c r="F171" i="7" s="1"/>
  <c r="E170" i="7"/>
  <c r="F170" i="7"/>
  <c r="D167" i="7"/>
  <c r="C167" i="7"/>
  <c r="E166" i="7"/>
  <c r="F166" i="7" s="1"/>
  <c r="F165" i="7"/>
  <c r="E165" i="7"/>
  <c r="E164" i="7"/>
  <c r="F164" i="7" s="1"/>
  <c r="E163" i="7"/>
  <c r="F163" i="7"/>
  <c r="E162" i="7"/>
  <c r="F162" i="7" s="1"/>
  <c r="F161" i="7"/>
  <c r="E161" i="7"/>
  <c r="E160" i="7"/>
  <c r="F160" i="7" s="1"/>
  <c r="E159" i="7"/>
  <c r="F159" i="7"/>
  <c r="F158" i="7"/>
  <c r="E158" i="7"/>
  <c r="E157" i="7"/>
  <c r="F157" i="7" s="1"/>
  <c r="E156" i="7"/>
  <c r="F156" i="7" s="1"/>
  <c r="E155" i="7"/>
  <c r="F155" i="7"/>
  <c r="F154" i="7"/>
  <c r="E154" i="7"/>
  <c r="F153" i="7"/>
  <c r="E153" i="7"/>
  <c r="E152" i="7"/>
  <c r="F152" i="7" s="1"/>
  <c r="E151" i="7"/>
  <c r="F151" i="7"/>
  <c r="E150" i="7"/>
  <c r="F150" i="7" s="1"/>
  <c r="F149" i="7"/>
  <c r="E149" i="7"/>
  <c r="E148" i="7"/>
  <c r="F148" i="7" s="1"/>
  <c r="E147" i="7"/>
  <c r="F147" i="7"/>
  <c r="E146" i="7"/>
  <c r="F146" i="7" s="1"/>
  <c r="E145" i="7"/>
  <c r="F145" i="7"/>
  <c r="E144" i="7"/>
  <c r="F144" i="7" s="1"/>
  <c r="E143" i="7"/>
  <c r="F143" i="7"/>
  <c r="E142" i="7"/>
  <c r="F142" i="7" s="1"/>
  <c r="E141" i="7"/>
  <c r="F141" i="7" s="1"/>
  <c r="E140" i="7"/>
  <c r="F140" i="7" s="1"/>
  <c r="E139" i="7"/>
  <c r="F139" i="7"/>
  <c r="E138" i="7"/>
  <c r="F138" i="7" s="1"/>
  <c r="E137" i="7"/>
  <c r="F137" i="7"/>
  <c r="E136" i="7"/>
  <c r="F136" i="7" s="1"/>
  <c r="E135" i="7"/>
  <c r="F135" i="7"/>
  <c r="E134" i="7"/>
  <c r="F134" i="7" s="1"/>
  <c r="E133" i="7"/>
  <c r="F133" i="7" s="1"/>
  <c r="D130" i="7"/>
  <c r="C130" i="7"/>
  <c r="E129" i="7"/>
  <c r="F129" i="7"/>
  <c r="E128" i="7"/>
  <c r="F128" i="7" s="1"/>
  <c r="E127" i="7"/>
  <c r="F127" i="7" s="1"/>
  <c r="E126" i="7"/>
  <c r="F126" i="7" s="1"/>
  <c r="E125" i="7"/>
  <c r="F125" i="7"/>
  <c r="E124" i="7"/>
  <c r="F124" i="7" s="1"/>
  <c r="D121" i="7"/>
  <c r="E121" i="7" s="1"/>
  <c r="F121" i="7" s="1"/>
  <c r="C121" i="7"/>
  <c r="E120" i="7"/>
  <c r="F120" i="7" s="1"/>
  <c r="E119" i="7"/>
  <c r="F119" i="7"/>
  <c r="E118" i="7"/>
  <c r="F118" i="7" s="1"/>
  <c r="E117" i="7"/>
  <c r="F117" i="7"/>
  <c r="E116" i="7"/>
  <c r="F116" i="7" s="1"/>
  <c r="E115" i="7"/>
  <c r="F115" i="7"/>
  <c r="E114" i="7"/>
  <c r="F114" i="7" s="1"/>
  <c r="E113" i="7"/>
  <c r="F113" i="7"/>
  <c r="E112" i="7"/>
  <c r="F112" i="7" s="1"/>
  <c r="F111" i="7"/>
  <c r="E111" i="7"/>
  <c r="E110" i="7"/>
  <c r="F110" i="7" s="1"/>
  <c r="E109" i="7"/>
  <c r="F109" i="7" s="1"/>
  <c r="F108" i="7"/>
  <c r="E108" i="7"/>
  <c r="E107" i="7"/>
  <c r="F107" i="7"/>
  <c r="E106" i="7"/>
  <c r="F106" i="7" s="1"/>
  <c r="E105" i="7"/>
  <c r="F105" i="7"/>
  <c r="E104" i="7"/>
  <c r="F104" i="7" s="1"/>
  <c r="E103" i="7"/>
  <c r="F103" i="7"/>
  <c r="E93" i="7"/>
  <c r="F93" i="7" s="1"/>
  <c r="D90" i="7"/>
  <c r="C90" i="7"/>
  <c r="E89" i="7"/>
  <c r="F89" i="7" s="1"/>
  <c r="E88" i="7"/>
  <c r="F88" i="7"/>
  <c r="E87" i="7"/>
  <c r="F87" i="7" s="1"/>
  <c r="E86" i="7"/>
  <c r="F86" i="7"/>
  <c r="E85" i="7"/>
  <c r="F85" i="7" s="1"/>
  <c r="E84" i="7"/>
  <c r="F84" i="7"/>
  <c r="E83" i="7"/>
  <c r="F83" i="7" s="1"/>
  <c r="E82" i="7"/>
  <c r="F82" i="7" s="1"/>
  <c r="E81" i="7"/>
  <c r="F81" i="7" s="1"/>
  <c r="E80" i="7"/>
  <c r="F80" i="7"/>
  <c r="E79" i="7"/>
  <c r="F79" i="7" s="1"/>
  <c r="E78" i="7"/>
  <c r="F78" i="7"/>
  <c r="E77" i="7"/>
  <c r="F77" i="7" s="1"/>
  <c r="E76" i="7"/>
  <c r="F76" i="7"/>
  <c r="E75" i="7"/>
  <c r="F75" i="7" s="1"/>
  <c r="E74" i="7"/>
  <c r="F74" i="7"/>
  <c r="E73" i="7"/>
  <c r="F73" i="7" s="1"/>
  <c r="E72" i="7"/>
  <c r="F72" i="7"/>
  <c r="E71" i="7"/>
  <c r="F71" i="7" s="1"/>
  <c r="E70" i="7"/>
  <c r="F70" i="7"/>
  <c r="E69" i="7"/>
  <c r="F69" i="7" s="1"/>
  <c r="E68" i="7"/>
  <c r="F68" i="7"/>
  <c r="E67" i="7"/>
  <c r="F67" i="7" s="1"/>
  <c r="E66" i="7"/>
  <c r="F66" i="7" s="1"/>
  <c r="E65" i="7"/>
  <c r="F65" i="7" s="1"/>
  <c r="E64" i="7"/>
  <c r="F64" i="7"/>
  <c r="E63" i="7"/>
  <c r="F63" i="7" s="1"/>
  <c r="E62" i="7"/>
  <c r="F62" i="7"/>
  <c r="D59" i="7"/>
  <c r="C59" i="7"/>
  <c r="E58" i="7"/>
  <c r="F58" i="7"/>
  <c r="E57" i="7"/>
  <c r="F57" i="7" s="1"/>
  <c r="E56" i="7"/>
  <c r="F56" i="7" s="1"/>
  <c r="E55" i="7"/>
  <c r="F55" i="7" s="1"/>
  <c r="E54" i="7"/>
  <c r="F54" i="7"/>
  <c r="E53" i="7"/>
  <c r="F53" i="7" s="1"/>
  <c r="E50" i="7"/>
  <c r="F50" i="7" s="1"/>
  <c r="E47" i="7"/>
  <c r="F47" i="7" s="1"/>
  <c r="E44" i="7"/>
  <c r="F44" i="7"/>
  <c r="D41" i="7"/>
  <c r="C41" i="7"/>
  <c r="F40" i="7"/>
  <c r="E40" i="7"/>
  <c r="E39" i="7"/>
  <c r="F39" i="7" s="1"/>
  <c r="E38" i="7"/>
  <c r="F38" i="7"/>
  <c r="D35" i="7"/>
  <c r="C35" i="7"/>
  <c r="E34" i="7"/>
  <c r="F34" i="7"/>
  <c r="E33" i="7"/>
  <c r="F33" i="7" s="1"/>
  <c r="D30" i="7"/>
  <c r="C30" i="7"/>
  <c r="E30" i="7" s="1"/>
  <c r="E29" i="7"/>
  <c r="F29" i="7"/>
  <c r="E28" i="7"/>
  <c r="F28" i="7"/>
  <c r="E27" i="7"/>
  <c r="F27" i="7"/>
  <c r="D24" i="7"/>
  <c r="E24" i="7" s="1"/>
  <c r="C24" i="7"/>
  <c r="E23" i="7"/>
  <c r="F23" i="7"/>
  <c r="E22" i="7"/>
  <c r="F22" i="7" s="1"/>
  <c r="E21" i="7"/>
  <c r="F21" i="7"/>
  <c r="D18" i="7"/>
  <c r="C18" i="7"/>
  <c r="E17" i="7"/>
  <c r="F17" i="7" s="1"/>
  <c r="E16" i="7"/>
  <c r="F16" i="7" s="1"/>
  <c r="E15" i="7"/>
  <c r="F15" i="7"/>
  <c r="D179" i="6"/>
  <c r="C179" i="6"/>
  <c r="F178" i="6"/>
  <c r="E178" i="6"/>
  <c r="F177" i="6"/>
  <c r="E177" i="6"/>
  <c r="F176" i="6"/>
  <c r="E176" i="6"/>
  <c r="F175" i="6"/>
  <c r="E175" i="6"/>
  <c r="F174" i="6"/>
  <c r="E174" i="6"/>
  <c r="E173" i="6"/>
  <c r="F173" i="6" s="1"/>
  <c r="F172" i="6"/>
  <c r="E172" i="6"/>
  <c r="E171" i="6"/>
  <c r="F171" i="6" s="1"/>
  <c r="F170" i="6"/>
  <c r="E170" i="6"/>
  <c r="E169" i="6"/>
  <c r="F169" i="6" s="1"/>
  <c r="F168" i="6"/>
  <c r="E168" i="6"/>
  <c r="D166" i="6"/>
  <c r="E166" i="6"/>
  <c r="F166" i="6"/>
  <c r="C166" i="6"/>
  <c r="E165" i="6"/>
  <c r="F165" i="6" s="1"/>
  <c r="F164" i="6"/>
  <c r="E164" i="6"/>
  <c r="E163" i="6"/>
  <c r="F163" i="6" s="1"/>
  <c r="F162" i="6"/>
  <c r="E162" i="6"/>
  <c r="E161" i="6"/>
  <c r="F161" i="6" s="1"/>
  <c r="F160" i="6"/>
  <c r="E160" i="6"/>
  <c r="F159" i="6"/>
  <c r="E159" i="6"/>
  <c r="F158" i="6"/>
  <c r="E158" i="6"/>
  <c r="E157" i="6"/>
  <c r="F157" i="6" s="1"/>
  <c r="F156" i="6"/>
  <c r="E156" i="6"/>
  <c r="E155" i="6"/>
  <c r="F155" i="6" s="1"/>
  <c r="D153" i="6"/>
  <c r="E153" i="6" s="1"/>
  <c r="C153" i="6"/>
  <c r="F152" i="6"/>
  <c r="E152" i="6"/>
  <c r="F151" i="6"/>
  <c r="E151" i="6"/>
  <c r="F150" i="6"/>
  <c r="E150" i="6"/>
  <c r="E149" i="6"/>
  <c r="F149" i="6" s="1"/>
  <c r="F148" i="6"/>
  <c r="E148" i="6"/>
  <c r="E147" i="6"/>
  <c r="F147" i="6" s="1"/>
  <c r="F146" i="6"/>
  <c r="E146" i="6"/>
  <c r="E145" i="6"/>
  <c r="F145" i="6" s="1"/>
  <c r="F144" i="6"/>
  <c r="E144" i="6"/>
  <c r="E143" i="6"/>
  <c r="F143" i="6" s="1"/>
  <c r="F142" i="6"/>
  <c r="E142" i="6"/>
  <c r="D137" i="6"/>
  <c r="E137" i="6"/>
  <c r="F137" i="6" s="1"/>
  <c r="C137" i="6"/>
  <c r="F136" i="6"/>
  <c r="E136" i="6"/>
  <c r="F135" i="6"/>
  <c r="E135" i="6"/>
  <c r="E134" i="6"/>
  <c r="F134" i="6" s="1"/>
  <c r="F133" i="6"/>
  <c r="E133" i="6"/>
  <c r="E132" i="6"/>
  <c r="F132" i="6" s="1"/>
  <c r="F131" i="6"/>
  <c r="E131" i="6"/>
  <c r="E130" i="6"/>
  <c r="F130" i="6" s="1"/>
  <c r="F129" i="6"/>
  <c r="E129" i="6"/>
  <c r="F128" i="6"/>
  <c r="E128" i="6"/>
  <c r="F127" i="6"/>
  <c r="E127" i="6"/>
  <c r="E126" i="6"/>
  <c r="F126" i="6" s="1"/>
  <c r="D124" i="6"/>
  <c r="E124" i="6" s="1"/>
  <c r="F124" i="6"/>
  <c r="C124" i="6"/>
  <c r="F123" i="6"/>
  <c r="E123" i="6"/>
  <c r="F122" i="6"/>
  <c r="E122" i="6"/>
  <c r="F121" i="6"/>
  <c r="E121" i="6"/>
  <c r="F120" i="6"/>
  <c r="E120" i="6"/>
  <c r="F119" i="6"/>
  <c r="E119" i="6"/>
  <c r="E118" i="6"/>
  <c r="F118" i="6" s="1"/>
  <c r="F117" i="6"/>
  <c r="E117" i="6"/>
  <c r="E116" i="6"/>
  <c r="F116" i="6" s="1"/>
  <c r="F115" i="6"/>
  <c r="E115" i="6"/>
  <c r="E114" i="6"/>
  <c r="F114" i="6" s="1"/>
  <c r="F113" i="6"/>
  <c r="E113" i="6"/>
  <c r="D111" i="6"/>
  <c r="E111" i="6"/>
  <c r="F111" i="6"/>
  <c r="C111" i="6"/>
  <c r="E110" i="6"/>
  <c r="F110" i="6" s="1"/>
  <c r="F109" i="6"/>
  <c r="E109" i="6"/>
  <c r="E108" i="6"/>
  <c r="F108" i="6" s="1"/>
  <c r="F107" i="6"/>
  <c r="E107" i="6"/>
  <c r="E106" i="6"/>
  <c r="F106" i="6" s="1"/>
  <c r="F105" i="6"/>
  <c r="E105" i="6"/>
  <c r="F104" i="6"/>
  <c r="E104" i="6"/>
  <c r="F103" i="6"/>
  <c r="E103" i="6"/>
  <c r="E102" i="6"/>
  <c r="F102" i="6" s="1"/>
  <c r="F101" i="6"/>
  <c r="E101" i="6"/>
  <c r="E100" i="6"/>
  <c r="F100" i="6" s="1"/>
  <c r="D94" i="6"/>
  <c r="E94" i="6" s="1"/>
  <c r="C94" i="6"/>
  <c r="F94" i="6" s="1"/>
  <c r="D93" i="6"/>
  <c r="E93" i="6"/>
  <c r="C93" i="6"/>
  <c r="F93" i="6" s="1"/>
  <c r="D92" i="6"/>
  <c r="E92" i="6" s="1"/>
  <c r="C92" i="6"/>
  <c r="D91" i="6"/>
  <c r="C91" i="6"/>
  <c r="D90" i="6"/>
  <c r="E90" i="6" s="1"/>
  <c r="C90" i="6"/>
  <c r="D89" i="6"/>
  <c r="E89" i="6" s="1"/>
  <c r="F89" i="6"/>
  <c r="C89" i="6"/>
  <c r="D88" i="6"/>
  <c r="E88" i="6" s="1"/>
  <c r="C88" i="6"/>
  <c r="D87" i="6"/>
  <c r="E87" i="6" s="1"/>
  <c r="F87" i="6" s="1"/>
  <c r="C87" i="6"/>
  <c r="D86" i="6"/>
  <c r="E86" i="6" s="1"/>
  <c r="C86" i="6"/>
  <c r="F86" i="6" s="1"/>
  <c r="D85" i="6"/>
  <c r="E85" i="6" s="1"/>
  <c r="F85" i="6"/>
  <c r="C85" i="6"/>
  <c r="D84" i="6"/>
  <c r="D95" i="6" s="1"/>
  <c r="C84" i="6"/>
  <c r="D81" i="6"/>
  <c r="E81" i="6" s="1"/>
  <c r="C81" i="6"/>
  <c r="F80" i="6"/>
  <c r="E80" i="6"/>
  <c r="F79" i="6"/>
  <c r="E79" i="6"/>
  <c r="F78" i="6"/>
  <c r="E78" i="6"/>
  <c r="E77" i="6"/>
  <c r="F77" i="6" s="1"/>
  <c r="F76" i="6"/>
  <c r="E76" i="6"/>
  <c r="E75" i="6"/>
  <c r="F75" i="6" s="1"/>
  <c r="F74" i="6"/>
  <c r="E74" i="6"/>
  <c r="F73" i="6"/>
  <c r="E73" i="6"/>
  <c r="F72" i="6"/>
  <c r="E72" i="6"/>
  <c r="E71" i="6"/>
  <c r="F71" i="6" s="1"/>
  <c r="F70" i="6"/>
  <c r="E70" i="6"/>
  <c r="D68" i="6"/>
  <c r="E68" i="6" s="1"/>
  <c r="F68" i="6" s="1"/>
  <c r="C68" i="6"/>
  <c r="E67" i="6"/>
  <c r="F67" i="6" s="1"/>
  <c r="F66" i="6"/>
  <c r="E66" i="6"/>
  <c r="E65" i="6"/>
  <c r="F65" i="6" s="1"/>
  <c r="F64" i="6"/>
  <c r="E64" i="6"/>
  <c r="E63" i="6"/>
  <c r="F63" i="6" s="1"/>
  <c r="F62" i="6"/>
  <c r="E62" i="6"/>
  <c r="E61" i="6"/>
  <c r="F61" i="6" s="1"/>
  <c r="F60" i="6"/>
  <c r="E60" i="6"/>
  <c r="E59" i="6"/>
  <c r="F59" i="6" s="1"/>
  <c r="F58" i="6"/>
  <c r="E58" i="6"/>
  <c r="F57" i="6"/>
  <c r="E57" i="6"/>
  <c r="D51" i="6"/>
  <c r="E51" i="6" s="1"/>
  <c r="C51" i="6"/>
  <c r="F51" i="6" s="1"/>
  <c r="D50" i="6"/>
  <c r="C50" i="6"/>
  <c r="F50" i="6" s="1"/>
  <c r="D49" i="6"/>
  <c r="E49" i="6" s="1"/>
  <c r="C49" i="6"/>
  <c r="D48" i="6"/>
  <c r="C48" i="6"/>
  <c r="D47" i="6"/>
  <c r="E47" i="6" s="1"/>
  <c r="C47" i="6"/>
  <c r="D46" i="6"/>
  <c r="E46" i="6" s="1"/>
  <c r="F46" i="6" s="1"/>
  <c r="C46" i="6"/>
  <c r="D45" i="6"/>
  <c r="E45" i="6" s="1"/>
  <c r="C45" i="6"/>
  <c r="F45" i="6" s="1"/>
  <c r="D44" i="6"/>
  <c r="E44" i="6" s="1"/>
  <c r="F44" i="6"/>
  <c r="C44" i="6"/>
  <c r="D43" i="6"/>
  <c r="E43" i="6" s="1"/>
  <c r="C43" i="6"/>
  <c r="D42" i="6"/>
  <c r="C42" i="6"/>
  <c r="D41" i="6"/>
  <c r="C41" i="6"/>
  <c r="D38" i="6"/>
  <c r="E38" i="6"/>
  <c r="F38" i="6" s="1"/>
  <c r="C38" i="6"/>
  <c r="E37" i="6"/>
  <c r="F37" i="6" s="1"/>
  <c r="F36" i="6"/>
  <c r="E36" i="6"/>
  <c r="E35" i="6"/>
  <c r="F35" i="6" s="1"/>
  <c r="E34" i="6"/>
  <c r="F34" i="6" s="1"/>
  <c r="F33" i="6"/>
  <c r="E33" i="6"/>
  <c r="F32" i="6"/>
  <c r="E32" i="6"/>
  <c r="E31" i="6"/>
  <c r="F31" i="6" s="1"/>
  <c r="F30" i="6"/>
  <c r="E30" i="6"/>
  <c r="F29" i="6"/>
  <c r="E29" i="6"/>
  <c r="F28" i="6"/>
  <c r="E28" i="6"/>
  <c r="E27" i="6"/>
  <c r="F27" i="6" s="1"/>
  <c r="D25" i="6"/>
  <c r="E25" i="6" s="1"/>
  <c r="C25" i="6"/>
  <c r="F24" i="6"/>
  <c r="E24" i="6"/>
  <c r="F23" i="6"/>
  <c r="E23" i="6"/>
  <c r="F22" i="6"/>
  <c r="E22" i="6"/>
  <c r="E21" i="6"/>
  <c r="F21" i="6" s="1"/>
  <c r="E20" i="6"/>
  <c r="F20" i="6" s="1"/>
  <c r="E19" i="6"/>
  <c r="F19" i="6" s="1"/>
  <c r="F18" i="6"/>
  <c r="E18" i="6"/>
  <c r="E17" i="6"/>
  <c r="F17" i="6" s="1"/>
  <c r="F16" i="6"/>
  <c r="E16" i="6"/>
  <c r="E15" i="6"/>
  <c r="F15" i="6" s="1"/>
  <c r="F14" i="6"/>
  <c r="E14" i="6"/>
  <c r="E51" i="5"/>
  <c r="F51" i="5" s="1"/>
  <c r="D48" i="5"/>
  <c r="E48" i="5"/>
  <c r="F48" i="5" s="1"/>
  <c r="C48" i="5"/>
  <c r="E47" i="5"/>
  <c r="F47" i="5" s="1"/>
  <c r="F46" i="5"/>
  <c r="E46" i="5"/>
  <c r="D41" i="5"/>
  <c r="C41" i="5"/>
  <c r="E40" i="5"/>
  <c r="F40" i="5" s="1"/>
  <c r="F39" i="5"/>
  <c r="E39" i="5"/>
  <c r="E38" i="5"/>
  <c r="F38" i="5"/>
  <c r="D33" i="5"/>
  <c r="C33" i="5"/>
  <c r="E32" i="5"/>
  <c r="F32" i="5"/>
  <c r="E31" i="5"/>
  <c r="F31" i="5" s="1"/>
  <c r="E30" i="5"/>
  <c r="F30" i="5" s="1"/>
  <c r="E29" i="5"/>
  <c r="F29" i="5"/>
  <c r="E28" i="5"/>
  <c r="F28" i="5"/>
  <c r="E27" i="5"/>
  <c r="F27" i="5" s="1"/>
  <c r="E26" i="5"/>
  <c r="F26" i="5"/>
  <c r="E25" i="5"/>
  <c r="F25" i="5"/>
  <c r="E24" i="5"/>
  <c r="F24" i="5"/>
  <c r="E20" i="5"/>
  <c r="F20" i="5" s="1"/>
  <c r="E19" i="5"/>
  <c r="F19" i="5" s="1"/>
  <c r="F17" i="5"/>
  <c r="E17" i="5"/>
  <c r="D16" i="5"/>
  <c r="D18" i="5" s="1"/>
  <c r="D21" i="5" s="1"/>
  <c r="C16" i="5"/>
  <c r="E15" i="5"/>
  <c r="F15" i="5"/>
  <c r="E14" i="5"/>
  <c r="F14" i="5" s="1"/>
  <c r="E13" i="5"/>
  <c r="F13" i="5" s="1"/>
  <c r="E12" i="5"/>
  <c r="F12" i="5" s="1"/>
  <c r="D73" i="4"/>
  <c r="E73" i="4"/>
  <c r="C73" i="4"/>
  <c r="E72" i="4"/>
  <c r="F72" i="4" s="1"/>
  <c r="E71" i="4"/>
  <c r="F71" i="4" s="1"/>
  <c r="F70" i="4"/>
  <c r="E70" i="4"/>
  <c r="F67" i="4"/>
  <c r="E67" i="4"/>
  <c r="E64" i="4"/>
  <c r="F64" i="4" s="1"/>
  <c r="F63" i="4"/>
  <c r="E63" i="4"/>
  <c r="D61" i="4"/>
  <c r="D65" i="4" s="1"/>
  <c r="E65" i="4" s="1"/>
  <c r="F65" i="4" s="1"/>
  <c r="C61" i="4"/>
  <c r="C65" i="4" s="1"/>
  <c r="F60" i="4"/>
  <c r="E60" i="4"/>
  <c r="F59" i="4"/>
  <c r="E59" i="4"/>
  <c r="D56" i="4"/>
  <c r="D75" i="4"/>
  <c r="C56" i="4"/>
  <c r="E55" i="4"/>
  <c r="F55" i="4" s="1"/>
  <c r="F54" i="4"/>
  <c r="E54" i="4"/>
  <c r="F53" i="4"/>
  <c r="E53" i="4"/>
  <c r="F52" i="4"/>
  <c r="E52" i="4"/>
  <c r="E51" i="4"/>
  <c r="F51" i="4" s="1"/>
  <c r="A53" i="4"/>
  <c r="A54" i="4" s="1"/>
  <c r="A55" i="4" s="1"/>
  <c r="E50" i="4"/>
  <c r="F50" i="4" s="1"/>
  <c r="A50" i="4"/>
  <c r="A51" i="4" s="1"/>
  <c r="A52" i="4" s="1"/>
  <c r="F49" i="4"/>
  <c r="E49" i="4"/>
  <c r="E40" i="4"/>
  <c r="F40" i="4" s="1"/>
  <c r="D38" i="4"/>
  <c r="D41" i="4"/>
  <c r="C38" i="4"/>
  <c r="C41" i="4" s="1"/>
  <c r="E37" i="4"/>
  <c r="F37" i="4" s="1"/>
  <c r="F36" i="4"/>
  <c r="E36" i="4"/>
  <c r="E33" i="4"/>
  <c r="F33" i="4" s="1"/>
  <c r="F32" i="4"/>
  <c r="E32" i="4"/>
  <c r="F31" i="4"/>
  <c r="E31" i="4"/>
  <c r="D29" i="4"/>
  <c r="D43" i="4" s="1"/>
  <c r="C29" i="4"/>
  <c r="F28" i="4"/>
  <c r="E28" i="4"/>
  <c r="E27" i="4"/>
  <c r="F27" i="4" s="1"/>
  <c r="E26" i="4"/>
  <c r="F26" i="4" s="1"/>
  <c r="F25" i="4"/>
  <c r="E25" i="4"/>
  <c r="D22" i="4"/>
  <c r="C22" i="4"/>
  <c r="E21" i="4"/>
  <c r="F21" i="4" s="1"/>
  <c r="E20" i="4"/>
  <c r="F20" i="4" s="1"/>
  <c r="E19" i="4"/>
  <c r="F19" i="4" s="1"/>
  <c r="F18" i="4"/>
  <c r="E18" i="4"/>
  <c r="F17" i="4"/>
  <c r="E17" i="4"/>
  <c r="F16" i="4"/>
  <c r="E16" i="4"/>
  <c r="E15" i="4"/>
  <c r="F15" i="4" s="1"/>
  <c r="F14" i="4"/>
  <c r="E14" i="4"/>
  <c r="E13" i="4"/>
  <c r="F13" i="4" s="1"/>
  <c r="D108" i="22"/>
  <c r="D109" i="22"/>
  <c r="C109" i="22"/>
  <c r="C108" i="22"/>
  <c r="D22" i="22"/>
  <c r="C23" i="22"/>
  <c r="E23" i="22"/>
  <c r="D33" i="22"/>
  <c r="C34" i="22"/>
  <c r="E34" i="22"/>
  <c r="D101" i="22"/>
  <c r="D103" i="22" s="1"/>
  <c r="C102" i="22"/>
  <c r="C103" i="22" s="1"/>
  <c r="E102" i="22"/>
  <c r="C22" i="22"/>
  <c r="E22" i="22"/>
  <c r="D23" i="22"/>
  <c r="D192" i="17"/>
  <c r="D41" i="20"/>
  <c r="E20" i="20"/>
  <c r="F20" i="20" s="1"/>
  <c r="E16" i="20"/>
  <c r="F16" i="20"/>
  <c r="E19" i="20"/>
  <c r="F19" i="20"/>
  <c r="C20" i="20"/>
  <c r="E25" i="20"/>
  <c r="F25" i="20"/>
  <c r="E36" i="20"/>
  <c r="F36" i="20"/>
  <c r="C39" i="20"/>
  <c r="C40" i="20"/>
  <c r="E43" i="20"/>
  <c r="E44" i="20"/>
  <c r="F44" i="20" s="1"/>
  <c r="E45" i="20"/>
  <c r="E46" i="20" s="1"/>
  <c r="C46" i="20"/>
  <c r="F46" i="20" s="1"/>
  <c r="E77" i="17"/>
  <c r="C49" i="19"/>
  <c r="D258" i="18"/>
  <c r="D100" i="18"/>
  <c r="D98" i="18"/>
  <c r="D96" i="18"/>
  <c r="D89" i="18"/>
  <c r="D87" i="18"/>
  <c r="D85" i="18"/>
  <c r="D83" i="18"/>
  <c r="D101" i="18"/>
  <c r="D99" i="18"/>
  <c r="D97" i="18"/>
  <c r="D102" i="18" s="1"/>
  <c r="D95" i="18"/>
  <c r="D88" i="18"/>
  <c r="D86" i="18"/>
  <c r="D84" i="18"/>
  <c r="E43" i="18"/>
  <c r="D22" i="18"/>
  <c r="C33" i="18"/>
  <c r="C295" i="18" s="1"/>
  <c r="E37" i="18"/>
  <c r="D55" i="18"/>
  <c r="D235" i="18" s="1"/>
  <c r="E55" i="18"/>
  <c r="E54" i="18"/>
  <c r="D289" i="18"/>
  <c r="E289" i="18" s="1"/>
  <c r="D71" i="18"/>
  <c r="E71" i="18" s="1"/>
  <c r="D65" i="18"/>
  <c r="E60" i="18"/>
  <c r="C77" i="18"/>
  <c r="E69" i="18"/>
  <c r="E70" i="18"/>
  <c r="D199" i="17"/>
  <c r="E32" i="18"/>
  <c r="E36" i="18"/>
  <c r="E139" i="18"/>
  <c r="D144" i="18"/>
  <c r="C145" i="18"/>
  <c r="C169" i="18" s="1"/>
  <c r="C156" i="18"/>
  <c r="C157" i="18"/>
  <c r="E157" i="18" s="1"/>
  <c r="C163" i="18"/>
  <c r="E163" i="18" s="1"/>
  <c r="D175" i="18"/>
  <c r="C180" i="18"/>
  <c r="E189" i="18"/>
  <c r="C229" i="18"/>
  <c r="E229" i="18" s="1"/>
  <c r="C210" i="18"/>
  <c r="E205" i="18"/>
  <c r="E243" i="18"/>
  <c r="E244" i="18"/>
  <c r="E245" i="18"/>
  <c r="D252" i="18"/>
  <c r="D253" i="18"/>
  <c r="E302" i="18"/>
  <c r="C303" i="18"/>
  <c r="C261" i="18"/>
  <c r="C189" i="18"/>
  <c r="E188" i="18"/>
  <c r="D260" i="18"/>
  <c r="E195" i="18"/>
  <c r="D234" i="18"/>
  <c r="E234" i="18" s="1"/>
  <c r="D211" i="18"/>
  <c r="E210" i="18"/>
  <c r="C253" i="18"/>
  <c r="D306" i="18"/>
  <c r="E326" i="18"/>
  <c r="D330" i="18"/>
  <c r="E330" i="18"/>
  <c r="E215" i="18"/>
  <c r="C217" i="18"/>
  <c r="C241" i="18" s="1"/>
  <c r="E219" i="18"/>
  <c r="E221" i="18"/>
  <c r="D222" i="18"/>
  <c r="D223" i="18" s="1"/>
  <c r="C252" i="18"/>
  <c r="C254" i="18" s="1"/>
  <c r="E265" i="18"/>
  <c r="E216" i="18"/>
  <c r="E218" i="18"/>
  <c r="E220" i="18"/>
  <c r="C222" i="18"/>
  <c r="C246" i="18"/>
  <c r="E233" i="18"/>
  <c r="E324" i="18"/>
  <c r="C32" i="17"/>
  <c r="C90" i="17"/>
  <c r="C61" i="17"/>
  <c r="D21" i="17"/>
  <c r="D48" i="17"/>
  <c r="D60" i="17"/>
  <c r="E66" i="17"/>
  <c r="F66" i="17" s="1"/>
  <c r="C68" i="17"/>
  <c r="E68" i="17" s="1"/>
  <c r="E76" i="17"/>
  <c r="F76" i="17"/>
  <c r="D111" i="17"/>
  <c r="E111" i="17" s="1"/>
  <c r="F111" i="17" s="1"/>
  <c r="E109" i="17"/>
  <c r="F109" i="17"/>
  <c r="C194" i="17"/>
  <c r="C138" i="17"/>
  <c r="F181" i="17"/>
  <c r="E227" i="17"/>
  <c r="F227" i="17" s="1"/>
  <c r="D31" i="17"/>
  <c r="D37" i="17"/>
  <c r="C282" i="17"/>
  <c r="C266" i="17"/>
  <c r="E20" i="17"/>
  <c r="F20" i="17"/>
  <c r="C21" i="17"/>
  <c r="C37" i="17"/>
  <c r="E67" i="17"/>
  <c r="F67" i="17"/>
  <c r="D89" i="17"/>
  <c r="E89" i="17" s="1"/>
  <c r="F89" i="17" s="1"/>
  <c r="D102" i="17"/>
  <c r="E102" i="17" s="1"/>
  <c r="F102" i="17" s="1"/>
  <c r="D207" i="17"/>
  <c r="D208" i="17" s="1"/>
  <c r="D138" i="17"/>
  <c r="E138" i="17" s="1"/>
  <c r="E137" i="17"/>
  <c r="F137" i="17" s="1"/>
  <c r="D173" i="17"/>
  <c r="E172" i="17"/>
  <c r="F172" i="17"/>
  <c r="E278" i="17"/>
  <c r="F278" i="17" s="1"/>
  <c r="D288" i="17"/>
  <c r="D286" i="17"/>
  <c r="E123" i="17"/>
  <c r="F123" i="17" s="1"/>
  <c r="C124" i="17"/>
  <c r="E136" i="17"/>
  <c r="F136" i="17"/>
  <c r="E158" i="17"/>
  <c r="F158" i="17" s="1"/>
  <c r="E171" i="17"/>
  <c r="F171" i="17"/>
  <c r="E179" i="17"/>
  <c r="F179" i="17" s="1"/>
  <c r="C279" i="17"/>
  <c r="E189" i="17"/>
  <c r="F189" i="17" s="1"/>
  <c r="C190" i="17"/>
  <c r="E191" i="17"/>
  <c r="F191" i="17"/>
  <c r="C192" i="17"/>
  <c r="C290" i="17"/>
  <c r="C274" i="17"/>
  <c r="E198" i="17"/>
  <c r="F198" i="17" s="1"/>
  <c r="C199" i="17"/>
  <c r="C200" i="17"/>
  <c r="C283" i="17"/>
  <c r="C286" i="17" s="1"/>
  <c r="C267" i="17"/>
  <c r="E203" i="17"/>
  <c r="F203" i="17"/>
  <c r="C285" i="17"/>
  <c r="E285" i="17" s="1"/>
  <c r="C269" i="17"/>
  <c r="E204" i="17"/>
  <c r="F204" i="17"/>
  <c r="C205" i="17"/>
  <c r="C206" i="17"/>
  <c r="C214" i="17"/>
  <c r="C215" i="17"/>
  <c r="E223" i="17"/>
  <c r="F223" i="17" s="1"/>
  <c r="E230" i="17"/>
  <c r="F230" i="17"/>
  <c r="E238" i="17"/>
  <c r="F238" i="17"/>
  <c r="C254" i="17"/>
  <c r="C255" i="17"/>
  <c r="C261" i="17"/>
  <c r="C262" i="17"/>
  <c r="C264" i="17"/>
  <c r="D274" i="17"/>
  <c r="D280" i="17"/>
  <c r="E280" i="17" s="1"/>
  <c r="D290" i="17"/>
  <c r="E290" i="17" s="1"/>
  <c r="F290" i="17" s="1"/>
  <c r="D124" i="17"/>
  <c r="E124" i="17" s="1"/>
  <c r="F124" i="17" s="1"/>
  <c r="D261" i="17"/>
  <c r="D214" i="17"/>
  <c r="D206" i="17"/>
  <c r="D262" i="17"/>
  <c r="D215" i="17"/>
  <c r="D190" i="17"/>
  <c r="E190" i="17" s="1"/>
  <c r="F190" i="17" s="1"/>
  <c r="D193" i="17"/>
  <c r="D266" i="17"/>
  <c r="D200" i="17"/>
  <c r="E200" i="17" s="1"/>
  <c r="F200" i="17" s="1"/>
  <c r="D205" i="17"/>
  <c r="E226" i="17"/>
  <c r="F226" i="17" s="1"/>
  <c r="E229" i="17"/>
  <c r="F229" i="17" s="1"/>
  <c r="E237" i="17"/>
  <c r="F237" i="17"/>
  <c r="C239" i="17"/>
  <c r="C306" i="17"/>
  <c r="E250" i="17"/>
  <c r="F250" i="17" s="1"/>
  <c r="E264" i="17"/>
  <c r="D267" i="17"/>
  <c r="D269" i="17"/>
  <c r="E269" i="17"/>
  <c r="F269" i="17" s="1"/>
  <c r="D277" i="17"/>
  <c r="E277" i="17" s="1"/>
  <c r="F277" i="17" s="1"/>
  <c r="E306" i="17"/>
  <c r="F23" i="16"/>
  <c r="F36" i="14"/>
  <c r="F38" i="14"/>
  <c r="F40" i="14" s="1"/>
  <c r="I31" i="14"/>
  <c r="I17" i="14"/>
  <c r="D31" i="14"/>
  <c r="F31" i="14"/>
  <c r="C33" i="14"/>
  <c r="C36" i="14"/>
  <c r="C38" i="14" s="1"/>
  <c r="C40" i="14" s="1"/>
  <c r="E33" i="14"/>
  <c r="E36" i="14"/>
  <c r="E38" i="14" s="1"/>
  <c r="E40" i="14" s="1"/>
  <c r="G33" i="14"/>
  <c r="H17" i="14"/>
  <c r="C69" i="13"/>
  <c r="D21" i="13"/>
  <c r="D15" i="13"/>
  <c r="C17" i="13"/>
  <c r="C28" i="13"/>
  <c r="C70" i="13"/>
  <c r="C72" i="13"/>
  <c r="D48" i="13"/>
  <c r="D42" i="13"/>
  <c r="F17" i="12"/>
  <c r="C20" i="12"/>
  <c r="D20" i="12"/>
  <c r="E17" i="12"/>
  <c r="E15" i="12"/>
  <c r="F15" i="12" s="1"/>
  <c r="E43" i="11"/>
  <c r="E41" i="11"/>
  <c r="E22" i="11"/>
  <c r="F22" i="11" s="1"/>
  <c r="E38" i="11"/>
  <c r="F38" i="11" s="1"/>
  <c r="E56" i="11"/>
  <c r="F56" i="11" s="1"/>
  <c r="E61" i="11"/>
  <c r="F61" i="11" s="1"/>
  <c r="E112" i="10"/>
  <c r="F112" i="10"/>
  <c r="E113" i="10"/>
  <c r="F113" i="10" s="1"/>
  <c r="D21" i="8"/>
  <c r="D156" i="8"/>
  <c r="D158" i="8" s="1"/>
  <c r="D154" i="8"/>
  <c r="D152" i="8"/>
  <c r="D157" i="8"/>
  <c r="D155" i="8"/>
  <c r="D153" i="8"/>
  <c r="E21" i="8"/>
  <c r="E140" i="8"/>
  <c r="E138" i="8"/>
  <c r="E141" i="8" s="1"/>
  <c r="E136" i="8"/>
  <c r="E139" i="8"/>
  <c r="E137" i="8"/>
  <c r="E135" i="8"/>
  <c r="C157" i="8"/>
  <c r="C155" i="8"/>
  <c r="C153" i="8"/>
  <c r="C156" i="8"/>
  <c r="C154" i="8"/>
  <c r="C152" i="8"/>
  <c r="D15" i="8"/>
  <c r="C17" i="8"/>
  <c r="C43" i="8"/>
  <c r="E43" i="8"/>
  <c r="D49" i="8"/>
  <c r="C53" i="8"/>
  <c r="E53" i="8"/>
  <c r="D77" i="8"/>
  <c r="D71" i="8" s="1"/>
  <c r="C49" i="8"/>
  <c r="E49" i="8"/>
  <c r="F35" i="7"/>
  <c r="E18" i="7"/>
  <c r="F18" i="7" s="1"/>
  <c r="E35" i="7"/>
  <c r="E41" i="7"/>
  <c r="F41" i="7" s="1"/>
  <c r="E59" i="7"/>
  <c r="F59" i="7" s="1"/>
  <c r="F24" i="7"/>
  <c r="F30" i="7"/>
  <c r="D95" i="7"/>
  <c r="E130" i="7"/>
  <c r="F130" i="7" s="1"/>
  <c r="E183" i="7"/>
  <c r="F183" i="7" s="1"/>
  <c r="C188" i="7"/>
  <c r="E41" i="6"/>
  <c r="F41" i="6"/>
  <c r="E84" i="6"/>
  <c r="F84" i="6" s="1"/>
  <c r="E16" i="5"/>
  <c r="F16" i="5" s="1"/>
  <c r="C18" i="5"/>
  <c r="C21" i="5" s="1"/>
  <c r="C35" i="5" s="1"/>
  <c r="E22" i="4"/>
  <c r="F22" i="4"/>
  <c r="E38" i="4"/>
  <c r="F38" i="4"/>
  <c r="E56" i="4"/>
  <c r="F56" i="4" s="1"/>
  <c r="E61" i="4"/>
  <c r="F61" i="4"/>
  <c r="D54" i="22"/>
  <c r="D46" i="22"/>
  <c r="D40" i="22"/>
  <c r="D36" i="22"/>
  <c r="D30" i="22"/>
  <c r="D111" i="22"/>
  <c r="C53" i="22"/>
  <c r="C45" i="22"/>
  <c r="C39" i="22"/>
  <c r="C35" i="22"/>
  <c r="C29" i="22"/>
  <c r="C110" i="22"/>
  <c r="C40" i="22"/>
  <c r="C36" i="22"/>
  <c r="E53" i="22"/>
  <c r="E45" i="22"/>
  <c r="E39" i="22"/>
  <c r="E35" i="22"/>
  <c r="E29" i="22"/>
  <c r="E110" i="22"/>
  <c r="E111" i="22"/>
  <c r="C41" i="20"/>
  <c r="E40" i="20"/>
  <c r="F40" i="20"/>
  <c r="F43" i="20"/>
  <c r="E39" i="20"/>
  <c r="C223" i="18"/>
  <c r="C247" i="18" s="1"/>
  <c r="E252" i="18"/>
  <c r="C168" i="18"/>
  <c r="D90" i="18"/>
  <c r="E222" i="18"/>
  <c r="D246" i="18"/>
  <c r="E246" i="18" s="1"/>
  <c r="D310" i="18"/>
  <c r="E260" i="18"/>
  <c r="E253" i="18"/>
  <c r="C234" i="18"/>
  <c r="C211" i="18"/>
  <c r="C235" i="18" s="1"/>
  <c r="E261" i="18"/>
  <c r="E156" i="18"/>
  <c r="D76" i="18"/>
  <c r="C124" i="18"/>
  <c r="C122" i="18"/>
  <c r="C115" i="18"/>
  <c r="C111" i="18"/>
  <c r="C123" i="18"/>
  <c r="C121" i="18"/>
  <c r="C114" i="18"/>
  <c r="C110" i="18"/>
  <c r="D103" i="18"/>
  <c r="D91" i="18"/>
  <c r="E33" i="18"/>
  <c r="D254" i="17"/>
  <c r="D216" i="17"/>
  <c r="E214" i="17"/>
  <c r="F214" i="17"/>
  <c r="C300" i="17"/>
  <c r="F264" i="17"/>
  <c r="C265" i="17"/>
  <c r="C263" i="17"/>
  <c r="C216" i="17"/>
  <c r="C304" i="17"/>
  <c r="E31" i="17"/>
  <c r="F31" i="17"/>
  <c r="D32" i="17"/>
  <c r="D160" i="17"/>
  <c r="D125" i="17"/>
  <c r="D90" i="17"/>
  <c r="E90" i="17" s="1"/>
  <c r="F90" i="17"/>
  <c r="E48" i="17"/>
  <c r="F48" i="17" s="1"/>
  <c r="C139" i="17"/>
  <c r="C104" i="17"/>
  <c r="E262" i="17"/>
  <c r="F280" i="17"/>
  <c r="D270" i="17"/>
  <c r="E205" i="17"/>
  <c r="D194" i="17"/>
  <c r="E193" i="17"/>
  <c r="F193" i="17"/>
  <c r="D255" i="17"/>
  <c r="E255" i="17"/>
  <c r="F255" i="17" s="1"/>
  <c r="E215" i="17"/>
  <c r="D271" i="17"/>
  <c r="E261" i="17"/>
  <c r="F261" i="17" s="1"/>
  <c r="D268" i="17"/>
  <c r="C272" i="17"/>
  <c r="F262" i="17"/>
  <c r="F215" i="17"/>
  <c r="F285" i="17"/>
  <c r="C281" i="17"/>
  <c r="C288" i="17"/>
  <c r="E288" i="17" s="1"/>
  <c r="C287" i="17"/>
  <c r="E199" i="17"/>
  <c r="F199" i="17" s="1"/>
  <c r="C126" i="17"/>
  <c r="C91" i="17"/>
  <c r="C49" i="17"/>
  <c r="E37" i="17"/>
  <c r="F37" i="17"/>
  <c r="F138" i="17"/>
  <c r="E60" i="17"/>
  <c r="F60" i="17" s="1"/>
  <c r="D61" i="17"/>
  <c r="D174" i="17" s="1"/>
  <c r="D196" i="17"/>
  <c r="D197" i="17" s="1"/>
  <c r="D161" i="17"/>
  <c r="D126" i="17"/>
  <c r="D91" i="17"/>
  <c r="E21" i="17"/>
  <c r="F21" i="17"/>
  <c r="D49" i="17"/>
  <c r="D282" i="17"/>
  <c r="D281" i="17" s="1"/>
  <c r="E281" i="17" s="1"/>
  <c r="F281" i="17" s="1"/>
  <c r="E282" i="17"/>
  <c r="F282" i="17"/>
  <c r="F68" i="17"/>
  <c r="C125" i="17"/>
  <c r="C140" i="17"/>
  <c r="C105" i="17"/>
  <c r="C106" i="17" s="1"/>
  <c r="C62" i="17"/>
  <c r="G36" i="14"/>
  <c r="G38" i="14"/>
  <c r="G40" i="14" s="1"/>
  <c r="I33" i="14"/>
  <c r="I36" i="14" s="1"/>
  <c r="I38" i="14" s="1"/>
  <c r="I40" i="14" s="1"/>
  <c r="H33" i="14"/>
  <c r="H36" i="14" s="1"/>
  <c r="H38" i="14" s="1"/>
  <c r="H40" i="14" s="1"/>
  <c r="D24" i="13"/>
  <c r="D20" i="13" s="1"/>
  <c r="D17" i="13"/>
  <c r="D28" i="13" s="1"/>
  <c r="D70" i="13" s="1"/>
  <c r="D72" i="13" s="1"/>
  <c r="D69" i="13" s="1"/>
  <c r="D34" i="12"/>
  <c r="E20" i="12"/>
  <c r="F20" i="12" s="1"/>
  <c r="C34" i="12"/>
  <c r="D24" i="8"/>
  <c r="D20" i="8" s="1"/>
  <c r="D17" i="8"/>
  <c r="C112" i="8"/>
  <c r="C111" i="8" s="1"/>
  <c r="C28" i="8"/>
  <c r="C99" i="8" s="1"/>
  <c r="C101" i="8" s="1"/>
  <c r="C98" i="8" s="1"/>
  <c r="C158" i="8"/>
  <c r="D35" i="5"/>
  <c r="E35" i="5" s="1"/>
  <c r="E21" i="5"/>
  <c r="F21" i="5" s="1"/>
  <c r="E55" i="22"/>
  <c r="E47" i="22"/>
  <c r="E37" i="22"/>
  <c r="E112" i="22"/>
  <c r="C55" i="22"/>
  <c r="C47" i="22"/>
  <c r="C37" i="22"/>
  <c r="C112" i="22"/>
  <c r="D56" i="22"/>
  <c r="D48" i="22"/>
  <c r="D38" i="22"/>
  <c r="D113" i="22"/>
  <c r="F39" i="20"/>
  <c r="E76" i="18"/>
  <c r="D77" i="18"/>
  <c r="E77" i="18" s="1"/>
  <c r="D259" i="18"/>
  <c r="E49" i="17"/>
  <c r="F49" i="17" s="1"/>
  <c r="D50" i="17"/>
  <c r="E91" i="17"/>
  <c r="F91" i="17" s="1"/>
  <c r="D92" i="17"/>
  <c r="E92" i="17" s="1"/>
  <c r="D209" i="17"/>
  <c r="C50" i="17"/>
  <c r="C127" i="17"/>
  <c r="C289" i="17"/>
  <c r="D210" i="17"/>
  <c r="D175" i="17"/>
  <c r="D140" i="17"/>
  <c r="E32" i="17"/>
  <c r="F32" i="17" s="1"/>
  <c r="C63" i="17"/>
  <c r="C141" i="17"/>
  <c r="C322" i="17" s="1"/>
  <c r="D127" i="17"/>
  <c r="E126" i="17"/>
  <c r="F126" i="17" s="1"/>
  <c r="C92" i="17"/>
  <c r="F92" i="17" s="1"/>
  <c r="D304" i="17"/>
  <c r="E125" i="17"/>
  <c r="F125" i="17"/>
  <c r="D195" i="17"/>
  <c r="E254" i="17"/>
  <c r="F254" i="17" s="1"/>
  <c r="D22" i="13"/>
  <c r="D42" i="12"/>
  <c r="E42" i="12" s="1"/>
  <c r="F42" i="12" s="1"/>
  <c r="E34" i="12"/>
  <c r="F34" i="12" s="1"/>
  <c r="C42" i="12"/>
  <c r="D28" i="8"/>
  <c r="D112" i="8"/>
  <c r="D111" i="8"/>
  <c r="D43" i="5"/>
  <c r="D50" i="5" s="1"/>
  <c r="D123" i="18"/>
  <c r="E123" i="18" s="1"/>
  <c r="D110" i="18"/>
  <c r="D113" i="18"/>
  <c r="C113" i="17"/>
  <c r="E127" i="17"/>
  <c r="F127" i="17" s="1"/>
  <c r="D176" i="17"/>
  <c r="E304" i="17"/>
  <c r="D141" i="17"/>
  <c r="D322" i="17" s="1"/>
  <c r="E322" i="17" s="1"/>
  <c r="D148" i="17"/>
  <c r="E140" i="17"/>
  <c r="F140" i="17" s="1"/>
  <c r="D211" i="17"/>
  <c r="D49" i="12"/>
  <c r="E49" i="12" s="1"/>
  <c r="F49" i="12" s="1"/>
  <c r="C49" i="12"/>
  <c r="D99" i="8"/>
  <c r="D101" i="8"/>
  <c r="D98" i="8"/>
  <c r="D22" i="8"/>
  <c r="E266" i="17" l="1"/>
  <c r="F266" i="17" s="1"/>
  <c r="D265" i="17"/>
  <c r="E265" i="17" s="1"/>
  <c r="C271" i="17"/>
  <c r="C268" i="17"/>
  <c r="C270" i="17"/>
  <c r="E267" i="17"/>
  <c r="F267" i="17" s="1"/>
  <c r="C48" i="13"/>
  <c r="C42" i="13" s="1"/>
  <c r="C59" i="13"/>
  <c r="C61" i="13" s="1"/>
  <c r="C57" i="13" s="1"/>
  <c r="E113" i="18"/>
  <c r="F304" i="17"/>
  <c r="C208" i="9"/>
  <c r="E199" i="9"/>
  <c r="F199" i="9"/>
  <c r="D263" i="18"/>
  <c r="E259" i="18"/>
  <c r="C43" i="5"/>
  <c r="F35" i="5"/>
  <c r="E95" i="7"/>
  <c r="E46" i="22"/>
  <c r="E40" i="22"/>
  <c r="E36" i="22"/>
  <c r="E30" i="22"/>
  <c r="E54" i="22"/>
  <c r="E15" i="13"/>
  <c r="E25" i="13"/>
  <c r="E27" i="13" s="1"/>
  <c r="E50" i="17"/>
  <c r="F50" i="17" s="1"/>
  <c r="E239" i="17"/>
  <c r="F239" i="17" s="1"/>
  <c r="E110" i="18"/>
  <c r="D126" i="18"/>
  <c r="D121" i="18"/>
  <c r="D111" i="18"/>
  <c r="E111" i="18" s="1"/>
  <c r="D115" i="18"/>
  <c r="E115" i="18" s="1"/>
  <c r="D114" i="18"/>
  <c r="E114" i="18" s="1"/>
  <c r="D124" i="18"/>
  <c r="E124" i="18" s="1"/>
  <c r="D125" i="18"/>
  <c r="D127" i="18"/>
  <c r="D109" i="18"/>
  <c r="D112" i="18"/>
  <c r="E112" i="18" s="1"/>
  <c r="D122" i="18"/>
  <c r="D103" i="17"/>
  <c r="E223" i="18"/>
  <c r="C111" i="22"/>
  <c r="C54" i="22"/>
  <c r="C46" i="22"/>
  <c r="C30" i="22"/>
  <c r="D162" i="17"/>
  <c r="E286" i="17"/>
  <c r="F286" i="17"/>
  <c r="E41" i="4"/>
  <c r="F41" i="4" s="1"/>
  <c r="D207" i="9"/>
  <c r="E207" i="9" s="1"/>
  <c r="E198" i="9"/>
  <c r="D320" i="18"/>
  <c r="E320" i="18" s="1"/>
  <c r="E316" i="18"/>
  <c r="D284" i="17"/>
  <c r="E284" i="17" s="1"/>
  <c r="D287" i="17"/>
  <c r="D279" i="17"/>
  <c r="E279" i="17" s="1"/>
  <c r="F279" i="17" s="1"/>
  <c r="E167" i="7"/>
  <c r="F167" i="7" s="1"/>
  <c r="D188" i="7"/>
  <c r="E188" i="7" s="1"/>
  <c r="F188" i="7" s="1"/>
  <c r="C324" i="17"/>
  <c r="F265" i="17"/>
  <c r="E206" i="17"/>
  <c r="F206" i="17" s="1"/>
  <c r="C196" i="17"/>
  <c r="C195" i="17"/>
  <c r="E195" i="17" s="1"/>
  <c r="F90" i="7"/>
  <c r="C95" i="7"/>
  <c r="F322" i="17"/>
  <c r="C181" i="18"/>
  <c r="E211" i="18"/>
  <c r="E303" i="18"/>
  <c r="C306" i="18"/>
  <c r="E235" i="18"/>
  <c r="D140" i="8"/>
  <c r="D138" i="8"/>
  <c r="D136" i="8"/>
  <c r="D139" i="8"/>
  <c r="D135" i="8"/>
  <c r="D137" i="8"/>
  <c r="C70" i="17"/>
  <c r="C291" i="17"/>
  <c r="F300" i="17"/>
  <c r="E192" i="17"/>
  <c r="F192" i="17" s="1"/>
  <c r="F48" i="6"/>
  <c r="C20" i="8"/>
  <c r="C21" i="8"/>
  <c r="C22" i="8"/>
  <c r="E90" i="7"/>
  <c r="F192" i="9"/>
  <c r="E192" i="9"/>
  <c r="C283" i="18"/>
  <c r="C22" i="18"/>
  <c r="F141" i="17"/>
  <c r="E18" i="5"/>
  <c r="F18" i="5" s="1"/>
  <c r="C284" i="17"/>
  <c r="D284" i="18"/>
  <c r="C113" i="18"/>
  <c r="C112" i="18"/>
  <c r="C109" i="18"/>
  <c r="C117" i="18" s="1"/>
  <c r="C127" i="18"/>
  <c r="C126" i="18"/>
  <c r="C128" i="18" s="1"/>
  <c r="C129" i="18" s="1"/>
  <c r="C125" i="18"/>
  <c r="C75" i="4"/>
  <c r="F33" i="5"/>
  <c r="F41" i="5"/>
  <c r="E41" i="5"/>
  <c r="E154" i="9"/>
  <c r="F121" i="10"/>
  <c r="F43" i="11"/>
  <c r="E283" i="18"/>
  <c r="F205" i="17"/>
  <c r="D35" i="22"/>
  <c r="D29" i="22"/>
  <c r="D110" i="22"/>
  <c r="E141" i="17"/>
  <c r="C148" i="17"/>
  <c r="E148" i="17" s="1"/>
  <c r="F288" i="17"/>
  <c r="D139" i="17"/>
  <c r="E139" i="17" s="1"/>
  <c r="F139" i="17" s="1"/>
  <c r="C116" i="18"/>
  <c r="D254" i="18"/>
  <c r="E254" i="18" s="1"/>
  <c r="D39" i="22"/>
  <c r="D272" i="17"/>
  <c r="D263" i="17"/>
  <c r="E263" i="17" s="1"/>
  <c r="F263" i="17" s="1"/>
  <c r="E274" i="17"/>
  <c r="F274" i="17" s="1"/>
  <c r="D300" i="17"/>
  <c r="E300" i="17" s="1"/>
  <c r="E173" i="17"/>
  <c r="D180" i="18"/>
  <c r="E180" i="18" s="1"/>
  <c r="D145" i="18"/>
  <c r="E144" i="18"/>
  <c r="D168" i="18"/>
  <c r="E168" i="18" s="1"/>
  <c r="F45" i="20"/>
  <c r="C52" i="6"/>
  <c r="F81" i="6"/>
  <c r="E141" i="9"/>
  <c r="F141" i="9" s="1"/>
  <c r="F73" i="11"/>
  <c r="E73" i="11"/>
  <c r="E129" i="17"/>
  <c r="F129" i="17"/>
  <c r="C207" i="17"/>
  <c r="C173" i="17"/>
  <c r="D105" i="18"/>
  <c r="E216" i="17"/>
  <c r="F216" i="17" s="1"/>
  <c r="D45" i="22"/>
  <c r="D294" i="18"/>
  <c r="E294" i="18" s="1"/>
  <c r="D66" i="18"/>
  <c r="E65" i="18"/>
  <c r="C43" i="4"/>
  <c r="E75" i="4"/>
  <c r="D52" i="6"/>
  <c r="E52" i="6" s="1"/>
  <c r="F90" i="6"/>
  <c r="E24" i="8"/>
  <c r="E20" i="8" s="1"/>
  <c r="E17" i="8"/>
  <c r="F203" i="9"/>
  <c r="E121" i="10"/>
  <c r="F41" i="11"/>
  <c r="F110" i="17"/>
  <c r="E283" i="17"/>
  <c r="F283" i="17" s="1"/>
  <c r="E109" i="22"/>
  <c r="E108" i="22"/>
  <c r="D62" i="17"/>
  <c r="E41" i="20"/>
  <c r="F41" i="20" s="1"/>
  <c r="D53" i="22"/>
  <c r="E21" i="18"/>
  <c r="E29" i="4"/>
  <c r="F29" i="4" s="1"/>
  <c r="F73" i="4"/>
  <c r="F95" i="10"/>
  <c r="E95" i="10"/>
  <c r="E61" i="17"/>
  <c r="F61" i="17" s="1"/>
  <c r="E194" i="17"/>
  <c r="F194" i="17" s="1"/>
  <c r="E95" i="6"/>
  <c r="F91" i="6"/>
  <c r="C207" i="9"/>
  <c r="F198" i="9"/>
  <c r="E33" i="5"/>
  <c r="E48" i="6"/>
  <c r="C95" i="6"/>
  <c r="F88" i="6"/>
  <c r="E179" i="6"/>
  <c r="F179" i="6" s="1"/>
  <c r="E88" i="8"/>
  <c r="E90" i="8" s="1"/>
  <c r="E86" i="8" s="1"/>
  <c r="E77" i="8"/>
  <c r="E71" i="8" s="1"/>
  <c r="E208" i="9"/>
  <c r="E72" i="10"/>
  <c r="E107" i="10"/>
  <c r="F107" i="10" s="1"/>
  <c r="F16" i="15"/>
  <c r="E42" i="6"/>
  <c r="F42" i="6" s="1"/>
  <c r="F49" i="6"/>
  <c r="E91" i="6"/>
  <c r="F153" i="6"/>
  <c r="E179" i="9"/>
  <c r="E122" i="10"/>
  <c r="E299" i="17"/>
  <c r="F299" i="17" s="1"/>
  <c r="E239" i="18"/>
  <c r="E227" i="18"/>
  <c r="F43" i="6"/>
  <c r="F92" i="6"/>
  <c r="C77" i="8"/>
  <c r="C71" i="8" s="1"/>
  <c r="E166" i="8"/>
  <c r="F114" i="10"/>
  <c r="C175" i="18"/>
  <c r="E175" i="18" s="1"/>
  <c r="D53" i="8"/>
  <c r="D43" i="8"/>
  <c r="C149" i="8"/>
  <c r="F23" i="10"/>
  <c r="E23" i="10"/>
  <c r="F25" i="6"/>
  <c r="F47" i="6"/>
  <c r="E50" i="6"/>
  <c r="C90" i="8"/>
  <c r="C86" i="8" s="1"/>
  <c r="E62" i="9"/>
  <c r="F115" i="10"/>
  <c r="F206" i="9"/>
  <c r="E24" i="10"/>
  <c r="E47" i="10"/>
  <c r="F96" i="10"/>
  <c r="E118" i="10"/>
  <c r="F118" i="10" s="1"/>
  <c r="C27" i="13"/>
  <c r="F52" i="17"/>
  <c r="F307" i="17"/>
  <c r="F204" i="9"/>
  <c r="F119" i="10"/>
  <c r="F100" i="15"/>
  <c r="E297" i="17"/>
  <c r="F297" i="17"/>
  <c r="E232" i="18"/>
  <c r="E287" i="18"/>
  <c r="F202" i="9"/>
  <c r="F48" i="10"/>
  <c r="E48" i="10"/>
  <c r="C122" i="10"/>
  <c r="F116" i="10"/>
  <c r="C75" i="11"/>
  <c r="F32" i="12"/>
  <c r="E162" i="18"/>
  <c r="F200" i="9"/>
  <c r="F71" i="10"/>
  <c r="E71" i="10"/>
  <c r="E164" i="17"/>
  <c r="F164" i="17" s="1"/>
  <c r="D217" i="18"/>
  <c r="D242" i="18"/>
  <c r="E242" i="18" s="1"/>
  <c r="C38" i="19"/>
  <c r="C127" i="19" s="1"/>
  <c r="C129" i="19" s="1"/>
  <c r="C133" i="19" s="1"/>
  <c r="F117" i="10"/>
  <c r="F120" i="10"/>
  <c r="D75" i="11"/>
  <c r="F23" i="17"/>
  <c r="F35" i="17"/>
  <c r="F120" i="17"/>
  <c r="E295" i="17"/>
  <c r="F295" i="17" s="1"/>
  <c r="C44" i="18"/>
  <c r="C64" i="19"/>
  <c r="C65" i="19" s="1"/>
  <c r="C114" i="19" s="1"/>
  <c r="C116" i="19" s="1"/>
  <c r="C119" i="19" s="1"/>
  <c r="C123" i="19" s="1"/>
  <c r="F21" i="21"/>
  <c r="C159" i="17"/>
  <c r="C22" i="19"/>
  <c r="D141" i="8" l="1"/>
  <c r="E103" i="17"/>
  <c r="F103" i="17" s="1"/>
  <c r="D104" i="17"/>
  <c r="E104" i="17" s="1"/>
  <c r="F104" i="17" s="1"/>
  <c r="D105" i="17"/>
  <c r="F43" i="5"/>
  <c r="C50" i="5"/>
  <c r="F208" i="9"/>
  <c r="E270" i="17"/>
  <c r="F270" i="17" s="1"/>
  <c r="F207" i="9"/>
  <c r="D63" i="17"/>
  <c r="E62" i="17"/>
  <c r="F62" i="17" s="1"/>
  <c r="C174" i="17"/>
  <c r="F173" i="17"/>
  <c r="C175" i="17"/>
  <c r="F52" i="6"/>
  <c r="C305" i="17"/>
  <c r="E56" i="22"/>
  <c r="E113" i="22"/>
  <c r="E38" i="22"/>
  <c r="E48" i="22"/>
  <c r="F268" i="17"/>
  <c r="E268" i="17"/>
  <c r="D291" i="17"/>
  <c r="D289" i="17"/>
  <c r="E289" i="17" s="1"/>
  <c r="F289" i="17" s="1"/>
  <c r="E287" i="17"/>
  <c r="F287" i="17" s="1"/>
  <c r="E122" i="18"/>
  <c r="D128" i="18"/>
  <c r="E128" i="18" s="1"/>
  <c r="E43" i="4"/>
  <c r="F43" i="4" s="1"/>
  <c r="E272" i="17"/>
  <c r="F272" i="17" s="1"/>
  <c r="D273" i="17"/>
  <c r="E109" i="18"/>
  <c r="E126" i="18"/>
  <c r="E196" i="17"/>
  <c r="F196" i="17" s="1"/>
  <c r="C140" i="8"/>
  <c r="C138" i="8"/>
  <c r="C136" i="8"/>
  <c r="C135" i="8"/>
  <c r="C141" i="8" s="1"/>
  <c r="C139" i="8"/>
  <c r="C137" i="8"/>
  <c r="C208" i="17"/>
  <c r="E207" i="17"/>
  <c r="F207" i="17" s="1"/>
  <c r="E217" i="18"/>
  <c r="D241" i="18"/>
  <c r="E241" i="18" s="1"/>
  <c r="C22" i="13"/>
  <c r="C20" i="13"/>
  <c r="C21" i="13"/>
  <c r="D295" i="18"/>
  <c r="E295" i="18" s="1"/>
  <c r="E66" i="18"/>
  <c r="C284" i="18"/>
  <c r="E22" i="18"/>
  <c r="E121" i="18"/>
  <c r="E263" i="18"/>
  <c r="D264" i="18"/>
  <c r="C160" i="17"/>
  <c r="F122" i="10"/>
  <c r="E159" i="17"/>
  <c r="F159" i="17" s="1"/>
  <c r="F95" i="6"/>
  <c r="C161" i="17"/>
  <c r="D112" i="22"/>
  <c r="D55" i="22"/>
  <c r="D47" i="22"/>
  <c r="D37" i="22"/>
  <c r="F95" i="7"/>
  <c r="E127" i="18"/>
  <c r="E28" i="8"/>
  <c r="E112" i="8"/>
  <c r="E111" i="8" s="1"/>
  <c r="C273" i="17"/>
  <c r="E271" i="17"/>
  <c r="F271" i="17" s="1"/>
  <c r="E75" i="11"/>
  <c r="E145" i="18"/>
  <c r="D169" i="18"/>
  <c r="E169" i="18" s="1"/>
  <c r="D181" i="18"/>
  <c r="E181" i="18" s="1"/>
  <c r="D323" i="17"/>
  <c r="D183" i="17"/>
  <c r="C101" i="18"/>
  <c r="E101" i="18" s="1"/>
  <c r="C98" i="18"/>
  <c r="E98" i="18" s="1"/>
  <c r="C99" i="18"/>
  <c r="E99" i="18" s="1"/>
  <c r="C96" i="18"/>
  <c r="C97" i="18"/>
  <c r="E97" i="18" s="1"/>
  <c r="C95" i="18"/>
  <c r="C89" i="18"/>
  <c r="E89" i="18" s="1"/>
  <c r="C88" i="18"/>
  <c r="E88" i="18" s="1"/>
  <c r="C87" i="18"/>
  <c r="E87" i="18" s="1"/>
  <c r="C83" i="18"/>
  <c r="E44" i="18"/>
  <c r="C84" i="18"/>
  <c r="C258" i="18"/>
  <c r="C86" i="18"/>
  <c r="E86" i="18" s="1"/>
  <c r="C100" i="18"/>
  <c r="E100" i="18" s="1"/>
  <c r="C85" i="18"/>
  <c r="E85" i="18" s="1"/>
  <c r="F148" i="17"/>
  <c r="C113" i="22"/>
  <c r="C56" i="22"/>
  <c r="C48" i="22"/>
  <c r="C38" i="22"/>
  <c r="F75" i="11"/>
  <c r="C131" i="18"/>
  <c r="E284" i="18"/>
  <c r="E43" i="5"/>
  <c r="E125" i="18"/>
  <c r="E21" i="13"/>
  <c r="E157" i="8"/>
  <c r="E155" i="8"/>
  <c r="E153" i="8"/>
  <c r="E156" i="8"/>
  <c r="E154" i="8"/>
  <c r="E152" i="8"/>
  <c r="F75" i="4"/>
  <c r="F284" i="17"/>
  <c r="E306" i="18"/>
  <c r="C310" i="18"/>
  <c r="E310" i="18" s="1"/>
  <c r="F195" i="17"/>
  <c r="D247" i="18"/>
  <c r="E247" i="18" s="1"/>
  <c r="D116" i="18"/>
  <c r="E116" i="18" s="1"/>
  <c r="E24" i="13"/>
  <c r="E20" i="13" s="1"/>
  <c r="E17" i="13"/>
  <c r="E28" i="13" s="1"/>
  <c r="E70" i="13" s="1"/>
  <c r="E72" i="13" s="1"/>
  <c r="E69" i="13" s="1"/>
  <c r="D266" i="18" l="1"/>
  <c r="E174" i="17"/>
  <c r="F174" i="17" s="1"/>
  <c r="F273" i="17"/>
  <c r="D117" i="18"/>
  <c r="E105" i="17"/>
  <c r="F105" i="17" s="1"/>
  <c r="D106" i="17"/>
  <c r="E95" i="18"/>
  <c r="C162" i="17"/>
  <c r="E161" i="17"/>
  <c r="F161" i="17" s="1"/>
  <c r="E63" i="17"/>
  <c r="F63" i="17" s="1"/>
  <c r="D70" i="17"/>
  <c r="E70" i="17" s="1"/>
  <c r="F70" i="17" s="1"/>
  <c r="E22" i="13"/>
  <c r="C90" i="18"/>
  <c r="E90" i="18" s="1"/>
  <c r="E84" i="18"/>
  <c r="C102" i="18"/>
  <c r="E102" i="18" s="1"/>
  <c r="E96" i="18"/>
  <c r="D305" i="17"/>
  <c r="E291" i="17"/>
  <c r="F291" i="17" s="1"/>
  <c r="C264" i="18"/>
  <c r="C266" i="18" s="1"/>
  <c r="C267" i="18" s="1"/>
  <c r="E258" i="18"/>
  <c r="E99" i="8"/>
  <c r="E101" i="8" s="1"/>
  <c r="E98" i="8" s="1"/>
  <c r="E22" i="8"/>
  <c r="D129" i="18"/>
  <c r="E129" i="18" s="1"/>
  <c r="C309" i="17"/>
  <c r="E158" i="8"/>
  <c r="E273" i="17"/>
  <c r="E83" i="18"/>
  <c r="C91" i="18"/>
  <c r="E160" i="17"/>
  <c r="F160" i="17"/>
  <c r="C176" i="17"/>
  <c r="E175" i="17"/>
  <c r="F175" i="17" s="1"/>
  <c r="C209" i="17"/>
  <c r="C210" i="17"/>
  <c r="E208" i="17"/>
  <c r="F208" i="17"/>
  <c r="E50" i="5"/>
  <c r="F50" i="5" s="1"/>
  <c r="C269" i="18" l="1"/>
  <c r="C268" i="18"/>
  <c r="C271" i="18" s="1"/>
  <c r="C211" i="17"/>
  <c r="E176" i="17"/>
  <c r="F176" i="17" s="1"/>
  <c r="D131" i="18"/>
  <c r="E131" i="18" s="1"/>
  <c r="E117" i="18"/>
  <c r="C310" i="17"/>
  <c r="D309" i="17"/>
  <c r="E305" i="17"/>
  <c r="F305" i="17" s="1"/>
  <c r="C323" i="17"/>
  <c r="C183" i="17"/>
  <c r="C197" i="17"/>
  <c r="E162" i="17"/>
  <c r="F162" i="17" s="1"/>
  <c r="E91" i="18"/>
  <c r="E210" i="17"/>
  <c r="F210" i="17"/>
  <c r="C103" i="18"/>
  <c r="E103" i="18" s="1"/>
  <c r="E266" i="18"/>
  <c r="D267" i="18"/>
  <c r="E209" i="17"/>
  <c r="F209" i="17" s="1"/>
  <c r="E264" i="18"/>
  <c r="E106" i="17"/>
  <c r="F106" i="17" s="1"/>
  <c r="D113" i="17"/>
  <c r="E113" i="17" s="1"/>
  <c r="F113" i="17" s="1"/>
  <c r="D324" i="17"/>
  <c r="E267" i="18" l="1"/>
  <c r="D268" i="18"/>
  <c r="D269" i="18"/>
  <c r="E269" i="18" s="1"/>
  <c r="E197" i="17"/>
  <c r="F197" i="17" s="1"/>
  <c r="C325" i="17"/>
  <c r="E323" i="17"/>
  <c r="F323" i="17" s="1"/>
  <c r="E324" i="17"/>
  <c r="F324" i="17" s="1"/>
  <c r="D325" i="17"/>
  <c r="E183" i="17"/>
  <c r="F183" i="17" s="1"/>
  <c r="E211" i="17"/>
  <c r="F211" i="17" s="1"/>
  <c r="E309" i="17"/>
  <c r="F309" i="17" s="1"/>
  <c r="D310" i="17"/>
  <c r="C105" i="18"/>
  <c r="E105" i="18" s="1"/>
  <c r="C312" i="17"/>
  <c r="D312" i="17" l="1"/>
  <c r="E310" i="17"/>
  <c r="F310" i="17" s="1"/>
  <c r="C313" i="17"/>
  <c r="E325" i="17"/>
  <c r="F325" i="17" s="1"/>
  <c r="E268" i="18"/>
  <c r="D271" i="18"/>
  <c r="E271" i="18" s="1"/>
  <c r="C251" i="17" l="1"/>
  <c r="C315" i="17"/>
  <c r="C314" i="17"/>
  <c r="C256" i="17"/>
  <c r="E312" i="17"/>
  <c r="F312" i="17" s="1"/>
  <c r="D313" i="17"/>
  <c r="D251" i="17" l="1"/>
  <c r="E251" i="17" s="1"/>
  <c r="D256" i="17"/>
  <c r="D314" i="17"/>
  <c r="E313" i="17"/>
  <c r="F313" i="17" s="1"/>
  <c r="D315" i="17"/>
  <c r="E315" i="17" s="1"/>
  <c r="F315" i="17" s="1"/>
  <c r="C318" i="17"/>
  <c r="F251" i="17"/>
  <c r="C257" i="17"/>
  <c r="D318" i="17" l="1"/>
  <c r="E318" i="17" s="1"/>
  <c r="E314" i="17"/>
  <c r="F314" i="17" s="1"/>
  <c r="D257" i="17"/>
  <c r="E257" i="17" s="1"/>
  <c r="E256" i="17"/>
  <c r="F256" i="17" s="1"/>
  <c r="F318" i="17"/>
  <c r="F257" i="17"/>
</calcChain>
</file>

<file path=xl/sharedStrings.xml><?xml version="1.0" encoding="utf-8"?>
<sst xmlns="http://schemas.openxmlformats.org/spreadsheetml/2006/main" count="2335" uniqueCount="1011">
  <si>
    <t>GREENWICH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</si>
  <si>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</si>
  <si>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</si>
  <si>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</si>
  <si>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</si>
  <si>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</si>
  <si>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</si>
  <si>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</si>
  <si>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</si>
  <si>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</si>
  <si>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</si>
  <si>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</si>
  <si>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</si>
  <si>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</si>
  <si>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</si>
  <si>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</si>
  <si>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</si>
  <si>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</si>
  <si>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</si>
  <si>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</si>
  <si>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</si>
  <si>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</si>
  <si>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</si>
  <si>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</si>
  <si>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</si>
  <si>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</si>
  <si>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</si>
  <si>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</si>
  <si>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</si>
  <si>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</si>
  <si>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</si>
  <si>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</si>
  <si>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</si>
  <si>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</si>
  <si>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</si>
  <si>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</si>
  <si>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</si>
  <si>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</si>
  <si>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</si>
  <si>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</si>
  <si>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</si>
  <si>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</si>
  <si>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</si>
  <si>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</si>
  <si>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</si>
  <si>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</si>
  <si>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</si>
  <si>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</si>
  <si>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</si>
  <si>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</si>
  <si>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</si>
  <si>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</si>
  <si>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</si>
  <si>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</si>
  <si>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</si>
  <si>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</si>
  <si>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</si>
  <si>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</si>
  <si>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</si>
  <si>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</si>
  <si>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</si>
  <si>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</si>
  <si>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</si>
  <si>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</si>
  <si>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</si>
  <si>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</si>
  <si>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</si>
  <si>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</si>
  <si>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</si>
  <si>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</si>
  <si>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</si>
  <si>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</si>
  <si>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</si>
  <si>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</si>
  <si>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</si>
  <si>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</si>
  <si>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</si>
  <si>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</si>
  <si>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</si>
  <si>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</si>
  <si>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</si>
  <si>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</si>
  <si>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</si>
  <si>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</si>
  <si>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</si>
  <si>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</si>
  <si>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</si>
  <si>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</si>
  <si>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</si>
  <si>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</si>
  <si>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</si>
  <si>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</si>
  <si>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</si>
  <si>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</si>
  <si>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</si>
  <si>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</si>
  <si>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</si>
  <si>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</si>
  <si>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</si>
  <si>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</si>
  <si>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</si>
  <si>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</si>
  <si>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</si>
  <si>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</si>
  <si>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</si>
  <si>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</si>
  <si>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</si>
  <si>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</si>
  <si>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</si>
  <si>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</si>
  <si>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</si>
  <si>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</si>
  <si>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</si>
  <si>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</si>
  <si>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</si>
  <si>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</si>
  <si>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</si>
  <si>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</si>
  <si>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</si>
  <si>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</si>
  <si>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</si>
  <si>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</si>
  <si>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</si>
  <si>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</si>
  <si>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</si>
  <si>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</si>
  <si>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</si>
  <si>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</si>
  <si>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</si>
  <si>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</si>
  <si>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</si>
  <si>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</si>
  <si>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</si>
  <si>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</si>
  <si>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</si>
  <si>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</si>
  <si>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</si>
  <si>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</si>
  <si>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</si>
  <si>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</si>
  <si>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</si>
  <si>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</si>
  <si>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</si>
  <si>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</si>
  <si>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</si>
  <si>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</si>
  <si>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</si>
  <si>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</si>
  <si>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</si>
  <si>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</si>
  <si>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</si>
  <si>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</si>
  <si>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</si>
  <si>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</si>
  <si>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</si>
  <si>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</si>
  <si>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</si>
  <si>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</si>
  <si>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</si>
  <si>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</si>
  <si>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</si>
  <si>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</si>
  <si>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</si>
  <si>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</si>
  <si>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</si>
  <si>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</si>
  <si>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</si>
  <si>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</si>
  <si>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</si>
  <si>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</si>
  <si>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</si>
  <si>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</si>
  <si>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</si>
  <si>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</si>
  <si>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</si>
  <si>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</si>
  <si>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</si>
  <si>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</si>
  <si>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</si>
  <si>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</si>
  <si>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</si>
  <si>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</si>
  <si>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</si>
  <si>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</si>
  <si>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</si>
  <si>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</si>
  <si>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</si>
  <si>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</si>
  <si>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</si>
  <si>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</si>
  <si>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</si>
  <si>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</si>
  <si>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</si>
  <si>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</si>
  <si>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</si>
  <si>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</si>
  <si>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</si>
  <si>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</si>
  <si>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</si>
  <si>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</si>
  <si>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</si>
  <si>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</si>
  <si>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</si>
  <si>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</si>
  <si>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</si>
  <si>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</si>
  <si>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</si>
  <si>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</si>
  <si>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</si>
  <si>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</si>
  <si>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</si>
  <si>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</si>
  <si>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</si>
  <si>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</si>
  <si>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</si>
  <si>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</si>
  <si>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</si>
  <si>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</si>
  <si>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</si>
  <si>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</si>
  <si>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</si>
  <si>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</si>
  <si>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</si>
  <si>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</si>
  <si>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</si>
  <si>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</si>
  <si>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</si>
  <si>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</si>
  <si>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</si>
  <si>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</si>
  <si>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</si>
  <si>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</si>
  <si>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</si>
  <si>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</si>
  <si>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</si>
  <si>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</si>
  <si>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</si>
  <si>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</si>
  <si>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</si>
  <si>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</si>
  <si>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</si>
  <si>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</si>
  <si>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</si>
  <si>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</si>
  <si>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</si>
  <si>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</si>
  <si>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</si>
  <si>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</si>
  <si>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</si>
  <si>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</si>
  <si>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</si>
  <si>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</si>
  <si>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</si>
  <si>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</si>
  <si>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</si>
  <si>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</si>
  <si>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</si>
  <si>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</si>
  <si>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</si>
  <si>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</si>
  <si>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</si>
  <si>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</si>
  <si>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</si>
  <si>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</si>
  <si>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</si>
  <si>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</si>
  <si>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</si>
  <si>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</si>
  <si>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</si>
  <si>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</si>
  <si>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</si>
  <si>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</si>
  <si>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</si>
  <si>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</si>
  <si>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</si>
  <si>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</si>
  <si>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</si>
  <si>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</si>
  <si>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</si>
  <si>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</si>
  <si>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</si>
  <si>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</si>
  <si>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</si>
  <si>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</si>
  <si>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</si>
  <si>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</si>
  <si>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</si>
  <si>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</si>
  <si>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</si>
  <si>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</si>
  <si>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</si>
  <si>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</si>
  <si>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</si>
  <si>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</si>
  <si>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</si>
  <si>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</si>
  <si>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</si>
  <si>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</si>
  <si>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</si>
  <si>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</si>
  <si>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</si>
  <si>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</si>
  <si>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</si>
  <si>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</si>
  <si>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</si>
  <si>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</si>
  <si>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</si>
  <si>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</si>
  <si>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</si>
  <si>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</si>
  <si>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</si>
  <si>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</si>
  <si>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</si>
  <si>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</si>
  <si>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</si>
  <si>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</si>
  <si>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</si>
  <si>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</si>
  <si>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</si>
  <si>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</si>
  <si>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</si>
  <si>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</si>
  <si>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</si>
  <si>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</si>
  <si>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</si>
  <si>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</si>
  <si>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</si>
  <si>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</si>
  <si>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</si>
  <si>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</si>
  <si>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</si>
  <si>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</si>
  <si>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</si>
  <si>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</si>
  <si>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</si>
  <si>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</si>
  <si>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</si>
  <si>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</si>
  <si>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</si>
  <si>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</si>
  <si>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</si>
  <si>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</si>
  <si>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</si>
  <si>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</si>
  <si>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</si>
  <si>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</si>
  <si>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</si>
  <si>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</si>
  <si>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</si>
  <si>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</si>
  <si>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</si>
  <si>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</si>
  <si>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</si>
  <si>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</si>
  <si>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</si>
  <si>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</si>
  <si>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</si>
  <si>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</si>
  <si>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</si>
  <si>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</si>
  <si>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</si>
  <si>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</si>
  <si>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</si>
  <si>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</si>
  <si>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</si>
  <si>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</si>
  <si>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</si>
  <si>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</si>
  <si>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</si>
  <si>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</si>
  <si>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</si>
  <si>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</si>
  <si>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</si>
  <si>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</si>
  <si>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</si>
  <si>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</si>
  <si>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</si>
  <si>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</si>
  <si>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</si>
  <si>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</si>
  <si>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</si>
  <si>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</si>
  <si>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</si>
  <si>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</si>
  <si>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</si>
  <si>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</si>
  <si>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</si>
  <si>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</si>
  <si>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</si>
  <si>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</si>
  <si>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</si>
  <si>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</si>
  <si>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</si>
  <si>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</si>
  <si>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</si>
  <si>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</si>
  <si>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</si>
  <si>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</si>
  <si>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</si>
  <si>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</si>
  <si>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</si>
  <si>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</si>
  <si>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</si>
  <si>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</si>
  <si>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</si>
  <si>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</si>
  <si>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</si>
  <si>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</si>
  <si>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</si>
  <si>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</si>
  <si>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</si>
  <si>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</si>
  <si>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</si>
  <si>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</si>
  <si>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</si>
  <si>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</si>
  <si>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</si>
  <si>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</si>
  <si>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</si>
  <si>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</si>
  <si>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</si>
  <si>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</si>
  <si>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</si>
  <si>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</si>
  <si>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</si>
  <si>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</si>
  <si>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</si>
  <si>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</si>
  <si>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</si>
  <si>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</si>
  <si>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</si>
  <si>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</si>
  <si>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</si>
  <si>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</si>
  <si>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</si>
  <si>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</si>
  <si>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</si>
  <si>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</si>
  <si>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</si>
  <si>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</si>
  <si>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</si>
  <si>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</si>
  <si>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</si>
  <si>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</si>
  <si>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</si>
  <si>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</si>
  <si>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</si>
  <si>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</si>
  <si>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</si>
  <si>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</si>
  <si>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</si>
  <si>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</si>
  <si>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</si>
  <si>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</si>
  <si>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</si>
  <si>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</si>
  <si>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</si>
  <si>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</si>
  <si>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</si>
  <si>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</si>
  <si>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</si>
  <si>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</si>
  <si>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</si>
  <si>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</si>
  <si>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</si>
  <si>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</si>
  <si>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</si>
  <si>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</si>
  <si>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</si>
  <si>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</si>
  <si>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</si>
  <si>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</si>
  <si>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</si>
  <si>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</si>
  <si>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</si>
  <si>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</si>
  <si>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</si>
  <si>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</si>
  <si>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</si>
  <si>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</si>
  <si>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</si>
  <si>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</si>
  <si>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</si>
  <si>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</si>
  <si>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</si>
  <si>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</si>
  <si>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</si>
  <si>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</si>
  <si>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</si>
  <si>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</si>
  <si>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</si>
  <si>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</si>
  <si>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</si>
  <si>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</si>
  <si>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</si>
  <si>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</si>
  <si>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</si>
  <si>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</si>
  <si>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</si>
  <si>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</si>
  <si>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GREENWICH HEALTH CARE SERVICES,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</si>
  <si>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</si>
  <si>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</si>
  <si>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</si>
  <si>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</si>
  <si>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</si>
  <si>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</si>
  <si>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</si>
  <si>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</si>
  <si>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</si>
  <si>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</si>
  <si>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</si>
  <si>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</si>
  <si>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</si>
  <si>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</si>
  <si>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</si>
  <si>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</si>
  <si>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</si>
  <si>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</si>
  <si>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</si>
  <si>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</si>
  <si>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</si>
  <si>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</si>
  <si>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</si>
  <si>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</si>
  <si>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</si>
  <si>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</si>
  <si>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</si>
  <si>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</si>
  <si>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</si>
  <si>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</si>
  <si>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</si>
  <si>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</si>
  <si>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</si>
  <si>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</si>
  <si>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</si>
  <si>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</si>
  <si>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</si>
  <si>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</si>
  <si>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</si>
  <si>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</si>
  <si>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</si>
  <si>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</si>
  <si>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</si>
  <si>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</si>
  <si>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</si>
  <si>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</si>
  <si>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</si>
  <si>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</si>
  <si>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</si>
  <si>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</si>
  <si>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</si>
  <si>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</si>
  <si>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</si>
  <si>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</si>
  <si>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</si>
  <si>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</si>
  <si>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</si>
  <si>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</si>
  <si>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</si>
  <si>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</si>
  <si>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</si>
  <si>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</si>
  <si>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</si>
  <si>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</si>
  <si>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</si>
  <si>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</si>
  <si>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</si>
  <si>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</si>
  <si>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</si>
  <si>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</si>
  <si>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</si>
  <si>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</si>
  <si>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</si>
  <si>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</si>
  <si>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</si>
  <si>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</si>
  <si>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</si>
  <si>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</si>
  <si>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</si>
  <si>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</si>
  <si>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</si>
  <si>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</si>
  <si>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</si>
  <si>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</si>
  <si>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</si>
  <si>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</si>
  <si>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</si>
  <si>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</si>
  <si>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</si>
  <si>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</si>
  <si>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</si>
  <si>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</si>
  <si>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</si>
  <si>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</si>
  <si>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</si>
  <si>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</si>
  <si>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</si>
  <si>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</si>
  <si>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</si>
  <si>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</si>
  <si>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</si>
  <si>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</si>
  <si>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</si>
  <si>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</si>
  <si>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</si>
  <si>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</si>
  <si>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</si>
  <si>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</si>
  <si>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</si>
  <si>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</si>
  <si>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</si>
  <si>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</si>
  <si>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</si>
  <si>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</si>
  <si>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</si>
  <si>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</si>
  <si>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</si>
  <si>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</si>
  <si>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</si>
  <si>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</si>
  <si>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at Greenwich Hospital Campus</t>
  </si>
  <si>
    <t>Helmsley Surgical Center</t>
  </si>
  <si>
    <t>Total Outpatient Surgical Procedures(A)</t>
  </si>
  <si>
    <t>G Hosp @500 W Putnam St.</t>
  </si>
  <si>
    <t>Total Outpatient Endoscopy Procedures(B)</t>
  </si>
  <si>
    <t>Outpatient Hospital Emergency Room Visits</t>
  </si>
  <si>
    <t>At Greenwich Hospital Campus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</si>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</sst>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35083000</v>
      </c>
      <c r="D13" s="22">
        <v>25344000</v>
      </c>
      <c r="E13" s="22">
        <f t="shared" ref="E13:E22" si="0">D13-C13</f>
        <v>-9739000</v>
      </c>
      <c r="F13" s="23">
        <f t="shared" ref="F13:F22" si="1">IF(C13=0,0,E13/C13)</f>
        <v>-0.27759883704358235</v>
      </c>
    </row>
    <row r="14" spans="1:8" ht="24" customHeight="1" x14ac:dyDescent="0.2">
      <c r="A14" s="20">
        <v>2</v>
      </c>
      <c r="B14" s="21" t="s">
        <v>17</v>
      </c>
      <c r="C14" s="22">
        <v>10243000</v>
      </c>
      <c r="D14" s="22">
        <v>36063000</v>
      </c>
      <c r="E14" s="22">
        <f t="shared" si="0"/>
        <v>25820000</v>
      </c>
      <c r="F14" s="23">
        <f t="shared" si="1"/>
        <v>2.5207458752318659</v>
      </c>
    </row>
    <row r="15" spans="1:8" ht="24" customHeight="1" x14ac:dyDescent="0.2">
      <c r="A15" s="20">
        <v>3</v>
      </c>
      <c r="B15" s="21" t="s">
        <v>18</v>
      </c>
      <c r="C15" s="22">
        <v>36589000</v>
      </c>
      <c r="D15" s="22">
        <v>34799000</v>
      </c>
      <c r="E15" s="22">
        <f t="shared" si="0"/>
        <v>-1790000</v>
      </c>
      <c r="F15" s="23">
        <f t="shared" si="1"/>
        <v>-4.8921807100494687E-2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2188590</v>
      </c>
      <c r="D19" s="22">
        <v>1646074</v>
      </c>
      <c r="E19" s="22">
        <f t="shared" si="0"/>
        <v>-542516</v>
      </c>
      <c r="F19" s="23">
        <f t="shared" si="1"/>
        <v>-0.24788379733070151</v>
      </c>
    </row>
    <row r="20" spans="1:11" ht="24" customHeight="1" x14ac:dyDescent="0.2">
      <c r="A20" s="20">
        <v>8</v>
      </c>
      <c r="B20" s="21" t="s">
        <v>23</v>
      </c>
      <c r="C20" s="22">
        <v>6473410</v>
      </c>
      <c r="D20" s="22">
        <v>8132926</v>
      </c>
      <c r="E20" s="22">
        <f t="shared" si="0"/>
        <v>1659516</v>
      </c>
      <c r="F20" s="23">
        <f t="shared" si="1"/>
        <v>0.25635885877767667</v>
      </c>
    </row>
    <row r="21" spans="1:11" ht="24" customHeight="1" x14ac:dyDescent="0.2">
      <c r="A21" s="20">
        <v>9</v>
      </c>
      <c r="B21" s="21" t="s">
        <v>24</v>
      </c>
      <c r="C21" s="22">
        <v>20025000</v>
      </c>
      <c r="D21" s="22">
        <v>28514000</v>
      </c>
      <c r="E21" s="22">
        <f t="shared" si="0"/>
        <v>8489000</v>
      </c>
      <c r="F21" s="23">
        <f t="shared" si="1"/>
        <v>0.42392009987515605</v>
      </c>
    </row>
    <row r="22" spans="1:11" ht="24" customHeight="1" x14ac:dyDescent="0.25">
      <c r="A22" s="24"/>
      <c r="B22" s="25" t="s">
        <v>25</v>
      </c>
      <c r="C22" s="26">
        <f>SUM(C13:C21)</f>
        <v>110602000</v>
      </c>
      <c r="D22" s="26">
        <f>SUM(D13:D21)</f>
        <v>134499000</v>
      </c>
      <c r="E22" s="26">
        <f t="shared" si="0"/>
        <v>23897000</v>
      </c>
      <c r="F22" s="27">
        <f t="shared" si="1"/>
        <v>0.21606300066906567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797000</v>
      </c>
      <c r="D25" s="22">
        <v>796000</v>
      </c>
      <c r="E25" s="22">
        <f>D25-C25</f>
        <v>-1000</v>
      </c>
      <c r="F25" s="23">
        <f>IF(C25=0,0,E25/C25)</f>
        <v>-1.2547051442910915E-3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39189000</v>
      </c>
      <c r="D26" s="22">
        <v>32677000</v>
      </c>
      <c r="E26" s="22">
        <f>D26-C26</f>
        <v>-6512000</v>
      </c>
      <c r="F26" s="23">
        <f>IF(C26=0,0,E26/C26)</f>
        <v>-0.16616907805761821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5000</v>
      </c>
      <c r="D27" s="22">
        <v>2000</v>
      </c>
      <c r="E27" s="22">
        <f>D27-C27</f>
        <v>-3000</v>
      </c>
      <c r="F27" s="23">
        <f>IF(C27=0,0,E27/C27)</f>
        <v>-0.6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39991000</v>
      </c>
      <c r="D29" s="26">
        <f>SUM(D25:D28)</f>
        <v>33475000</v>
      </c>
      <c r="E29" s="26">
        <f>D29-C29</f>
        <v>-6516000</v>
      </c>
      <c r="F29" s="27">
        <f>IF(C29=0,0,E29/C29)</f>
        <v>-0.16293666074866844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51267000</v>
      </c>
      <c r="D31" s="22">
        <v>56389000</v>
      </c>
      <c r="E31" s="22">
        <f>D31-C31</f>
        <v>5122000</v>
      </c>
      <c r="F31" s="23">
        <f>IF(C31=0,0,E31/C31)</f>
        <v>9.9908323092827739E-2</v>
      </c>
    </row>
    <row r="32" spans="1:11" ht="24" customHeight="1" x14ac:dyDescent="0.2">
      <c r="A32" s="20">
        <v>6</v>
      </c>
      <c r="B32" s="21" t="s">
        <v>34</v>
      </c>
      <c r="C32" s="22">
        <v>39879000</v>
      </c>
      <c r="D32" s="22">
        <v>45989000</v>
      </c>
      <c r="E32" s="22">
        <f>D32-C32</f>
        <v>6110000</v>
      </c>
      <c r="F32" s="23">
        <f>IF(C32=0,0,E32/C32)</f>
        <v>0.15321347074901578</v>
      </c>
    </row>
    <row r="33" spans="1:8" ht="24" customHeight="1" x14ac:dyDescent="0.2">
      <c r="A33" s="20">
        <v>7</v>
      </c>
      <c r="B33" s="21" t="s">
        <v>35</v>
      </c>
      <c r="C33" s="22">
        <v>26912000</v>
      </c>
      <c r="D33" s="22">
        <v>30236000</v>
      </c>
      <c r="E33" s="22">
        <f>D33-C33</f>
        <v>3324000</v>
      </c>
      <c r="F33" s="23">
        <f>IF(C33=0,0,E33/C33)</f>
        <v>0.12351367419738407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410832000</v>
      </c>
      <c r="D36" s="22">
        <v>422595000</v>
      </c>
      <c r="E36" s="22">
        <f>D36-C36</f>
        <v>11763000</v>
      </c>
      <c r="F36" s="23">
        <f>IF(C36=0,0,E36/C36)</f>
        <v>2.8632141605327725E-2</v>
      </c>
    </row>
    <row r="37" spans="1:8" ht="24" customHeight="1" x14ac:dyDescent="0.2">
      <c r="A37" s="20">
        <v>2</v>
      </c>
      <c r="B37" s="21" t="s">
        <v>39</v>
      </c>
      <c r="C37" s="22">
        <v>177284000</v>
      </c>
      <c r="D37" s="22">
        <v>194596000</v>
      </c>
      <c r="E37" s="22">
        <f>D37-C37</f>
        <v>17312000</v>
      </c>
      <c r="F37" s="23">
        <f>IF(C37=0,0,E37/C37)</f>
        <v>9.7651226280995471E-2</v>
      </c>
    </row>
    <row r="38" spans="1:8" ht="24" customHeight="1" x14ac:dyDescent="0.25">
      <c r="A38" s="24"/>
      <c r="B38" s="25" t="s">
        <v>40</v>
      </c>
      <c r="C38" s="26">
        <f>C36-C37</f>
        <v>233548000</v>
      </c>
      <c r="D38" s="26">
        <f>D36-D37</f>
        <v>227999000</v>
      </c>
      <c r="E38" s="26">
        <f>D38-C38</f>
        <v>-5549000</v>
      </c>
      <c r="F38" s="27">
        <f>IF(C38=0,0,E38/C38)</f>
        <v>-2.3759569767242708E-2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1339000</v>
      </c>
      <c r="D40" s="22">
        <v>138000</v>
      </c>
      <c r="E40" s="22">
        <f>D40-C40</f>
        <v>-1201000</v>
      </c>
      <c r="F40" s="23">
        <f>IF(C40=0,0,E40/C40)</f>
        <v>-0.89693801344286783</v>
      </c>
    </row>
    <row r="41" spans="1:8" ht="24" customHeight="1" x14ac:dyDescent="0.25">
      <c r="A41" s="24"/>
      <c r="B41" s="25" t="s">
        <v>42</v>
      </c>
      <c r="C41" s="26">
        <f>+C38+C40</f>
        <v>234887000</v>
      </c>
      <c r="D41" s="26">
        <f>+D38+D40</f>
        <v>228137000</v>
      </c>
      <c r="E41" s="26">
        <f>D41-C41</f>
        <v>-6750000</v>
      </c>
      <c r="F41" s="27">
        <f>IF(C41=0,0,E41/C41)</f>
        <v>-2.8737222579367953E-2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503538000</v>
      </c>
      <c r="D43" s="26">
        <f>D22+D29+D31+D32+D33+D41</f>
        <v>528725000</v>
      </c>
      <c r="E43" s="26">
        <f>D43-C43</f>
        <v>25187000</v>
      </c>
      <c r="F43" s="27">
        <f>IF(C43=0,0,E43/C43)</f>
        <v>5.0020058069103028E-2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17805000</v>
      </c>
      <c r="D49" s="22">
        <v>16539000</v>
      </c>
      <c r="E49" s="22">
        <f t="shared" ref="E49:E56" si="2">D49-C49</f>
        <v>-1266000</v>
      </c>
      <c r="F49" s="23">
        <f t="shared" ref="F49:F56" si="3">IF(C49=0,0,E49/C49)</f>
        <v>-7.1103622577927544E-2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11214000</v>
      </c>
      <c r="D50" s="22">
        <v>11995000</v>
      </c>
      <c r="E50" s="22">
        <f t="shared" si="2"/>
        <v>781000</v>
      </c>
      <c r="F50" s="23">
        <f t="shared" si="3"/>
        <v>6.9645086499019085E-2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492000</v>
      </c>
      <c r="D51" s="22">
        <v>1208000</v>
      </c>
      <c r="E51" s="22">
        <f t="shared" si="2"/>
        <v>716000</v>
      </c>
      <c r="F51" s="23">
        <f t="shared" si="3"/>
        <v>1.4552845528455285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2430000</v>
      </c>
      <c r="D53" s="22">
        <v>2505000</v>
      </c>
      <c r="E53" s="22">
        <f t="shared" si="2"/>
        <v>75000</v>
      </c>
      <c r="F53" s="23">
        <f t="shared" si="3"/>
        <v>3.0864197530864196E-2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20697000</v>
      </c>
      <c r="D55" s="22">
        <v>17577000</v>
      </c>
      <c r="E55" s="22">
        <f t="shared" si="2"/>
        <v>-3120000</v>
      </c>
      <c r="F55" s="23">
        <f t="shared" si="3"/>
        <v>-0.15074648499782578</v>
      </c>
    </row>
    <row r="56" spans="1:6" ht="24" customHeight="1" x14ac:dyDescent="0.25">
      <c r="A56" s="24"/>
      <c r="B56" s="25" t="s">
        <v>54</v>
      </c>
      <c r="C56" s="26">
        <f>SUM(C49:C55)</f>
        <v>52638000</v>
      </c>
      <c r="D56" s="26">
        <f>SUM(D49:D55)</f>
        <v>49824000</v>
      </c>
      <c r="E56" s="26">
        <f t="shared" si="2"/>
        <v>-2814000</v>
      </c>
      <c r="F56" s="27">
        <f t="shared" si="3"/>
        <v>-5.3459477943690867E-2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40215000</v>
      </c>
      <c r="D59" s="22">
        <v>37710000</v>
      </c>
      <c r="E59" s="22">
        <f>D59-C59</f>
        <v>-2505000</v>
      </c>
      <c r="F59" s="23">
        <f>IF(C59=0,0,E59/C59)</f>
        <v>-6.2290190227527041E-2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40215000</v>
      </c>
      <c r="D61" s="26">
        <f>SUM(D59:D60)</f>
        <v>37710000</v>
      </c>
      <c r="E61" s="26">
        <f>D61-C61</f>
        <v>-2505000</v>
      </c>
      <c r="F61" s="27">
        <f>IF(C61=0,0,E61/C61)</f>
        <v>-6.2290190227527041E-2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54164000</v>
      </c>
      <c r="D63" s="22">
        <v>23880000</v>
      </c>
      <c r="E63" s="22">
        <f>D63-C63</f>
        <v>-30284000</v>
      </c>
      <c r="F63" s="23">
        <f>IF(C63=0,0,E63/C63)</f>
        <v>-0.55911675651724391</v>
      </c>
    </row>
    <row r="64" spans="1:6" ht="24" customHeight="1" x14ac:dyDescent="0.2">
      <c r="A64" s="20">
        <v>4</v>
      </c>
      <c r="B64" s="21" t="s">
        <v>60</v>
      </c>
      <c r="C64" s="22">
        <v>36794000</v>
      </c>
      <c r="D64" s="22">
        <v>39687000</v>
      </c>
      <c r="E64" s="22">
        <f>D64-C64</f>
        <v>2893000</v>
      </c>
      <c r="F64" s="23">
        <f>IF(C64=0,0,E64/C64)</f>
        <v>7.8626950046203181E-2</v>
      </c>
    </row>
    <row r="65" spans="1:6" ht="24" customHeight="1" x14ac:dyDescent="0.25">
      <c r="A65" s="24"/>
      <c r="B65" s="25" t="s">
        <v>61</v>
      </c>
      <c r="C65" s="26">
        <f>SUM(C61:C64)</f>
        <v>131173000</v>
      </c>
      <c r="D65" s="26">
        <f>SUM(D61:D64)</f>
        <v>101277000</v>
      </c>
      <c r="E65" s="26">
        <f>D65-C65</f>
        <v>-29896000</v>
      </c>
      <c r="F65" s="27">
        <f>IF(C65=0,0,E65/C65)</f>
        <v>-0.22791275643615683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267939000</v>
      </c>
      <c r="D70" s="22">
        <v>318845000</v>
      </c>
      <c r="E70" s="22">
        <f>D70-C70</f>
        <v>50906000</v>
      </c>
      <c r="F70" s="23">
        <f>IF(C70=0,0,E70/C70)</f>
        <v>0.18999100541541172</v>
      </c>
    </row>
    <row r="71" spans="1:6" ht="24" customHeight="1" x14ac:dyDescent="0.2">
      <c r="A71" s="20">
        <v>2</v>
      </c>
      <c r="B71" s="21" t="s">
        <v>65</v>
      </c>
      <c r="C71" s="22">
        <v>29999000</v>
      </c>
      <c r="D71" s="22">
        <v>36543000</v>
      </c>
      <c r="E71" s="22">
        <f>D71-C71</f>
        <v>6544000</v>
      </c>
      <c r="F71" s="23">
        <f>IF(C71=0,0,E71/C71)</f>
        <v>0.21814060468682289</v>
      </c>
    </row>
    <row r="72" spans="1:6" ht="24" customHeight="1" x14ac:dyDescent="0.2">
      <c r="A72" s="20">
        <v>3</v>
      </c>
      <c r="B72" s="21" t="s">
        <v>66</v>
      </c>
      <c r="C72" s="22">
        <v>21789000</v>
      </c>
      <c r="D72" s="22">
        <v>22236000</v>
      </c>
      <c r="E72" s="22">
        <f>D72-C72</f>
        <v>447000</v>
      </c>
      <c r="F72" s="23">
        <f>IF(C72=0,0,E72/C72)</f>
        <v>2.0514938730552112E-2</v>
      </c>
    </row>
    <row r="73" spans="1:6" ht="24" customHeight="1" x14ac:dyDescent="0.25">
      <c r="A73" s="20"/>
      <c r="B73" s="25" t="s">
        <v>67</v>
      </c>
      <c r="C73" s="26">
        <f>SUM(C70:C72)</f>
        <v>319727000</v>
      </c>
      <c r="D73" s="26">
        <f>SUM(D70:D72)</f>
        <v>377624000</v>
      </c>
      <c r="E73" s="26">
        <f>D73-C73</f>
        <v>57897000</v>
      </c>
      <c r="F73" s="27">
        <f>IF(C73=0,0,E73/C73)</f>
        <v>0.18108261110259691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503538000</v>
      </c>
      <c r="D75" s="26">
        <f>D56+D65+D67+D73</f>
        <v>528725000</v>
      </c>
      <c r="E75" s="26">
        <f>D75-C75</f>
        <v>25187000</v>
      </c>
      <c r="F75" s="27">
        <f>IF(C75=0,0,E75/C75)</f>
        <v>5.0020058069103028E-2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310407000</v>
      </c>
      <c r="D11" s="76">
        <v>327382000</v>
      </c>
      <c r="E11" s="76">
        <v>328796000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12951000</v>
      </c>
      <c r="D12" s="185">
        <v>13249000</v>
      </c>
      <c r="E12" s="185">
        <v>13960000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323358000</v>
      </c>
      <c r="D13" s="76">
        <f>+D11+D12</f>
        <v>340631000</v>
      </c>
      <c r="E13" s="76">
        <f>+E11+E12</f>
        <v>342756000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314917000</v>
      </c>
      <c r="D14" s="185">
        <v>327936000</v>
      </c>
      <c r="E14" s="185">
        <v>327050000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8441000</v>
      </c>
      <c r="D15" s="76">
        <f>+D13-D14</f>
        <v>12695000</v>
      </c>
      <c r="E15" s="76">
        <f>+E13-E14</f>
        <v>15706000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-6254000</v>
      </c>
      <c r="D16" s="185">
        <v>-2618000</v>
      </c>
      <c r="E16" s="185">
        <v>3270000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2187000</v>
      </c>
      <c r="D17" s="76">
        <f>D15+D16</f>
        <v>10077000</v>
      </c>
      <c r="E17" s="76">
        <f>E15+E16</f>
        <v>18976000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2.6619027196124932E-2</v>
      </c>
      <c r="D20" s="189">
        <f>IF(+D27=0,0,+D24/+D27)</f>
        <v>3.7557727069668916E-2</v>
      </c>
      <c r="E20" s="189">
        <f>IF(+E27=0,0,+E24/+E27)</f>
        <v>4.5389652800656599E-2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-1.972223623795348E-2</v>
      </c>
      <c r="D21" s="189">
        <f>IF(+D27=0,0,+D26/+D27)</f>
        <v>-7.7452642353992305E-3</v>
      </c>
      <c r="E21" s="189">
        <f>IF(+E27=0,0,+E26/+E27)</f>
        <v>9.4501569246241614E-3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6.8967909581714518E-3</v>
      </c>
      <c r="D22" s="189">
        <f>IF(+D27=0,0,+D28/+D27)</f>
        <v>2.9812462834269689E-2</v>
      </c>
      <c r="E22" s="189">
        <f>IF(+E27=0,0,+E28/+E27)</f>
        <v>5.4839809725280762E-2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8441000</v>
      </c>
      <c r="D24" s="76">
        <f>+D15</f>
        <v>12695000</v>
      </c>
      <c r="E24" s="76">
        <f>+E15</f>
        <v>15706000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323358000</v>
      </c>
      <c r="D25" s="76">
        <f>+D13</f>
        <v>340631000</v>
      </c>
      <c r="E25" s="76">
        <f>+E13</f>
        <v>342756000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-6254000</v>
      </c>
      <c r="D26" s="76">
        <f>+D16</f>
        <v>-2618000</v>
      </c>
      <c r="E26" s="76">
        <f>+E16</f>
        <v>3270000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317104000</v>
      </c>
      <c r="D27" s="76">
        <f>SUM(D25:D26)</f>
        <v>338013000</v>
      </c>
      <c r="E27" s="76">
        <f>SUM(E25:E26)</f>
        <v>346026000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2187000</v>
      </c>
      <c r="D28" s="76">
        <f>+D17</f>
        <v>10077000</v>
      </c>
      <c r="E28" s="76">
        <f>+E17</f>
        <v>18976000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297016000</v>
      </c>
      <c r="D31" s="76">
        <v>299329000</v>
      </c>
      <c r="E31" s="76">
        <v>351359000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341983000</v>
      </c>
      <c r="D32" s="76">
        <v>351117000</v>
      </c>
      <c r="E32" s="76">
        <v>410138000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-17758000</v>
      </c>
      <c r="D33" s="76">
        <f>+D32-C32</f>
        <v>9134000</v>
      </c>
      <c r="E33" s="76">
        <f>+E32-D32</f>
        <v>59021000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0.9506</v>
      </c>
      <c r="D34" s="193">
        <f>IF(C32=0,0,+D33/C32)</f>
        <v>2.670892997605144E-2</v>
      </c>
      <c r="E34" s="193">
        <f>IF(D32=0,0,+E33/D32)</f>
        <v>0.16809496549583186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2.1270506862639142</v>
      </c>
      <c r="D38" s="338">
        <f>IF(+D40=0,0,+D39/+D40)</f>
        <v>1.851033589406833</v>
      </c>
      <c r="E38" s="338">
        <f>IF(+E40=0,0,+E39/+E40)</f>
        <v>2.3418157196862834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98408000</v>
      </c>
      <c r="D39" s="341">
        <v>102886000</v>
      </c>
      <c r="E39" s="341">
        <v>124512000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46265000</v>
      </c>
      <c r="D40" s="341">
        <v>55583000</v>
      </c>
      <c r="E40" s="341">
        <v>53169000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71.164730373595333</v>
      </c>
      <c r="D42" s="343">
        <f>IF((D48/365)=0,0,+D45/(D48/365))</f>
        <v>56.351151427848393</v>
      </c>
      <c r="E42" s="343">
        <f>IF((E48/365)=0,0,+E45/(E48/365))</f>
        <v>78.667791945934056</v>
      </c>
    </row>
    <row r="43" spans="1:14" ht="24" customHeight="1" x14ac:dyDescent="0.2">
      <c r="A43" s="339">
        <v>5</v>
      </c>
      <c r="B43" s="344" t="s">
        <v>16</v>
      </c>
      <c r="C43" s="345">
        <v>35827000</v>
      </c>
      <c r="D43" s="345">
        <v>37343000</v>
      </c>
      <c r="E43" s="345">
        <v>29569000</v>
      </c>
    </row>
    <row r="44" spans="1:14" ht="24" customHeight="1" x14ac:dyDescent="0.2">
      <c r="A44" s="339">
        <v>6</v>
      </c>
      <c r="B44" s="346" t="s">
        <v>17</v>
      </c>
      <c r="C44" s="345">
        <v>21585000</v>
      </c>
      <c r="D44" s="345">
        <v>10243000</v>
      </c>
      <c r="E44" s="345">
        <v>36063000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57412000</v>
      </c>
      <c r="D45" s="341">
        <f>+D43+D44</f>
        <v>47586000</v>
      </c>
      <c r="E45" s="341">
        <f>+E43+E44</f>
        <v>65632000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314917000</v>
      </c>
      <c r="D46" s="341">
        <f>+D14</f>
        <v>327936000</v>
      </c>
      <c r="E46" s="341">
        <f>+E14</f>
        <v>327050000</v>
      </c>
    </row>
    <row r="47" spans="1:14" ht="24" customHeight="1" x14ac:dyDescent="0.2">
      <c r="A47" s="339">
        <v>9</v>
      </c>
      <c r="B47" s="340" t="s">
        <v>356</v>
      </c>
      <c r="C47" s="341">
        <v>20454000</v>
      </c>
      <c r="D47" s="341">
        <v>19710000</v>
      </c>
      <c r="E47" s="341">
        <v>22533000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294463000</v>
      </c>
      <c r="D48" s="341">
        <f>+D46-D47</f>
        <v>308226000</v>
      </c>
      <c r="E48" s="341">
        <f>+E46-E47</f>
        <v>304517000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40.313717151997217</v>
      </c>
      <c r="D50" s="350">
        <f>IF((D55/365)=0,0,+D54/(D55/365))</f>
        <v>43.780110085465907</v>
      </c>
      <c r="E50" s="350">
        <f>IF((E55/365)=0,0,+E54/(E55/365))</f>
        <v>40.045146701906354</v>
      </c>
    </row>
    <row r="51" spans="1:5" ht="24" customHeight="1" x14ac:dyDescent="0.2">
      <c r="A51" s="339">
        <v>12</v>
      </c>
      <c r="B51" s="344" t="s">
        <v>359</v>
      </c>
      <c r="C51" s="351">
        <v>34512000</v>
      </c>
      <c r="D51" s="351">
        <v>39760000</v>
      </c>
      <c r="E51" s="351">
        <v>37281000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228000</v>
      </c>
      <c r="D53" s="341">
        <v>492000</v>
      </c>
      <c r="E53" s="341">
        <v>1207893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34284000</v>
      </c>
      <c r="D54" s="352">
        <f>+D51+D52-D53</f>
        <v>39268000</v>
      </c>
      <c r="E54" s="352">
        <f>+E51+E52-E53</f>
        <v>36073107</v>
      </c>
    </row>
    <row r="55" spans="1:5" ht="24" customHeight="1" x14ac:dyDescent="0.2">
      <c r="A55" s="339">
        <v>16</v>
      </c>
      <c r="B55" s="340" t="s">
        <v>75</v>
      </c>
      <c r="C55" s="341">
        <f>+C11</f>
        <v>310407000</v>
      </c>
      <c r="D55" s="341">
        <f>+D11</f>
        <v>327382000</v>
      </c>
      <c r="E55" s="341">
        <f>+E11</f>
        <v>328796000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57.347527533170556</v>
      </c>
      <c r="D57" s="355">
        <f>IF((D61/365)=0,0,+D58/(D61/365))</f>
        <v>65.821166935949591</v>
      </c>
      <c r="E57" s="355">
        <f>IF((E61/365)=0,0,+E58/(E61/365))</f>
        <v>63.729397701934538</v>
      </c>
    </row>
    <row r="58" spans="1:5" ht="24" customHeight="1" x14ac:dyDescent="0.2">
      <c r="A58" s="339">
        <v>18</v>
      </c>
      <c r="B58" s="340" t="s">
        <v>54</v>
      </c>
      <c r="C58" s="353">
        <f>+C40</f>
        <v>46265000</v>
      </c>
      <c r="D58" s="353">
        <f>+D40</f>
        <v>55583000</v>
      </c>
      <c r="E58" s="353">
        <f>+E40</f>
        <v>53169000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314917000</v>
      </c>
      <c r="D59" s="353">
        <f t="shared" si="0"/>
        <v>327936000</v>
      </c>
      <c r="E59" s="353">
        <f t="shared" si="0"/>
        <v>327050000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20454000</v>
      </c>
      <c r="D60" s="356">
        <f t="shared" si="0"/>
        <v>19710000</v>
      </c>
      <c r="E60" s="356">
        <f t="shared" si="0"/>
        <v>22533000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294463000</v>
      </c>
      <c r="D61" s="353">
        <f>+D59-D60</f>
        <v>308226000</v>
      </c>
      <c r="E61" s="353">
        <f>+E59-E60</f>
        <v>304517000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67.319090635291516</v>
      </c>
      <c r="D65" s="357">
        <f>IF(D67=0,0,(D66/D67)*100)</f>
        <v>65.051903755264021</v>
      </c>
      <c r="E65" s="357">
        <f>IF(E67=0,0,(E66/E67)*100)</f>
        <v>72.530589652129478</v>
      </c>
    </row>
    <row r="66" spans="1:5" ht="24" customHeight="1" x14ac:dyDescent="0.2">
      <c r="A66" s="339">
        <v>2</v>
      </c>
      <c r="B66" s="340" t="s">
        <v>67</v>
      </c>
      <c r="C66" s="353">
        <f>+C32</f>
        <v>341983000</v>
      </c>
      <c r="D66" s="353">
        <f>+D32</f>
        <v>351117000</v>
      </c>
      <c r="E66" s="353">
        <f>+E32</f>
        <v>410138000</v>
      </c>
    </row>
    <row r="67" spans="1:5" ht="24" customHeight="1" x14ac:dyDescent="0.2">
      <c r="A67" s="339">
        <v>3</v>
      </c>
      <c r="B67" s="340" t="s">
        <v>43</v>
      </c>
      <c r="C67" s="353">
        <v>508003000</v>
      </c>
      <c r="D67" s="353">
        <v>539749000</v>
      </c>
      <c r="E67" s="353">
        <v>565469000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25.465077044202001</v>
      </c>
      <c r="D69" s="357">
        <f>IF(D75=0,0,(D72/D75)*100)</f>
        <v>31.093551013591096</v>
      </c>
      <c r="E69" s="357">
        <f>IF(E75=0,0,(E72/E75)*100)</f>
        <v>45.675018431100696</v>
      </c>
    </row>
    <row r="70" spans="1:5" ht="24" customHeight="1" x14ac:dyDescent="0.2">
      <c r="A70" s="339">
        <v>5</v>
      </c>
      <c r="B70" s="340" t="s">
        <v>366</v>
      </c>
      <c r="C70" s="353">
        <f>+C28</f>
        <v>2187000</v>
      </c>
      <c r="D70" s="353">
        <f>+D28</f>
        <v>10077000</v>
      </c>
      <c r="E70" s="353">
        <f>+E28</f>
        <v>18976000</v>
      </c>
    </row>
    <row r="71" spans="1:5" ht="24" customHeight="1" x14ac:dyDescent="0.2">
      <c r="A71" s="339">
        <v>6</v>
      </c>
      <c r="B71" s="340" t="s">
        <v>356</v>
      </c>
      <c r="C71" s="356">
        <f>+C47</f>
        <v>20454000</v>
      </c>
      <c r="D71" s="356">
        <f>+D47</f>
        <v>19710000</v>
      </c>
      <c r="E71" s="356">
        <f>+E47</f>
        <v>22533000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22641000</v>
      </c>
      <c r="D72" s="353">
        <f>+D70+D71</f>
        <v>29787000</v>
      </c>
      <c r="E72" s="353">
        <f>+E70+E71</f>
        <v>41509000</v>
      </c>
    </row>
    <row r="73" spans="1:5" ht="24" customHeight="1" x14ac:dyDescent="0.2">
      <c r="A73" s="339">
        <v>8</v>
      </c>
      <c r="B73" s="340" t="s">
        <v>54</v>
      </c>
      <c r="C73" s="341">
        <f>+C40</f>
        <v>46265000</v>
      </c>
      <c r="D73" s="341">
        <f>+D40</f>
        <v>55583000</v>
      </c>
      <c r="E73" s="341">
        <f>+E40</f>
        <v>53169000</v>
      </c>
    </row>
    <row r="74" spans="1:5" ht="24" customHeight="1" x14ac:dyDescent="0.2">
      <c r="A74" s="339">
        <v>9</v>
      </c>
      <c r="B74" s="340" t="s">
        <v>58</v>
      </c>
      <c r="C74" s="353">
        <v>42645000</v>
      </c>
      <c r="D74" s="353">
        <v>40215000</v>
      </c>
      <c r="E74" s="353">
        <v>37710000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88910000</v>
      </c>
      <c r="D75" s="341">
        <f>+D73+D74</f>
        <v>95798000</v>
      </c>
      <c r="E75" s="341">
        <f>+E73+E74</f>
        <v>90879000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11.0873363353682</v>
      </c>
      <c r="D77" s="359">
        <f>IF(D80=0,0,(D78/D80)*100)</f>
        <v>10.276440464873815</v>
      </c>
      <c r="E77" s="359">
        <f>IF(E80=0,0,(E78/E80)*100)</f>
        <v>8.4202675907897309</v>
      </c>
    </row>
    <row r="78" spans="1:5" ht="24" customHeight="1" x14ac:dyDescent="0.2">
      <c r="A78" s="339">
        <v>12</v>
      </c>
      <c r="B78" s="340" t="s">
        <v>58</v>
      </c>
      <c r="C78" s="341">
        <f>+C74</f>
        <v>42645000</v>
      </c>
      <c r="D78" s="341">
        <f>+D74</f>
        <v>40215000</v>
      </c>
      <c r="E78" s="341">
        <f>+E74</f>
        <v>37710000</v>
      </c>
    </row>
    <row r="79" spans="1:5" ht="24" customHeight="1" x14ac:dyDescent="0.2">
      <c r="A79" s="339">
        <v>13</v>
      </c>
      <c r="B79" s="340" t="s">
        <v>67</v>
      </c>
      <c r="C79" s="341">
        <f>+C32</f>
        <v>341983000</v>
      </c>
      <c r="D79" s="341">
        <f>+D32</f>
        <v>351117000</v>
      </c>
      <c r="E79" s="341">
        <f>+E32</f>
        <v>410138000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384628000</v>
      </c>
      <c r="D80" s="341">
        <f>+D78+D79</f>
        <v>391332000</v>
      </c>
      <c r="E80" s="341">
        <f>+E78+E79</f>
        <v>447848000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34214</v>
      </c>
      <c r="D11" s="376">
        <v>7782</v>
      </c>
      <c r="E11" s="376">
        <v>7735</v>
      </c>
      <c r="F11" s="377">
        <v>129</v>
      </c>
      <c r="G11" s="377">
        <v>129</v>
      </c>
      <c r="H11" s="378">
        <f>IF(F11=0,0,$C11/(F11*365))</f>
        <v>0.72664330466178184</v>
      </c>
      <c r="I11" s="378">
        <f>IF(G11=0,0,$C11/(G11*365))</f>
        <v>0.72664330466178184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2045</v>
      </c>
      <c r="D13" s="376">
        <v>179</v>
      </c>
      <c r="E13" s="376">
        <v>0</v>
      </c>
      <c r="F13" s="377">
        <v>10</v>
      </c>
      <c r="G13" s="377">
        <v>10</v>
      </c>
      <c r="H13" s="378">
        <f>IF(F13=0,0,$C13/(F13*365))</f>
        <v>0.5602739726027397</v>
      </c>
      <c r="I13" s="378">
        <f>IF(G13=0,0,$C13/(G13*365))</f>
        <v>0.5602739726027397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7313</v>
      </c>
      <c r="D21" s="376">
        <v>2234</v>
      </c>
      <c r="E21" s="376">
        <v>2256</v>
      </c>
      <c r="F21" s="377">
        <v>25</v>
      </c>
      <c r="G21" s="377">
        <v>25</v>
      </c>
      <c r="H21" s="378">
        <f>IF(F21=0,0,$C21/(F21*365))</f>
        <v>0.80142465753424652</v>
      </c>
      <c r="I21" s="378">
        <f>IF(G21=0,0,$C21/(G21*365))</f>
        <v>0.80142465753424652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5192</v>
      </c>
      <c r="D23" s="376">
        <v>1945</v>
      </c>
      <c r="E23" s="376">
        <v>1942</v>
      </c>
      <c r="F23" s="377">
        <v>22</v>
      </c>
      <c r="G23" s="377">
        <v>22</v>
      </c>
      <c r="H23" s="378">
        <f>IF(F23=0,0,$C23/(F23*365))</f>
        <v>0.64657534246575343</v>
      </c>
      <c r="I23" s="378">
        <f>IF(G23=0,0,$C23/(G23*365))</f>
        <v>0.64657534246575343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2684</v>
      </c>
      <c r="D25" s="376">
        <v>247</v>
      </c>
      <c r="E25" s="376">
        <v>0</v>
      </c>
      <c r="F25" s="377">
        <v>10</v>
      </c>
      <c r="G25" s="377">
        <v>10</v>
      </c>
      <c r="H25" s="378">
        <f>IF(F25=0,0,$C25/(F25*365))</f>
        <v>0.73534246575342466</v>
      </c>
      <c r="I25" s="378">
        <f>IF(G25=0,0,$C25/(G25*365))</f>
        <v>0.73534246575342466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516</v>
      </c>
      <c r="D27" s="376">
        <v>231</v>
      </c>
      <c r="E27" s="376">
        <v>259</v>
      </c>
      <c r="F27" s="377">
        <v>10</v>
      </c>
      <c r="G27" s="377">
        <v>10</v>
      </c>
      <c r="H27" s="378">
        <f>IF(F27=0,0,$C27/(F27*365))</f>
        <v>0.14136986301369864</v>
      </c>
      <c r="I27" s="378">
        <f>IF(G27=0,0,$C27/(G27*365))</f>
        <v>0.14136986301369864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46772</v>
      </c>
      <c r="D31" s="384">
        <f>SUM(D10:D29)-D13-D17-D23</f>
        <v>10494</v>
      </c>
      <c r="E31" s="384">
        <f>SUM(E10:E29)-E17-E23</f>
        <v>10250</v>
      </c>
      <c r="F31" s="384">
        <f>SUM(F10:F29)-F17-F23</f>
        <v>184</v>
      </c>
      <c r="G31" s="384">
        <f>SUM(G10:G29)-G17-G23</f>
        <v>184</v>
      </c>
      <c r="H31" s="385">
        <f>IF(F31=0,0,$C31/(F31*365))</f>
        <v>0.69642644431209055</v>
      </c>
      <c r="I31" s="385">
        <f>IF(G31=0,0,$C31/(G31*365))</f>
        <v>0.69642644431209055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51964</v>
      </c>
      <c r="D33" s="384">
        <f>SUM(D10:D29)-D13-D17</f>
        <v>12439</v>
      </c>
      <c r="E33" s="384">
        <f>SUM(E10:E29)-E17</f>
        <v>12192</v>
      </c>
      <c r="F33" s="384">
        <f>SUM(F10:F29)-F17</f>
        <v>206</v>
      </c>
      <c r="G33" s="384">
        <f>SUM(G10:G29)-G17</f>
        <v>206</v>
      </c>
      <c r="H33" s="385">
        <f>IF(F33=0,0,$C33/(F33*365))</f>
        <v>0.69110254023141371</v>
      </c>
      <c r="I33" s="385">
        <f>IF(G33=0,0,$C33/(G33*365))</f>
        <v>0.69110254023141371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51964</v>
      </c>
      <c r="D36" s="384">
        <f t="shared" si="1"/>
        <v>12439</v>
      </c>
      <c r="E36" s="384">
        <f t="shared" si="1"/>
        <v>12192</v>
      </c>
      <c r="F36" s="384">
        <f t="shared" si="1"/>
        <v>206</v>
      </c>
      <c r="G36" s="384">
        <f t="shared" si="1"/>
        <v>206</v>
      </c>
      <c r="H36" s="387">
        <f t="shared" si="1"/>
        <v>0.69110254023141371</v>
      </c>
      <c r="I36" s="387">
        <f t="shared" si="1"/>
        <v>0.69110254023141371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51919</v>
      </c>
      <c r="D37" s="384">
        <v>13027</v>
      </c>
      <c r="E37" s="384">
        <v>12273</v>
      </c>
      <c r="F37" s="386">
        <v>206</v>
      </c>
      <c r="G37" s="386">
        <v>206</v>
      </c>
      <c r="H37" s="385">
        <f>IF(F37=0,0,$C37/(F37*365))</f>
        <v>0.69050405639047741</v>
      </c>
      <c r="I37" s="385">
        <f>IF(G37=0,0,$C37/(G37*365))</f>
        <v>0.69050405639047741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45</v>
      </c>
      <c r="D38" s="384">
        <f t="shared" si="2"/>
        <v>-588</v>
      </c>
      <c r="E38" s="384">
        <f t="shared" si="2"/>
        <v>-81</v>
      </c>
      <c r="F38" s="384">
        <f t="shared" si="2"/>
        <v>0</v>
      </c>
      <c r="G38" s="384">
        <f t="shared" si="2"/>
        <v>0</v>
      </c>
      <c r="H38" s="387">
        <f t="shared" si="2"/>
        <v>5.9848384093630358E-4</v>
      </c>
      <c r="I38" s="387">
        <f t="shared" si="2"/>
        <v>5.9848384093630358E-4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8.6673472139293896E-4</v>
      </c>
      <c r="D40" s="389">
        <f t="shared" si="3"/>
        <v>-4.5137023105857065E-2</v>
      </c>
      <c r="E40" s="389">
        <f t="shared" si="3"/>
        <v>-6.5998533365925205E-3</v>
      </c>
      <c r="F40" s="389">
        <f t="shared" si="3"/>
        <v>0</v>
      </c>
      <c r="G40" s="389">
        <f t="shared" si="3"/>
        <v>0</v>
      </c>
      <c r="H40" s="389">
        <f t="shared" si="3"/>
        <v>8.6673472139295186E-4</v>
      </c>
      <c r="I40" s="389">
        <f t="shared" si="3"/>
        <v>8.6673472139295186E-4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206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5659</v>
      </c>
      <c r="D12" s="409">
        <v>5691</v>
      </c>
      <c r="E12" s="409">
        <f>+D12-C12</f>
        <v>32</v>
      </c>
      <c r="F12" s="410">
        <f>IF(C12=0,0,+E12/C12)</f>
        <v>5.6547093125993994E-3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6948</v>
      </c>
      <c r="D13" s="409">
        <v>5856</v>
      </c>
      <c r="E13" s="409">
        <f>+D13-C13</f>
        <v>-1092</v>
      </c>
      <c r="F13" s="410">
        <f>IF(C13=0,0,+E13/C13)</f>
        <v>-0.15716753022452504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5373</v>
      </c>
      <c r="D14" s="409">
        <v>6180</v>
      </c>
      <c r="E14" s="409">
        <f>+D14-C14</f>
        <v>807</v>
      </c>
      <c r="F14" s="410">
        <f>IF(C14=0,0,+E14/C14)</f>
        <v>0.15019542155220547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630</v>
      </c>
      <c r="D15" s="409">
        <v>624</v>
      </c>
      <c r="E15" s="409">
        <f>+D15-C15</f>
        <v>-6</v>
      </c>
      <c r="F15" s="410">
        <f>IF(C15=0,0,+E15/C15)</f>
        <v>-9.5238095238095247E-3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18610</v>
      </c>
      <c r="D16" s="401">
        <f>SUM(D12:D15)</f>
        <v>18351</v>
      </c>
      <c r="E16" s="401">
        <f>+D16-C16</f>
        <v>-259</v>
      </c>
      <c r="F16" s="402">
        <f>IF(C16=0,0,+E16/C16)</f>
        <v>-1.3917248790972595E-2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1063</v>
      </c>
      <c r="D19" s="409">
        <v>1167</v>
      </c>
      <c r="E19" s="409">
        <f>+D19-C19</f>
        <v>104</v>
      </c>
      <c r="F19" s="410">
        <f>IF(C19=0,0,+E19/C19)</f>
        <v>9.7836312323612423E-2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6807</v>
      </c>
      <c r="D20" s="409">
        <v>6218</v>
      </c>
      <c r="E20" s="409">
        <f>+D20-C20</f>
        <v>-589</v>
      </c>
      <c r="F20" s="410">
        <f>IF(C20=0,0,+E20/C20)</f>
        <v>-8.6528573527251365E-2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133</v>
      </c>
      <c r="D21" s="409">
        <v>119</v>
      </c>
      <c r="E21" s="409">
        <f>+D21-C21</f>
        <v>-14</v>
      </c>
      <c r="F21" s="410">
        <f>IF(C21=0,0,+E21/C21)</f>
        <v>-0.10526315789473684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1801</v>
      </c>
      <c r="D22" s="409">
        <v>1364</v>
      </c>
      <c r="E22" s="409">
        <f>+D22-C22</f>
        <v>-437</v>
      </c>
      <c r="F22" s="410">
        <f>IF(C22=0,0,+E22/C22)</f>
        <v>-0.24264297612437535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9804</v>
      </c>
      <c r="D23" s="401">
        <f>SUM(D19:D22)</f>
        <v>8868</v>
      </c>
      <c r="E23" s="401">
        <f>+D23-C23</f>
        <v>-936</v>
      </c>
      <c r="F23" s="402">
        <f>IF(C23=0,0,+E23/C23)</f>
        <v>-9.5471236230110154E-2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31</v>
      </c>
      <c r="D33" s="409">
        <v>18</v>
      </c>
      <c r="E33" s="409">
        <f>+D33-C33</f>
        <v>-13</v>
      </c>
      <c r="F33" s="410">
        <f>IF(C33=0,0,+E33/C33)</f>
        <v>-0.41935483870967744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836</v>
      </c>
      <c r="D34" s="409">
        <v>686</v>
      </c>
      <c r="E34" s="409">
        <f>+D34-C34</f>
        <v>-150</v>
      </c>
      <c r="F34" s="410">
        <f>IF(C34=0,0,+E34/C34)</f>
        <v>-0.17942583732057416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1</v>
      </c>
      <c r="E35" s="409">
        <f>+D35-C35</f>
        <v>1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867</v>
      </c>
      <c r="D37" s="401">
        <f>SUM(D33:D36)</f>
        <v>705</v>
      </c>
      <c r="E37" s="401">
        <f>+D37-C37</f>
        <v>-162</v>
      </c>
      <c r="F37" s="402">
        <f>IF(C37=0,0,+E37/C37)</f>
        <v>-0.18685121107266436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150</v>
      </c>
      <c r="D43" s="409">
        <v>48</v>
      </c>
      <c r="E43" s="409">
        <f>+D43-C43</f>
        <v>-102</v>
      </c>
      <c r="F43" s="410">
        <f>IF(C43=0,0,+E43/C43)</f>
        <v>-0.68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5887</v>
      </c>
      <c r="D44" s="409">
        <v>5083</v>
      </c>
      <c r="E44" s="409">
        <f>+D44-C44</f>
        <v>-804</v>
      </c>
      <c r="F44" s="410">
        <f>IF(C44=0,0,+E44/C44)</f>
        <v>-0.13657210803465261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6037</v>
      </c>
      <c r="D45" s="401">
        <f>SUM(D43:D44)</f>
        <v>5131</v>
      </c>
      <c r="E45" s="401">
        <f>+D45-C45</f>
        <v>-906</v>
      </c>
      <c r="F45" s="402">
        <f>IF(C45=0,0,+E45/C45)</f>
        <v>-0.15007454033460327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184</v>
      </c>
      <c r="D48" s="409">
        <v>144</v>
      </c>
      <c r="E48" s="409">
        <f>+D48-C48</f>
        <v>-40</v>
      </c>
      <c r="F48" s="410">
        <f>IF(C48=0,0,+E48/C48)</f>
        <v>-0.21739130434782608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65</v>
      </c>
      <c r="D49" s="409">
        <v>62</v>
      </c>
      <c r="E49" s="409">
        <f>+D49-C49</f>
        <v>-3</v>
      </c>
      <c r="F49" s="410">
        <f>IF(C49=0,0,+E49/C49)</f>
        <v>-4.6153846153846156E-2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249</v>
      </c>
      <c r="D50" s="401">
        <f>SUM(D48:D49)</f>
        <v>206</v>
      </c>
      <c r="E50" s="401">
        <f>+D50-C50</f>
        <v>-43</v>
      </c>
      <c r="F50" s="402">
        <f>IF(C50=0,0,+E50/C50)</f>
        <v>-0.17269076305220885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39</v>
      </c>
      <c r="D53" s="409">
        <v>45</v>
      </c>
      <c r="E53" s="409">
        <f>+D53-C53</f>
        <v>6</v>
      </c>
      <c r="F53" s="410">
        <f>IF(C53=0,0,+E53/C53)</f>
        <v>0.15384615384615385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39</v>
      </c>
      <c r="D55" s="401">
        <f>SUM(D53:D54)</f>
        <v>45</v>
      </c>
      <c r="E55" s="401">
        <f>+D55-C55</f>
        <v>6</v>
      </c>
      <c r="F55" s="402">
        <f>IF(C55=0,0,+E55/C55)</f>
        <v>0.15384615384615385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</v>
      </c>
      <c r="D58" s="409">
        <v>2</v>
      </c>
      <c r="E58" s="409">
        <f>+D58-C58</f>
        <v>1</v>
      </c>
      <c r="F58" s="410">
        <f>IF(C58=0,0,+E58/C58)</f>
        <v>1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1</v>
      </c>
      <c r="E59" s="409">
        <f>+D59-C59</f>
        <v>1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1</v>
      </c>
      <c r="D60" s="401">
        <f>SUM(D58:D59)</f>
        <v>3</v>
      </c>
      <c r="E60" s="401">
        <f>SUM(E58:E59)</f>
        <v>2</v>
      </c>
      <c r="F60" s="402">
        <f>IF(C60=0,0,+E60/C60)</f>
        <v>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1939</v>
      </c>
      <c r="D63" s="409">
        <v>2282</v>
      </c>
      <c r="E63" s="409">
        <f>+D63-C63</f>
        <v>343</v>
      </c>
      <c r="F63" s="410">
        <f>IF(C63=0,0,+E63/C63)</f>
        <v>0.17689530685920576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5783</v>
      </c>
      <c r="D64" s="409">
        <v>4567</v>
      </c>
      <c r="E64" s="409">
        <f>+D64-C64</f>
        <v>-1216</v>
      </c>
      <c r="F64" s="410">
        <f>IF(C64=0,0,+E64/C64)</f>
        <v>-0.21027148538820681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7722</v>
      </c>
      <c r="D65" s="401">
        <f>SUM(D63:D64)</f>
        <v>6849</v>
      </c>
      <c r="E65" s="401">
        <f>+D65-C65</f>
        <v>-873</v>
      </c>
      <c r="F65" s="402">
        <f>IF(C65=0,0,+E65/C65)</f>
        <v>-0.11305361305361306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359</v>
      </c>
      <c r="D68" s="409">
        <v>383</v>
      </c>
      <c r="E68" s="409">
        <f>+D68-C68</f>
        <v>24</v>
      </c>
      <c r="F68" s="410">
        <f>IF(C68=0,0,+E68/C68)</f>
        <v>6.6852367688022288E-2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2820</v>
      </c>
      <c r="D69" s="409">
        <v>2934</v>
      </c>
      <c r="E69" s="409">
        <f>+D69-C69</f>
        <v>114</v>
      </c>
      <c r="F69" s="412">
        <f>IF(C69=0,0,+E69/C69)</f>
        <v>4.042553191489362E-2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3179</v>
      </c>
      <c r="D70" s="401">
        <f>SUM(D68:D69)</f>
        <v>3317</v>
      </c>
      <c r="E70" s="401">
        <f>+D70-C70</f>
        <v>138</v>
      </c>
      <c r="F70" s="402">
        <f>IF(C70=0,0,+E70/C70)</f>
        <v>4.3409877319911923E-2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7663</v>
      </c>
      <c r="D73" s="376">
        <v>7527</v>
      </c>
      <c r="E73" s="409">
        <f>+D73-C73</f>
        <v>-136</v>
      </c>
      <c r="F73" s="410">
        <f>IF(C73=0,0,+E73/C73)</f>
        <v>-1.7747618426203836E-2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35924</v>
      </c>
      <c r="D74" s="376">
        <v>34925</v>
      </c>
      <c r="E74" s="409">
        <f>+D74-C74</f>
        <v>-999</v>
      </c>
      <c r="F74" s="410">
        <f>IF(C74=0,0,+E74/C74)</f>
        <v>-2.7808707270905245E-2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43587</v>
      </c>
      <c r="D75" s="401">
        <f>SUM(D73:D74)</f>
        <v>42452</v>
      </c>
      <c r="E75" s="401">
        <f>SUM(E73:E74)</f>
        <v>-1135</v>
      </c>
      <c r="F75" s="402">
        <f>IF(C75=0,0,+E75/C75)</f>
        <v>-2.6039874274439625E-2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5645</v>
      </c>
      <c r="D79" s="376">
        <v>7447</v>
      </c>
      <c r="E79" s="409">
        <f t="shared" ref="E79:E92" si="0">+D79-C79</f>
        <v>1802</v>
      </c>
      <c r="F79" s="410">
        <f t="shared" ref="F79:F92" si="1">IF(C79=0,0,+E79/C79)</f>
        <v>0.31922054915854736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7414</v>
      </c>
      <c r="D81" s="376">
        <v>7792</v>
      </c>
      <c r="E81" s="409">
        <f t="shared" si="0"/>
        <v>378</v>
      </c>
      <c r="F81" s="410">
        <f t="shared" si="1"/>
        <v>5.0984623684920419E-2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9736</v>
      </c>
      <c r="D82" s="376">
        <v>0</v>
      </c>
      <c r="E82" s="409">
        <f t="shared" si="0"/>
        <v>-9736</v>
      </c>
      <c r="F82" s="410">
        <f t="shared" si="1"/>
        <v>-1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9772</v>
      </c>
      <c r="E85" s="409">
        <f t="shared" si="0"/>
        <v>9772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3927</v>
      </c>
      <c r="D87" s="376">
        <v>0</v>
      </c>
      <c r="E87" s="409">
        <f t="shared" si="0"/>
        <v>-3927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2853</v>
      </c>
      <c r="E91" s="409">
        <f t="shared" si="0"/>
        <v>2853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26722</v>
      </c>
      <c r="D92" s="381">
        <f>SUM(D79:D91)</f>
        <v>27864</v>
      </c>
      <c r="E92" s="401">
        <f t="shared" si="0"/>
        <v>1142</v>
      </c>
      <c r="F92" s="402">
        <f t="shared" si="1"/>
        <v>4.2736322131576979E-2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26540</v>
      </c>
      <c r="D95" s="414">
        <v>32762</v>
      </c>
      <c r="E95" s="415">
        <f t="shared" ref="E95:E100" si="2">+D95-C95</f>
        <v>6222</v>
      </c>
      <c r="F95" s="412">
        <f t="shared" ref="F95:F100" si="3">IF(C95=0,0,+E95/C95)</f>
        <v>0.23443858327053504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1879</v>
      </c>
      <c r="D96" s="414">
        <v>1820</v>
      </c>
      <c r="E96" s="409">
        <f t="shared" si="2"/>
        <v>-59</v>
      </c>
      <c r="F96" s="410">
        <f t="shared" si="3"/>
        <v>-3.1399680681213411E-2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12654</v>
      </c>
      <c r="D97" s="414">
        <v>18591</v>
      </c>
      <c r="E97" s="409">
        <f t="shared" si="2"/>
        <v>5937</v>
      </c>
      <c r="F97" s="410">
        <f t="shared" si="3"/>
        <v>0.4691797060218113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1625</v>
      </c>
      <c r="D98" s="414">
        <v>2239</v>
      </c>
      <c r="E98" s="409">
        <f t="shared" si="2"/>
        <v>614</v>
      </c>
      <c r="F98" s="410">
        <f t="shared" si="3"/>
        <v>0.37784615384615383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230123</v>
      </c>
      <c r="D99" s="414">
        <v>178472</v>
      </c>
      <c r="E99" s="409">
        <f t="shared" si="2"/>
        <v>-51651</v>
      </c>
      <c r="F99" s="410">
        <f t="shared" si="3"/>
        <v>-0.22444953351034011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272821</v>
      </c>
      <c r="D100" s="381">
        <f>SUM(D95:D99)</f>
        <v>233884</v>
      </c>
      <c r="E100" s="401">
        <f t="shared" si="2"/>
        <v>-38937</v>
      </c>
      <c r="F100" s="402">
        <f t="shared" si="3"/>
        <v>-0.14271995190986031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430.3</v>
      </c>
      <c r="D104" s="416">
        <v>361.4</v>
      </c>
      <c r="E104" s="417">
        <f>+D104-C104</f>
        <v>-68.900000000000034</v>
      </c>
      <c r="F104" s="410">
        <f>IF(C104=0,0,+E104/C104)</f>
        <v>-0.16012084592145023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47.3</v>
      </c>
      <c r="D105" s="416">
        <v>33.5</v>
      </c>
      <c r="E105" s="417">
        <f>+D105-C105</f>
        <v>-13.799999999999997</v>
      </c>
      <c r="F105" s="410">
        <f>IF(C105=0,0,+E105/C105)</f>
        <v>-0.29175475687103591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1011.7</v>
      </c>
      <c r="D106" s="416">
        <v>1070.2</v>
      </c>
      <c r="E106" s="417">
        <f>+D106-C106</f>
        <v>58.5</v>
      </c>
      <c r="F106" s="410">
        <f>IF(C106=0,0,+E106/C106)</f>
        <v>5.782346545418602E-2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1489.3000000000002</v>
      </c>
      <c r="D107" s="418">
        <f>SUM(D104:D106)</f>
        <v>1465.1</v>
      </c>
      <c r="E107" s="418">
        <f>+D107-C107</f>
        <v>-24.200000000000273</v>
      </c>
      <c r="F107" s="402">
        <f>IF(C107=0,0,+E107/C107)</f>
        <v>-1.6249244611562661E-2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4702</v>
      </c>
      <c r="D12" s="409">
        <v>3377</v>
      </c>
      <c r="E12" s="409">
        <f>+D12-C12</f>
        <v>-1325</v>
      </c>
      <c r="F12" s="410">
        <f>IF(C12=0,0,+E12/C12)</f>
        <v>-0.28179498085920884</v>
      </c>
    </row>
    <row r="13" spans="1:6" ht="15.75" customHeight="1" x14ac:dyDescent="0.2">
      <c r="A13" s="374">
        <v>2</v>
      </c>
      <c r="B13" s="408" t="s">
        <v>622</v>
      </c>
      <c r="C13" s="409">
        <v>1081</v>
      </c>
      <c r="D13" s="409">
        <v>1190</v>
      </c>
      <c r="E13" s="409">
        <f>+D13-C13</f>
        <v>109</v>
      </c>
      <c r="F13" s="410">
        <f>IF(C13=0,0,+E13/C13)</f>
        <v>0.10083256244218317</v>
      </c>
    </row>
    <row r="14" spans="1:6" ht="15.75" customHeight="1" x14ac:dyDescent="0.25">
      <c r="A14" s="374"/>
      <c r="B14" s="399" t="s">
        <v>623</v>
      </c>
      <c r="C14" s="401">
        <f>SUM(C11:C13)</f>
        <v>5783</v>
      </c>
      <c r="D14" s="401">
        <f>SUM(D11:D13)</f>
        <v>4567</v>
      </c>
      <c r="E14" s="401">
        <f>+D14-C14</f>
        <v>-1216</v>
      </c>
      <c r="F14" s="402">
        <f>IF(C14=0,0,+E14/C14)</f>
        <v>-0.21027148538820681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278</v>
      </c>
      <c r="D17" s="409">
        <v>292</v>
      </c>
      <c r="E17" s="409">
        <f>+D17-C17</f>
        <v>14</v>
      </c>
      <c r="F17" s="410">
        <f>IF(C17=0,0,+E17/C17)</f>
        <v>5.0359712230215826E-2</v>
      </c>
    </row>
    <row r="18" spans="1:6" ht="15.75" customHeight="1" x14ac:dyDescent="0.2">
      <c r="A18" s="374">
        <v>2</v>
      </c>
      <c r="B18" s="408" t="s">
        <v>624</v>
      </c>
      <c r="C18" s="409">
        <v>2542</v>
      </c>
      <c r="D18" s="409">
        <v>2642</v>
      </c>
      <c r="E18" s="409">
        <f>+D18-C18</f>
        <v>100</v>
      </c>
      <c r="F18" s="410">
        <f>IF(C18=0,0,+E18/C18)</f>
        <v>3.9339103068450038E-2</v>
      </c>
    </row>
    <row r="19" spans="1:6" ht="15.75" customHeight="1" x14ac:dyDescent="0.25">
      <c r="A19" s="374"/>
      <c r="B19" s="399" t="s">
        <v>625</v>
      </c>
      <c r="C19" s="401">
        <f>SUM(C16:C18)</f>
        <v>2820</v>
      </c>
      <c r="D19" s="401">
        <f>SUM(D16:D18)</f>
        <v>2934</v>
      </c>
      <c r="E19" s="401">
        <f>+D19-C19</f>
        <v>114</v>
      </c>
      <c r="F19" s="402">
        <f>IF(C19=0,0,+E19/C19)</f>
        <v>4.042553191489362E-2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626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627</v>
      </c>
      <c r="C22" s="409">
        <v>35924</v>
      </c>
      <c r="D22" s="409">
        <v>34925</v>
      </c>
      <c r="E22" s="409">
        <f>+D22-C22</f>
        <v>-999</v>
      </c>
      <c r="F22" s="410">
        <f>IF(C22=0,0,+E22/C22)</f>
        <v>-2.7808707270905245E-2</v>
      </c>
    </row>
    <row r="23" spans="1:6" ht="15.75" customHeight="1" x14ac:dyDescent="0.25">
      <c r="A23" s="374"/>
      <c r="B23" s="399" t="s">
        <v>628</v>
      </c>
      <c r="C23" s="401">
        <f>SUM(C21:C22)</f>
        <v>35924</v>
      </c>
      <c r="D23" s="401">
        <f>SUM(D21:D22)</f>
        <v>34925</v>
      </c>
      <c r="E23" s="401">
        <f>+D23-C23</f>
        <v>-999</v>
      </c>
      <c r="F23" s="402">
        <f>IF(C23=0,0,+E23/C23)</f>
        <v>-2.7808707270905245E-2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0" t="s">
        <v>629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630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631</v>
      </c>
      <c r="C29" s="811"/>
      <c r="D29" s="811"/>
      <c r="E29" s="811"/>
      <c r="F29" s="812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632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633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634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635</v>
      </c>
      <c r="D7" s="426" t="s">
        <v>635</v>
      </c>
      <c r="E7" s="426" t="s">
        <v>636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637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638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639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640</v>
      </c>
      <c r="C15" s="448">
        <v>213196920</v>
      </c>
      <c r="D15" s="448">
        <v>231780728</v>
      </c>
      <c r="E15" s="448">
        <f t="shared" ref="E15:E24" si="0">D15-C15</f>
        <v>18583808</v>
      </c>
      <c r="F15" s="449">
        <f t="shared" ref="F15:F24" si="1">IF(C15=0,0,E15/C15)</f>
        <v>8.7167338064733771E-2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641</v>
      </c>
      <c r="C16" s="448">
        <v>46677998</v>
      </c>
      <c r="D16" s="448">
        <v>57444961</v>
      </c>
      <c r="E16" s="448">
        <f t="shared" si="0"/>
        <v>10766963</v>
      </c>
      <c r="F16" s="449">
        <f t="shared" si="1"/>
        <v>0.23066462704762961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642</v>
      </c>
      <c r="C17" s="453">
        <f>IF(C15=0,0,C16/C15)</f>
        <v>0.21894311606377803</v>
      </c>
      <c r="D17" s="453">
        <f>IF(LN_IA1=0,0,LN_IA2/LN_IA1)</f>
        <v>0.24784183523662071</v>
      </c>
      <c r="E17" s="454">
        <f t="shared" si="0"/>
        <v>2.8898719172842674E-2</v>
      </c>
      <c r="F17" s="449">
        <f t="shared" si="1"/>
        <v>0.13199190589954191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4984</v>
      </c>
      <c r="D18" s="456">
        <v>4888</v>
      </c>
      <c r="E18" s="456">
        <f t="shared" si="0"/>
        <v>-96</v>
      </c>
      <c r="F18" s="449">
        <f t="shared" si="1"/>
        <v>-1.9261637239165328E-2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643</v>
      </c>
      <c r="C19" s="459">
        <v>1.347</v>
      </c>
      <c r="D19" s="459">
        <v>1.4593700000000001</v>
      </c>
      <c r="E19" s="460">
        <f t="shared" si="0"/>
        <v>0.11237000000000008</v>
      </c>
      <c r="F19" s="449">
        <f t="shared" si="1"/>
        <v>8.3422420193021596E-2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644</v>
      </c>
      <c r="C20" s="463">
        <f>C18*C19</f>
        <v>6713.4480000000003</v>
      </c>
      <c r="D20" s="463">
        <f>LN_IA4*LN_IA5</f>
        <v>7133.40056</v>
      </c>
      <c r="E20" s="463">
        <f t="shared" si="0"/>
        <v>419.95255999999972</v>
      </c>
      <c r="F20" s="449">
        <f t="shared" si="1"/>
        <v>6.255393055848496E-2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645</v>
      </c>
      <c r="C21" s="465">
        <f>IF(C20=0,0,C16/C20)</f>
        <v>6952.9097417601206</v>
      </c>
      <c r="D21" s="465">
        <f>IF(LN_IA6=0,0,LN_IA2/LN_IA6)</f>
        <v>8052.956022421934</v>
      </c>
      <c r="E21" s="465">
        <f t="shared" si="0"/>
        <v>1100.0462806618134</v>
      </c>
      <c r="F21" s="449">
        <f t="shared" si="1"/>
        <v>0.15821380134633217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24296</v>
      </c>
      <c r="D22" s="456">
        <v>25711</v>
      </c>
      <c r="E22" s="456">
        <f t="shared" si="0"/>
        <v>1415</v>
      </c>
      <c r="F22" s="449">
        <f t="shared" si="1"/>
        <v>5.8240039512676985E-2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646</v>
      </c>
      <c r="C23" s="465">
        <f>IF(C22=0,0,C16/C22)</f>
        <v>1921.2215179453408</v>
      </c>
      <c r="D23" s="465">
        <f>IF(LN_IA8=0,0,LN_IA2/LN_IA8)</f>
        <v>2234.2561938469917</v>
      </c>
      <c r="E23" s="465">
        <f t="shared" si="0"/>
        <v>313.03467590165087</v>
      </c>
      <c r="F23" s="449">
        <f t="shared" si="1"/>
        <v>0.16293523312003461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647</v>
      </c>
      <c r="C24" s="466">
        <f>IF(C18=0,0,C22/C18)</f>
        <v>4.8747993579454256</v>
      </c>
      <c r="D24" s="466">
        <f>IF(LN_IA4=0,0,LN_IA8/LN_IA4)</f>
        <v>5.2600245499181666</v>
      </c>
      <c r="E24" s="466">
        <f t="shared" si="0"/>
        <v>0.38522519197274097</v>
      </c>
      <c r="F24" s="449">
        <f t="shared" si="1"/>
        <v>7.9023804609488837E-2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648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649</v>
      </c>
      <c r="C27" s="448">
        <v>159146991</v>
      </c>
      <c r="D27" s="448">
        <v>205659507</v>
      </c>
      <c r="E27" s="448">
        <f t="shared" ref="E27:E32" si="2">D27-C27</f>
        <v>46512516</v>
      </c>
      <c r="F27" s="449">
        <f t="shared" ref="F27:F32" si="3">IF(C27=0,0,E27/C27)</f>
        <v>0.29226135981421097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650</v>
      </c>
      <c r="C28" s="448">
        <v>30084155</v>
      </c>
      <c r="D28" s="448">
        <v>30961647</v>
      </c>
      <c r="E28" s="448">
        <f t="shared" si="2"/>
        <v>877492</v>
      </c>
      <c r="F28" s="449">
        <f t="shared" si="3"/>
        <v>2.9167912477515157E-2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651</v>
      </c>
      <c r="C29" s="453">
        <f>IF(C27=0,0,C28/C27)</f>
        <v>0.18903376564625091</v>
      </c>
      <c r="D29" s="453">
        <f>IF(LN_IA11=0,0,LN_IA12/LN_IA11)</f>
        <v>0.1505480950122087</v>
      </c>
      <c r="E29" s="454">
        <f t="shared" si="2"/>
        <v>-3.8485670634042207E-2</v>
      </c>
      <c r="F29" s="449">
        <f t="shared" si="3"/>
        <v>-0.20359151447081958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652</v>
      </c>
      <c r="C30" s="453">
        <f>IF(C15=0,0,C27/C15)</f>
        <v>0.74647884688015198</v>
      </c>
      <c r="D30" s="453">
        <f>IF(LN_IA1=0,0,LN_IA11/LN_IA1)</f>
        <v>0.8873020150320694</v>
      </c>
      <c r="E30" s="454">
        <f t="shared" si="2"/>
        <v>0.14082316815191742</v>
      </c>
      <c r="F30" s="449">
        <f t="shared" si="3"/>
        <v>0.1886499111669091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653</v>
      </c>
      <c r="C31" s="463">
        <f>C30*C18</f>
        <v>3720.4505728506774</v>
      </c>
      <c r="D31" s="463">
        <f>LN_IA14*LN_IA4</f>
        <v>4337.1322494767555</v>
      </c>
      <c r="E31" s="463">
        <f t="shared" si="2"/>
        <v>616.68167662607812</v>
      </c>
      <c r="F31" s="449">
        <f t="shared" si="3"/>
        <v>0.16575456777364611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654</v>
      </c>
      <c r="C32" s="465">
        <f>IF(C31=0,0,C28/C31)</f>
        <v>8086.1590312565204</v>
      </c>
      <c r="D32" s="465">
        <f>IF(LN_IA15=0,0,LN_IA12/LN_IA15)</f>
        <v>7138.7371237608222</v>
      </c>
      <c r="E32" s="465">
        <f t="shared" si="2"/>
        <v>-947.42190749569818</v>
      </c>
      <c r="F32" s="449">
        <f t="shared" si="3"/>
        <v>-0.11716587613890607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655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656</v>
      </c>
      <c r="C35" s="448">
        <f>C15+C27</f>
        <v>372343911</v>
      </c>
      <c r="D35" s="448">
        <f>LN_IA1+LN_IA11</f>
        <v>437440235</v>
      </c>
      <c r="E35" s="448">
        <f>D35-C35</f>
        <v>65096324</v>
      </c>
      <c r="F35" s="449">
        <f>IF(C35=0,0,E35/C35)</f>
        <v>0.17482849074977891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657</v>
      </c>
      <c r="C36" s="448">
        <f>C16+C28</f>
        <v>76762153</v>
      </c>
      <c r="D36" s="448">
        <f>LN_IA2+LN_IA12</f>
        <v>88406608</v>
      </c>
      <c r="E36" s="448">
        <f>D36-C36</f>
        <v>11644455</v>
      </c>
      <c r="F36" s="449">
        <f>IF(C36=0,0,E36/C36)</f>
        <v>0.15169526315917689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658</v>
      </c>
      <c r="C37" s="448">
        <f>C35-C36</f>
        <v>295581758</v>
      </c>
      <c r="D37" s="448">
        <f>LN_IA17-LN_IA18</f>
        <v>349033627</v>
      </c>
      <c r="E37" s="448">
        <f>D37-C37</f>
        <v>53451869</v>
      </c>
      <c r="F37" s="449">
        <f>IF(C37=0,0,E37/C37)</f>
        <v>0.18083615633681968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659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660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640</v>
      </c>
      <c r="C42" s="448">
        <v>186681940</v>
      </c>
      <c r="D42" s="448">
        <v>179005504</v>
      </c>
      <c r="E42" s="448">
        <f t="shared" ref="E42:E53" si="4">D42-C42</f>
        <v>-7676436</v>
      </c>
      <c r="F42" s="449">
        <f t="shared" ref="F42:F53" si="5">IF(C42=0,0,E42/C42)</f>
        <v>-4.1120399755862833E-2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641</v>
      </c>
      <c r="C43" s="448">
        <v>76812231</v>
      </c>
      <c r="D43" s="448">
        <v>80652028</v>
      </c>
      <c r="E43" s="448">
        <f t="shared" si="4"/>
        <v>3839797</v>
      </c>
      <c r="F43" s="449">
        <f t="shared" si="5"/>
        <v>4.9989395569046809E-2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642</v>
      </c>
      <c r="C44" s="453">
        <f>IF(C42=0,0,C43/C42)</f>
        <v>0.41146042836280788</v>
      </c>
      <c r="D44" s="453">
        <f>IF(LN_IB1=0,0,LN_IB2/LN_IB1)</f>
        <v>0.45055613485493717</v>
      </c>
      <c r="E44" s="454">
        <f t="shared" si="4"/>
        <v>3.909570649212929E-2</v>
      </c>
      <c r="F44" s="449">
        <f t="shared" si="5"/>
        <v>9.5016929447359635E-2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7317</v>
      </c>
      <c r="D45" s="456">
        <v>6891</v>
      </c>
      <c r="E45" s="456">
        <f t="shared" si="4"/>
        <v>-426</v>
      </c>
      <c r="F45" s="449">
        <f t="shared" si="5"/>
        <v>-5.8220582205822061E-2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643</v>
      </c>
      <c r="C46" s="459">
        <v>0.8478</v>
      </c>
      <c r="D46" s="459">
        <v>0.87034</v>
      </c>
      <c r="E46" s="460">
        <f t="shared" si="4"/>
        <v>2.2540000000000004E-2</v>
      </c>
      <c r="F46" s="449">
        <f t="shared" si="5"/>
        <v>2.6586459070535508E-2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644</v>
      </c>
      <c r="C47" s="463">
        <f>C45*C46</f>
        <v>6203.3526000000002</v>
      </c>
      <c r="D47" s="463">
        <f>LN_IB4*LN_IB5</f>
        <v>5997.5129399999996</v>
      </c>
      <c r="E47" s="463">
        <f t="shared" si="4"/>
        <v>-205.83966000000055</v>
      </c>
      <c r="F47" s="449">
        <f t="shared" si="5"/>
        <v>-3.3182002261164481E-2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645</v>
      </c>
      <c r="C48" s="465">
        <f>IF(C47=0,0,C43/C47)</f>
        <v>12382.373847328943</v>
      </c>
      <c r="D48" s="465">
        <f>IF(LN_IB6=0,0,LN_IB2/LN_IB6)</f>
        <v>13447.578822564408</v>
      </c>
      <c r="E48" s="465">
        <f t="shared" si="4"/>
        <v>1065.2049752354651</v>
      </c>
      <c r="F48" s="449">
        <f t="shared" si="5"/>
        <v>8.6025909762468142E-2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661</v>
      </c>
      <c r="C49" s="465">
        <f>C21-C48</f>
        <v>-5429.4641055688226</v>
      </c>
      <c r="D49" s="465">
        <f>LN_IA7-LN_IB7</f>
        <v>-5394.6228001424743</v>
      </c>
      <c r="E49" s="465">
        <f t="shared" si="4"/>
        <v>34.841305426348299</v>
      </c>
      <c r="F49" s="449">
        <f t="shared" si="5"/>
        <v>-6.4170799822790463E-3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662</v>
      </c>
      <c r="C50" s="479">
        <f>C49*C47</f>
        <v>-33680880.275887027</v>
      </c>
      <c r="D50" s="479">
        <f>LN_IB8*LN_IB6</f>
        <v>-32354320.050273523</v>
      </c>
      <c r="E50" s="479">
        <f t="shared" si="4"/>
        <v>1326560.2256135046</v>
      </c>
      <c r="F50" s="449">
        <f t="shared" si="5"/>
        <v>-3.9386150680961324E-2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24293</v>
      </c>
      <c r="D51" s="456">
        <v>23492</v>
      </c>
      <c r="E51" s="456">
        <f t="shared" si="4"/>
        <v>-801</v>
      </c>
      <c r="F51" s="449">
        <f t="shared" si="5"/>
        <v>-3.2972461202815627E-2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646</v>
      </c>
      <c r="C52" s="465">
        <f>IF(C51=0,0,C43/C51)</f>
        <v>3161.9079981887785</v>
      </c>
      <c r="D52" s="465">
        <f>IF(LN_IB10=0,0,LN_IB2/LN_IB10)</f>
        <v>3433.1699301890003</v>
      </c>
      <c r="E52" s="465">
        <f t="shared" si="4"/>
        <v>271.2619320002218</v>
      </c>
      <c r="F52" s="449">
        <f t="shared" si="5"/>
        <v>8.5790583456447037E-2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647</v>
      </c>
      <c r="C53" s="466">
        <f>IF(C45=0,0,C51/C45)</f>
        <v>3.3200765340986744</v>
      </c>
      <c r="D53" s="466">
        <f>IF(LN_IB4=0,0,LN_IB10/LN_IB4)</f>
        <v>3.4090843128718618</v>
      </c>
      <c r="E53" s="466">
        <f t="shared" si="4"/>
        <v>8.9007778773187329E-2</v>
      </c>
      <c r="F53" s="449">
        <f t="shared" si="5"/>
        <v>2.6808953907850479E-2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663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649</v>
      </c>
      <c r="C56" s="448">
        <v>359527568</v>
      </c>
      <c r="D56" s="448">
        <v>404451729</v>
      </c>
      <c r="E56" s="448">
        <f t="shared" ref="E56:E63" si="6">D56-C56</f>
        <v>44924161</v>
      </c>
      <c r="F56" s="449">
        <f t="shared" ref="F56:F63" si="7">IF(C56=0,0,E56/C56)</f>
        <v>0.12495331373309321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650</v>
      </c>
      <c r="C57" s="448">
        <v>144513283</v>
      </c>
      <c r="D57" s="448">
        <v>143040037</v>
      </c>
      <c r="E57" s="448">
        <f t="shared" si="6"/>
        <v>-1473246</v>
      </c>
      <c r="F57" s="449">
        <f t="shared" si="7"/>
        <v>-1.0194536927100328E-2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651</v>
      </c>
      <c r="C58" s="453">
        <f>IF(C56=0,0,C57/C56)</f>
        <v>0.40195327385854318</v>
      </c>
      <c r="D58" s="453">
        <f>IF(LN_IB13=0,0,LN_IB14/LN_IB13)</f>
        <v>0.35366405121734562</v>
      </c>
      <c r="E58" s="454">
        <f t="shared" si="6"/>
        <v>-4.828922264119756E-2</v>
      </c>
      <c r="F58" s="449">
        <f t="shared" si="7"/>
        <v>-0.12013640833832759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652</v>
      </c>
      <c r="C59" s="453">
        <f>IF(C42=0,0,C56/C42)</f>
        <v>1.9258829643617374</v>
      </c>
      <c r="D59" s="453">
        <f>IF(LN_IB1=0,0,LN_IB13/LN_IB1)</f>
        <v>2.2594373913776415</v>
      </c>
      <c r="E59" s="454">
        <f t="shared" si="6"/>
        <v>0.3335544270159041</v>
      </c>
      <c r="F59" s="449">
        <f t="shared" si="7"/>
        <v>0.17319558518783013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653</v>
      </c>
      <c r="C60" s="463">
        <f>C59*C45</f>
        <v>14091.685650234833</v>
      </c>
      <c r="D60" s="463">
        <f>LN_IB16*LN_IB4</f>
        <v>15569.783063983328</v>
      </c>
      <c r="E60" s="463">
        <f t="shared" si="6"/>
        <v>1478.0974137484955</v>
      </c>
      <c r="F60" s="449">
        <f t="shared" si="7"/>
        <v>0.10489145517689458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654</v>
      </c>
      <c r="C61" s="465">
        <f>IF(C60=0,0,C57/C60)</f>
        <v>10255.216202441454</v>
      </c>
      <c r="D61" s="465">
        <f>IF(LN_IB17=0,0,LN_IB14/LN_IB17)</f>
        <v>9187.0282593009397</v>
      </c>
      <c r="E61" s="465">
        <f t="shared" si="6"/>
        <v>-1068.1879431405141</v>
      </c>
      <c r="F61" s="449">
        <f t="shared" si="7"/>
        <v>-0.10416045084317298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664</v>
      </c>
      <c r="C62" s="465">
        <f>C32-C61</f>
        <v>-2169.0571711849334</v>
      </c>
      <c r="D62" s="465">
        <f>LN_IA16-LN_IB18</f>
        <v>-2048.2911355401175</v>
      </c>
      <c r="E62" s="465">
        <f t="shared" si="6"/>
        <v>120.76603564481593</v>
      </c>
      <c r="F62" s="449">
        <f t="shared" si="7"/>
        <v>-5.5676741604207096E-2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665</v>
      </c>
      <c r="C63" s="448">
        <f>C62*C60</f>
        <v>-30565671.813725684</v>
      </c>
      <c r="D63" s="448">
        <f>LN_IB19*LN_IB17</f>
        <v>-31891448.632239699</v>
      </c>
      <c r="E63" s="448">
        <f t="shared" si="6"/>
        <v>-1325776.8185140155</v>
      </c>
      <c r="F63" s="449">
        <f t="shared" si="7"/>
        <v>4.3374699126314253E-2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666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656</v>
      </c>
      <c r="C66" s="448">
        <f>C42+C56</f>
        <v>546209508</v>
      </c>
      <c r="D66" s="448">
        <f>LN_IB1+LN_IB13</f>
        <v>583457233</v>
      </c>
      <c r="E66" s="448">
        <f>D66-C66</f>
        <v>37247725</v>
      </c>
      <c r="F66" s="449">
        <f>IF(C66=0,0,E66/C66)</f>
        <v>6.8193109886325889E-2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657</v>
      </c>
      <c r="C67" s="448">
        <f>C43+C57</f>
        <v>221325514</v>
      </c>
      <c r="D67" s="448">
        <f>LN_IB2+LN_IB14</f>
        <v>223692065</v>
      </c>
      <c r="E67" s="448">
        <f>D67-C67</f>
        <v>2366551</v>
      </c>
      <c r="F67" s="449">
        <f>IF(C67=0,0,E67/C67)</f>
        <v>1.0692626246425434E-2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658</v>
      </c>
      <c r="C68" s="448">
        <f>C66-C67</f>
        <v>324883994</v>
      </c>
      <c r="D68" s="448">
        <f>LN_IB21-LN_IB22</f>
        <v>359765168</v>
      </c>
      <c r="E68" s="448">
        <f>D68-C68</f>
        <v>34881174</v>
      </c>
      <c r="F68" s="449">
        <f>IF(C68=0,0,E68/C68)</f>
        <v>0.10736501226342347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667</v>
      </c>
      <c r="C70" s="441">
        <f>C50+C63</f>
        <v>-64246552.089612707</v>
      </c>
      <c r="D70" s="441">
        <f>LN_IB9+LN_IB20</f>
        <v>-64245768.682513222</v>
      </c>
      <c r="E70" s="448">
        <f>D70-C70</f>
        <v>783.40709948539734</v>
      </c>
      <c r="F70" s="449">
        <f>IF(C70=0,0,E70/C70)</f>
        <v>-1.2193760972459369E-5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668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669</v>
      </c>
      <c r="C73" s="488">
        <v>484405308</v>
      </c>
      <c r="D73" s="488">
        <v>527794479</v>
      </c>
      <c r="E73" s="488">
        <f>D73-C73</f>
        <v>43389171</v>
      </c>
      <c r="F73" s="489">
        <f>IF(C73=0,0,E73/C73)</f>
        <v>8.9572038711020902E-2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670</v>
      </c>
      <c r="C74" s="488">
        <v>200620172</v>
      </c>
      <c r="D74" s="488">
        <v>209167420</v>
      </c>
      <c r="E74" s="488">
        <f>D74-C74</f>
        <v>8547248</v>
      </c>
      <c r="F74" s="489">
        <f>IF(C74=0,0,E74/C74)</f>
        <v>4.2604130555724977E-2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671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672</v>
      </c>
      <c r="C76" s="441">
        <f>C73-C74</f>
        <v>283785136</v>
      </c>
      <c r="D76" s="441">
        <f>LN_IB32-LN_IB33</f>
        <v>318627059</v>
      </c>
      <c r="E76" s="488">
        <f>D76-C76</f>
        <v>34841923</v>
      </c>
      <c r="F76" s="489">
        <f>IF(E76=0,0,E76/C76)</f>
        <v>0.12277571507480223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673</v>
      </c>
      <c r="C77" s="453">
        <f>IF(C73=0,0,C76/C73)</f>
        <v>0.58584233350308379</v>
      </c>
      <c r="D77" s="453">
        <f>IF(LN_IB32=0,0,LN_IB34/LN_IB32)</f>
        <v>0.60369532398992753</v>
      </c>
      <c r="E77" s="493">
        <f>D77-C77</f>
        <v>1.7852990486843745E-2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674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675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640</v>
      </c>
      <c r="C83" s="448">
        <v>11328527</v>
      </c>
      <c r="D83" s="448">
        <v>6676345</v>
      </c>
      <c r="E83" s="448">
        <f t="shared" ref="E83:E95" si="8">D83-C83</f>
        <v>-4652182</v>
      </c>
      <c r="F83" s="449">
        <f t="shared" ref="F83:F95" si="9">IF(C83=0,0,E83/C83)</f>
        <v>-0.41066080347427342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641</v>
      </c>
      <c r="C84" s="448">
        <v>3467346</v>
      </c>
      <c r="D84" s="448">
        <v>3888925</v>
      </c>
      <c r="E84" s="448">
        <f t="shared" si="8"/>
        <v>421579</v>
      </c>
      <c r="F84" s="449">
        <f t="shared" si="9"/>
        <v>0.12158550084127745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642</v>
      </c>
      <c r="C85" s="453">
        <f>IF(C83=0,0,C84/C83)</f>
        <v>0.30607209569258209</v>
      </c>
      <c r="D85" s="453">
        <f>IF(LN_IC1=0,0,LN_IC2/LN_IC1)</f>
        <v>0.58249311561939954</v>
      </c>
      <c r="E85" s="454">
        <f t="shared" si="8"/>
        <v>0.27642101992681745</v>
      </c>
      <c r="F85" s="449">
        <f t="shared" si="9"/>
        <v>0.90312388426435941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370</v>
      </c>
      <c r="D86" s="456">
        <v>340</v>
      </c>
      <c r="E86" s="456">
        <f t="shared" si="8"/>
        <v>-30</v>
      </c>
      <c r="F86" s="449">
        <f t="shared" si="9"/>
        <v>-8.1081081081081086E-2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643</v>
      </c>
      <c r="C87" s="459">
        <v>0.90229999999999999</v>
      </c>
      <c r="D87" s="459">
        <v>0.98687000000000002</v>
      </c>
      <c r="E87" s="460">
        <f t="shared" si="8"/>
        <v>8.4570000000000034E-2</v>
      </c>
      <c r="F87" s="449">
        <f t="shared" si="9"/>
        <v>9.3727141748864054E-2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644</v>
      </c>
      <c r="C88" s="463">
        <f>C86*C87</f>
        <v>333.851</v>
      </c>
      <c r="D88" s="463">
        <f>LN_IC4*LN_IC5</f>
        <v>335.53579999999999</v>
      </c>
      <c r="E88" s="463">
        <f t="shared" si="8"/>
        <v>1.6847999999999956</v>
      </c>
      <c r="F88" s="449">
        <f t="shared" si="9"/>
        <v>5.0465626881452969E-3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645</v>
      </c>
      <c r="C89" s="465">
        <f>IF(C88=0,0,C84/C88)</f>
        <v>10385.908683814037</v>
      </c>
      <c r="D89" s="465">
        <f>IF(LN_IC6=0,0,LN_IC2/LN_IC6)</f>
        <v>11590.193952478394</v>
      </c>
      <c r="E89" s="465">
        <f t="shared" si="8"/>
        <v>1204.2852686643564</v>
      </c>
      <c r="F89" s="449">
        <f t="shared" si="9"/>
        <v>0.11595377018297684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676</v>
      </c>
      <c r="C90" s="465">
        <f>C48-C89</f>
        <v>1996.4651635149057</v>
      </c>
      <c r="D90" s="465">
        <f>LN_IB7-LN_IC7</f>
        <v>1857.3848700860144</v>
      </c>
      <c r="E90" s="465">
        <f t="shared" si="8"/>
        <v>-139.08029342889131</v>
      </c>
      <c r="F90" s="449">
        <f t="shared" si="9"/>
        <v>-6.9663270850181772E-2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677</v>
      </c>
      <c r="C91" s="465">
        <f>C21-C89</f>
        <v>-3432.9989420539168</v>
      </c>
      <c r="D91" s="465">
        <f>LN_IA7-LN_IC7</f>
        <v>-3537.2379300564598</v>
      </c>
      <c r="E91" s="465">
        <f t="shared" si="8"/>
        <v>-104.23898800254301</v>
      </c>
      <c r="F91" s="449">
        <f t="shared" si="9"/>
        <v>3.0363827592728074E-2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662</v>
      </c>
      <c r="C92" s="441">
        <f>C91*C88</f>
        <v>-1146110.1298036422</v>
      </c>
      <c r="D92" s="441">
        <f>LN_IC9*LN_IC6</f>
        <v>-1186869.9586518384</v>
      </c>
      <c r="E92" s="441">
        <f t="shared" si="8"/>
        <v>-40759.828848196194</v>
      </c>
      <c r="F92" s="449">
        <f t="shared" si="9"/>
        <v>3.5563623240272201E-2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1052</v>
      </c>
      <c r="D93" s="456">
        <v>1324</v>
      </c>
      <c r="E93" s="456">
        <f t="shared" si="8"/>
        <v>272</v>
      </c>
      <c r="F93" s="449">
        <f t="shared" si="9"/>
        <v>0.2585551330798479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646</v>
      </c>
      <c r="C94" s="499">
        <f>IF(C93=0,0,C84/C93)</f>
        <v>3295.9562737642586</v>
      </c>
      <c r="D94" s="499">
        <f>IF(LN_IC11=0,0,LN_IC2/LN_IC11)</f>
        <v>2937.2545317220543</v>
      </c>
      <c r="E94" s="499">
        <f t="shared" si="8"/>
        <v>-358.70174204220439</v>
      </c>
      <c r="F94" s="449">
        <f t="shared" si="9"/>
        <v>-0.1088308558270213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647</v>
      </c>
      <c r="C95" s="466">
        <f>IF(C86=0,0,C93/C86)</f>
        <v>2.8432432432432431</v>
      </c>
      <c r="D95" s="466">
        <f>IF(LN_IC4=0,0,LN_IC11/LN_IC4)</f>
        <v>3.8941176470588235</v>
      </c>
      <c r="E95" s="466">
        <f t="shared" si="8"/>
        <v>1.0508744038155804</v>
      </c>
      <c r="F95" s="449">
        <f t="shared" si="9"/>
        <v>0.36960411541042276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678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649</v>
      </c>
      <c r="C98" s="448">
        <v>32051536</v>
      </c>
      <c r="D98" s="448">
        <v>27139820</v>
      </c>
      <c r="E98" s="448">
        <f t="shared" ref="E98:E106" si="10">D98-C98</f>
        <v>-4911716</v>
      </c>
      <c r="F98" s="449">
        <f t="shared" ref="F98:F106" si="11">IF(C98=0,0,E98/C98)</f>
        <v>-0.15324432501456403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650</v>
      </c>
      <c r="C99" s="448">
        <v>9810082</v>
      </c>
      <c r="D99" s="448">
        <v>593497</v>
      </c>
      <c r="E99" s="448">
        <f t="shared" si="10"/>
        <v>-9216585</v>
      </c>
      <c r="F99" s="449">
        <f t="shared" si="11"/>
        <v>-0.93950132119181062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651</v>
      </c>
      <c r="C100" s="453">
        <f>IF(C98=0,0,C99/C98)</f>
        <v>0.30607213332927319</v>
      </c>
      <c r="D100" s="453">
        <f>IF(LN_IC14=0,0,LN_IC15/LN_IC14)</f>
        <v>2.1868125875558496E-2</v>
      </c>
      <c r="E100" s="454">
        <f t="shared" si="10"/>
        <v>-0.28420400745371471</v>
      </c>
      <c r="F100" s="449">
        <f t="shared" si="11"/>
        <v>-0.92855237869031126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652</v>
      </c>
      <c r="C101" s="453">
        <f>IF(C83=0,0,C98/C83)</f>
        <v>2.8292765687895698</v>
      </c>
      <c r="D101" s="453">
        <f>IF(LN_IC1=0,0,LN_IC14/LN_IC1)</f>
        <v>4.0650715324028344</v>
      </c>
      <c r="E101" s="454">
        <f t="shared" si="10"/>
        <v>1.2357949636132646</v>
      </c>
      <c r="F101" s="449">
        <f t="shared" si="11"/>
        <v>0.43678832152558572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653</v>
      </c>
      <c r="C102" s="463">
        <f>C101*C86</f>
        <v>1046.8323304521409</v>
      </c>
      <c r="D102" s="463">
        <f>LN_IC17*LN_IC4</f>
        <v>1382.1243210169637</v>
      </c>
      <c r="E102" s="463">
        <f t="shared" si="10"/>
        <v>335.29199056482275</v>
      </c>
      <c r="F102" s="449">
        <f t="shared" si="11"/>
        <v>0.32029197113161917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654</v>
      </c>
      <c r="C103" s="465">
        <f>IF(C102=0,0,C99/C102)</f>
        <v>9371.2065577520843</v>
      </c>
      <c r="D103" s="465">
        <f>IF(LN_IC18=0,0,LN_IC15/LN_IC18)</f>
        <v>429.40927308428115</v>
      </c>
      <c r="E103" s="465">
        <f t="shared" si="10"/>
        <v>-8941.797284667804</v>
      </c>
      <c r="F103" s="449">
        <f t="shared" si="11"/>
        <v>-0.9541778029928214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679</v>
      </c>
      <c r="C104" s="465">
        <f>C61-C103</f>
        <v>884.00964468936945</v>
      </c>
      <c r="D104" s="465">
        <f>LN_IB18-LN_IC19</f>
        <v>8757.6189862166593</v>
      </c>
      <c r="E104" s="465">
        <f t="shared" si="10"/>
        <v>7873.6093415272899</v>
      </c>
      <c r="F104" s="449">
        <f t="shared" si="11"/>
        <v>8.9067007230379058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680</v>
      </c>
      <c r="C105" s="465">
        <f>C32-C103</f>
        <v>-1285.0475264955639</v>
      </c>
      <c r="D105" s="465">
        <f>LN_IA16-LN_IC19</f>
        <v>6709.3278506765409</v>
      </c>
      <c r="E105" s="465">
        <f t="shared" si="10"/>
        <v>7994.3753771721049</v>
      </c>
      <c r="F105" s="449">
        <f t="shared" si="11"/>
        <v>-6.2210737053231489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665</v>
      </c>
      <c r="C106" s="448">
        <f>C105*C102</f>
        <v>-1345229.2969031106</v>
      </c>
      <c r="D106" s="448">
        <f>LN_IC21*LN_IC18</f>
        <v>9273125.2000965178</v>
      </c>
      <c r="E106" s="448">
        <f t="shared" si="10"/>
        <v>10618354.496999629</v>
      </c>
      <c r="F106" s="449">
        <f t="shared" si="11"/>
        <v>-7.8933416938245662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681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656</v>
      </c>
      <c r="C109" s="448">
        <f>C83+C98</f>
        <v>43380063</v>
      </c>
      <c r="D109" s="448">
        <f>LN_IC1+LN_IC14</f>
        <v>33816165</v>
      </c>
      <c r="E109" s="448">
        <f>D109-C109</f>
        <v>-9563898</v>
      </c>
      <c r="F109" s="449">
        <f>IF(C109=0,0,E109/C109)</f>
        <v>-0.22046759129879548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657</v>
      </c>
      <c r="C110" s="448">
        <f>C84+C99</f>
        <v>13277428</v>
      </c>
      <c r="D110" s="448">
        <f>LN_IC2+LN_IC15</f>
        <v>4482422</v>
      </c>
      <c r="E110" s="448">
        <f>D110-C110</f>
        <v>-8795006</v>
      </c>
      <c r="F110" s="449">
        <f>IF(C110=0,0,E110/C110)</f>
        <v>-0.66240283886306894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658</v>
      </c>
      <c r="C111" s="448">
        <f>C109-C110</f>
        <v>30102635</v>
      </c>
      <c r="D111" s="448">
        <f>LN_IC23-LN_IC24</f>
        <v>29333743</v>
      </c>
      <c r="E111" s="448">
        <f>D111-C111</f>
        <v>-768892</v>
      </c>
      <c r="F111" s="449">
        <f>IF(C111=0,0,E111/C111)</f>
        <v>-2.5542348701367838E-2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667</v>
      </c>
      <c r="C113" s="448">
        <f>C92+C106</f>
        <v>-2491339.4267067527</v>
      </c>
      <c r="D113" s="448">
        <f>LN_IC10+LN_IC22</f>
        <v>8086255.241444679</v>
      </c>
      <c r="E113" s="448">
        <f>D113-C113</f>
        <v>10577594.668151431</v>
      </c>
      <c r="F113" s="449">
        <f>IF(C113=0,0,E113/C113)</f>
        <v>-4.2457461053926817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682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683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640</v>
      </c>
      <c r="C118" s="448">
        <v>11753834</v>
      </c>
      <c r="D118" s="448">
        <v>11003309</v>
      </c>
      <c r="E118" s="448">
        <f t="shared" ref="E118:E130" si="12">D118-C118</f>
        <v>-750525</v>
      </c>
      <c r="F118" s="449">
        <f t="shared" ref="F118:F130" si="13">IF(C118=0,0,E118/C118)</f>
        <v>-6.3853632780588865E-2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641</v>
      </c>
      <c r="C119" s="448">
        <v>1184120</v>
      </c>
      <c r="D119" s="448">
        <v>2509474</v>
      </c>
      <c r="E119" s="448">
        <f t="shared" si="12"/>
        <v>1325354</v>
      </c>
      <c r="F119" s="449">
        <f t="shared" si="13"/>
        <v>1.1192733844542784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642</v>
      </c>
      <c r="C120" s="453">
        <f>IF(C118=0,0,C119/C118)</f>
        <v>0.10074329788901222</v>
      </c>
      <c r="D120" s="453">
        <f>IF(LN_ID1=0,0,LN_1D2/LN_ID1)</f>
        <v>0.22806539378290658</v>
      </c>
      <c r="E120" s="454">
        <f t="shared" si="12"/>
        <v>0.12732209589389437</v>
      </c>
      <c r="F120" s="449">
        <f t="shared" si="13"/>
        <v>1.2638269598257912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425</v>
      </c>
      <c r="D121" s="456">
        <v>370</v>
      </c>
      <c r="E121" s="456">
        <f t="shared" si="12"/>
        <v>-55</v>
      </c>
      <c r="F121" s="449">
        <f t="shared" si="13"/>
        <v>-0.12941176470588237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643</v>
      </c>
      <c r="C122" s="459">
        <v>0.92859999999999998</v>
      </c>
      <c r="D122" s="459">
        <v>0.92637999999999998</v>
      </c>
      <c r="E122" s="460">
        <f t="shared" si="12"/>
        <v>-2.2199999999999998E-3</v>
      </c>
      <c r="F122" s="449">
        <f t="shared" si="13"/>
        <v>-2.3906956709024334E-3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644</v>
      </c>
      <c r="C123" s="463">
        <f>C121*C122</f>
        <v>394.65499999999997</v>
      </c>
      <c r="D123" s="463">
        <f>LN_ID4*LN_ID5</f>
        <v>342.76060000000001</v>
      </c>
      <c r="E123" s="463">
        <f t="shared" si="12"/>
        <v>-51.894399999999962</v>
      </c>
      <c r="F123" s="449">
        <f t="shared" si="13"/>
        <v>-0.13149307623113851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645</v>
      </c>
      <c r="C124" s="465">
        <f>IF(C123=0,0,C119/C123)</f>
        <v>3000.3927480964389</v>
      </c>
      <c r="D124" s="465">
        <f>IF(LN_ID6=0,0,LN_1D2/LN_ID6)</f>
        <v>7321.3607398283229</v>
      </c>
      <c r="E124" s="465">
        <f t="shared" si="12"/>
        <v>4320.9679917318845</v>
      </c>
      <c r="F124" s="449">
        <f t="shared" si="13"/>
        <v>1.4401341272649282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684</v>
      </c>
      <c r="C125" s="465">
        <f>C48-C124</f>
        <v>9381.9810992325038</v>
      </c>
      <c r="D125" s="465">
        <f>LN_IB7-LN_ID7</f>
        <v>6126.2180827360853</v>
      </c>
      <c r="E125" s="465">
        <f t="shared" si="12"/>
        <v>-3255.7630164964185</v>
      </c>
      <c r="F125" s="449">
        <f t="shared" si="13"/>
        <v>-0.34702297756310307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685</v>
      </c>
      <c r="C126" s="465">
        <f>C21-C124</f>
        <v>3952.5169936636817</v>
      </c>
      <c r="D126" s="465">
        <f>LN_IA7-LN_ID7</f>
        <v>731.59528259361105</v>
      </c>
      <c r="E126" s="465">
        <f t="shared" si="12"/>
        <v>-3220.9217110700706</v>
      </c>
      <c r="F126" s="449">
        <f t="shared" si="13"/>
        <v>-0.8149039501243287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662</v>
      </c>
      <c r="C127" s="479">
        <f>C126*C123</f>
        <v>1559880.5941343401</v>
      </c>
      <c r="D127" s="479">
        <f>LN_ID9*LN_ID6</f>
        <v>250762.03801895567</v>
      </c>
      <c r="E127" s="479">
        <f t="shared" si="12"/>
        <v>-1309118.5561153844</v>
      </c>
      <c r="F127" s="449">
        <f t="shared" si="13"/>
        <v>-0.83924279912071298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1944</v>
      </c>
      <c r="D128" s="456">
        <v>1381</v>
      </c>
      <c r="E128" s="456">
        <f t="shared" si="12"/>
        <v>-563</v>
      </c>
      <c r="F128" s="449">
        <f t="shared" si="13"/>
        <v>-0.28960905349794236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646</v>
      </c>
      <c r="C129" s="465">
        <f>IF(C128=0,0,C119/C128)</f>
        <v>609.11522633744858</v>
      </c>
      <c r="D129" s="465">
        <f>IF(LN_ID11=0,0,LN_1D2/LN_ID11)</f>
        <v>1817.1426502534396</v>
      </c>
      <c r="E129" s="465">
        <f t="shared" si="12"/>
        <v>1208.027423915991</v>
      </c>
      <c r="F129" s="449">
        <f t="shared" si="13"/>
        <v>1.9832494275011709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647</v>
      </c>
      <c r="C130" s="466">
        <f>IF(C121=0,0,C128/C121)</f>
        <v>4.5741176470588236</v>
      </c>
      <c r="D130" s="466">
        <f>IF(LN_ID4=0,0,LN_ID11/LN_ID4)</f>
        <v>3.7324324324324323</v>
      </c>
      <c r="E130" s="466">
        <f t="shared" si="12"/>
        <v>-0.84168521462639134</v>
      </c>
      <c r="F130" s="449">
        <f t="shared" si="13"/>
        <v>-0.18401039928817711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686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649</v>
      </c>
      <c r="C133" s="448">
        <v>19850838</v>
      </c>
      <c r="D133" s="448">
        <v>23648312</v>
      </c>
      <c r="E133" s="448">
        <f t="shared" ref="E133:E141" si="14">D133-C133</f>
        <v>3797474</v>
      </c>
      <c r="F133" s="449">
        <f t="shared" ref="F133:F141" si="15">IF(C133=0,0,E133/C133)</f>
        <v>0.19130043779511979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650</v>
      </c>
      <c r="C134" s="448">
        <v>2701312</v>
      </c>
      <c r="D134" s="448">
        <v>4213126</v>
      </c>
      <c r="E134" s="448">
        <f t="shared" si="14"/>
        <v>1511814</v>
      </c>
      <c r="F134" s="449">
        <f t="shared" si="15"/>
        <v>0.55965915821645185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651</v>
      </c>
      <c r="C135" s="453">
        <f>IF(C133=0,0,C134/C133)</f>
        <v>0.13608050199190583</v>
      </c>
      <c r="D135" s="453">
        <f>IF(LN_ID14=0,0,LN_ID15/LN_ID14)</f>
        <v>0.17815757843519656</v>
      </c>
      <c r="E135" s="454">
        <f t="shared" si="14"/>
        <v>4.2077076443290728E-2</v>
      </c>
      <c r="F135" s="449">
        <f t="shared" si="15"/>
        <v>0.30920724003350242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652</v>
      </c>
      <c r="C136" s="453">
        <f>IF(C118=0,0,C133/C118)</f>
        <v>1.6888819426920612</v>
      </c>
      <c r="D136" s="453">
        <f>IF(LN_ID1=0,0,LN_ID14/LN_ID1)</f>
        <v>2.1492000270100569</v>
      </c>
      <c r="E136" s="454">
        <f t="shared" si="14"/>
        <v>0.4603180843179957</v>
      </c>
      <c r="F136" s="449">
        <f t="shared" si="15"/>
        <v>0.27255788144922266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653</v>
      </c>
      <c r="C137" s="463">
        <f>C136*C121</f>
        <v>717.77482564412594</v>
      </c>
      <c r="D137" s="463">
        <f>LN_ID17*LN_ID4</f>
        <v>795.204009993721</v>
      </c>
      <c r="E137" s="463">
        <f t="shared" si="14"/>
        <v>77.429184349595062</v>
      </c>
      <c r="F137" s="449">
        <f t="shared" si="15"/>
        <v>0.10787392032049978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654</v>
      </c>
      <c r="C138" s="465">
        <f>IF(C137=0,0,C134/C137)</f>
        <v>3763.4532495283074</v>
      </c>
      <c r="D138" s="465">
        <f>IF(LN_ID18=0,0,LN_ID15/LN_ID18)</f>
        <v>5298.1699627410926</v>
      </c>
      <c r="E138" s="465">
        <f t="shared" si="14"/>
        <v>1534.7167132127852</v>
      </c>
      <c r="F138" s="449">
        <f t="shared" si="15"/>
        <v>0.40779481275744262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687</v>
      </c>
      <c r="C139" s="465">
        <f>C61-C138</f>
        <v>6491.7629529131464</v>
      </c>
      <c r="D139" s="465">
        <f>LN_IB18-LN_ID19</f>
        <v>3888.8582965598471</v>
      </c>
      <c r="E139" s="465">
        <f t="shared" si="14"/>
        <v>-2602.9046563532993</v>
      </c>
      <c r="F139" s="449">
        <f t="shared" si="15"/>
        <v>-0.40095497559492044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688</v>
      </c>
      <c r="C140" s="465">
        <f>C32-C138</f>
        <v>4322.705781728213</v>
      </c>
      <c r="D140" s="465">
        <f>LN_IA16-LN_ID19</f>
        <v>1840.5671610197296</v>
      </c>
      <c r="E140" s="465">
        <f t="shared" si="14"/>
        <v>-2482.1386207084834</v>
      </c>
      <c r="F140" s="449">
        <f t="shared" si="15"/>
        <v>-0.57420947574093906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665</v>
      </c>
      <c r="C141" s="441">
        <f>C140*C137</f>
        <v>3102729.3887908231</v>
      </c>
      <c r="D141" s="441">
        <f>LN_ID21*LN_ID18</f>
        <v>1463626.3871056477</v>
      </c>
      <c r="E141" s="441">
        <f t="shared" si="14"/>
        <v>-1639103.0016851753</v>
      </c>
      <c r="F141" s="449">
        <f t="shared" si="15"/>
        <v>-0.52827778265379333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689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656</v>
      </c>
      <c r="C144" s="448">
        <f>C118+C133</f>
        <v>31604672</v>
      </c>
      <c r="D144" s="448">
        <f>LN_ID1+LN_ID14</f>
        <v>34651621</v>
      </c>
      <c r="E144" s="448">
        <f>D144-C144</f>
        <v>3046949</v>
      </c>
      <c r="F144" s="449">
        <f>IF(C144=0,0,E144/C144)</f>
        <v>9.6408182942066281E-2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657</v>
      </c>
      <c r="C145" s="448">
        <f>C119+C134</f>
        <v>3885432</v>
      </c>
      <c r="D145" s="448">
        <f>LN_1D2+LN_ID15</f>
        <v>6722600</v>
      </c>
      <c r="E145" s="448">
        <f>D145-C145</f>
        <v>2837168</v>
      </c>
      <c r="F145" s="449">
        <f>IF(C145=0,0,E145/C145)</f>
        <v>0.73020657677190082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658</v>
      </c>
      <c r="C146" s="448">
        <f>C144-C145</f>
        <v>27719240</v>
      </c>
      <c r="D146" s="448">
        <f>LN_ID23-LN_ID24</f>
        <v>27929021</v>
      </c>
      <c r="E146" s="448">
        <f>D146-C146</f>
        <v>209781</v>
      </c>
      <c r="F146" s="449">
        <f>IF(C146=0,0,E146/C146)</f>
        <v>7.5680646366927812E-3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667</v>
      </c>
      <c r="C148" s="448">
        <f>C127+C141</f>
        <v>4662609.9829251636</v>
      </c>
      <c r="D148" s="448">
        <f>LN_ID10+LN_ID22</f>
        <v>1714388.4251246033</v>
      </c>
      <c r="E148" s="448">
        <f>D148-C148</f>
        <v>-2948221.5578005603</v>
      </c>
      <c r="F148" s="503">
        <f>IF(C148=0,0,E148/C148)</f>
        <v>-0.63231142398724627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690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691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640</v>
      </c>
      <c r="C153" s="448">
        <v>10773013</v>
      </c>
      <c r="D153" s="448">
        <v>12500914</v>
      </c>
      <c r="E153" s="448">
        <f t="shared" ref="E153:E165" si="16">D153-C153</f>
        <v>1727901</v>
      </c>
      <c r="F153" s="449">
        <f t="shared" ref="F153:F165" si="17">IF(C153=0,0,E153/C153)</f>
        <v>0.16039161931764123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641</v>
      </c>
      <c r="C154" s="448">
        <v>2521581</v>
      </c>
      <c r="D154" s="448">
        <v>2600396</v>
      </c>
      <c r="E154" s="448">
        <f t="shared" si="16"/>
        <v>78815</v>
      </c>
      <c r="F154" s="449">
        <f t="shared" si="17"/>
        <v>3.1256184116235014E-2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642</v>
      </c>
      <c r="C155" s="453">
        <f>IF(C153=0,0,C154/C153)</f>
        <v>0.23406460198275078</v>
      </c>
      <c r="D155" s="453">
        <f>IF(LN_IE1=0,0,LN_IE2/LN_IE1)</f>
        <v>0.20801646983572561</v>
      </c>
      <c r="E155" s="454">
        <f t="shared" si="16"/>
        <v>-2.6048132147025171E-2</v>
      </c>
      <c r="F155" s="449">
        <f t="shared" si="17"/>
        <v>-0.11128608053662369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297</v>
      </c>
      <c r="D156" s="506">
        <v>277</v>
      </c>
      <c r="E156" s="506">
        <f t="shared" si="16"/>
        <v>-20</v>
      </c>
      <c r="F156" s="449">
        <f t="shared" si="17"/>
        <v>-6.7340067340067339E-2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643</v>
      </c>
      <c r="C157" s="459">
        <v>1.1122000000000001</v>
      </c>
      <c r="D157" s="459">
        <v>1.1542300000000001</v>
      </c>
      <c r="E157" s="460">
        <f t="shared" si="16"/>
        <v>4.2030000000000012E-2</v>
      </c>
      <c r="F157" s="449">
        <f t="shared" si="17"/>
        <v>3.7789965833483194E-2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644</v>
      </c>
      <c r="C158" s="463">
        <f>C156*C157</f>
        <v>330.32340000000005</v>
      </c>
      <c r="D158" s="463">
        <f>LN_IE4*LN_IE5</f>
        <v>319.72171000000003</v>
      </c>
      <c r="E158" s="463">
        <f t="shared" si="16"/>
        <v>-10.601690000000019</v>
      </c>
      <c r="F158" s="449">
        <f t="shared" si="17"/>
        <v>-3.2094880350589806E-2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645</v>
      </c>
      <c r="C159" s="465">
        <f>IF(C158=0,0,C154/C158)</f>
        <v>7633.673545380072</v>
      </c>
      <c r="D159" s="465">
        <f>IF(LN_IE6=0,0,LN_IE2/LN_IE6)</f>
        <v>8133.3106844699405</v>
      </c>
      <c r="E159" s="465">
        <f t="shared" si="16"/>
        <v>499.63713908986847</v>
      </c>
      <c r="F159" s="449">
        <f t="shared" si="17"/>
        <v>6.5451729906926756E-2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692</v>
      </c>
      <c r="C160" s="465">
        <f>C48-C159</f>
        <v>4748.7003019488711</v>
      </c>
      <c r="D160" s="465">
        <f>LN_IB7-LN_IE7</f>
        <v>5314.2681380944678</v>
      </c>
      <c r="E160" s="465">
        <f t="shared" si="16"/>
        <v>565.56783614559663</v>
      </c>
      <c r="F160" s="449">
        <f t="shared" si="17"/>
        <v>0.11909950095471114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693</v>
      </c>
      <c r="C161" s="465">
        <f>C21-C159</f>
        <v>-680.76380361995143</v>
      </c>
      <c r="D161" s="465">
        <f>LN_IA7-LN_IE7</f>
        <v>-80.354662048006503</v>
      </c>
      <c r="E161" s="465">
        <f t="shared" si="16"/>
        <v>600.40914157194493</v>
      </c>
      <c r="F161" s="449">
        <f t="shared" si="17"/>
        <v>-0.88196396221314677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662</v>
      </c>
      <c r="C162" s="479">
        <f>C161*C158</f>
        <v>-224872.2142086747</v>
      </c>
      <c r="D162" s="479">
        <f>LN_IE9*LN_IE6</f>
        <v>-25691.129956460743</v>
      </c>
      <c r="E162" s="479">
        <f t="shared" si="16"/>
        <v>199181.08425221397</v>
      </c>
      <c r="F162" s="449">
        <f t="shared" si="17"/>
        <v>-0.88575231472297355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1377</v>
      </c>
      <c r="D163" s="456">
        <v>1326</v>
      </c>
      <c r="E163" s="506">
        <f t="shared" si="16"/>
        <v>-51</v>
      </c>
      <c r="F163" s="449">
        <f t="shared" si="17"/>
        <v>-3.7037037037037035E-2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646</v>
      </c>
      <c r="C164" s="465">
        <f>IF(C163=0,0,C154/C163)</f>
        <v>1831.2135076252723</v>
      </c>
      <c r="D164" s="465">
        <f>IF(LN_IE11=0,0,LN_IE2/LN_IE11)</f>
        <v>1961.0829562594267</v>
      </c>
      <c r="E164" s="465">
        <f t="shared" si="16"/>
        <v>129.86944863415442</v>
      </c>
      <c r="F164" s="449">
        <f t="shared" si="17"/>
        <v>7.0919883505320927E-2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647</v>
      </c>
      <c r="C165" s="466">
        <f>IF(C156=0,0,C163/C156)</f>
        <v>4.6363636363636367</v>
      </c>
      <c r="D165" s="466">
        <f>IF(LN_IE4=0,0,LN_IE11/LN_IE4)</f>
        <v>4.7870036101083029</v>
      </c>
      <c r="E165" s="466">
        <f t="shared" si="16"/>
        <v>0.1506399737446662</v>
      </c>
      <c r="F165" s="449">
        <f t="shared" si="17"/>
        <v>3.2490974729241728E-2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694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649</v>
      </c>
      <c r="C168" s="511">
        <v>10130526</v>
      </c>
      <c r="D168" s="511">
        <v>12323262</v>
      </c>
      <c r="E168" s="511">
        <f t="shared" ref="E168:E176" si="18">D168-C168</f>
        <v>2192736</v>
      </c>
      <c r="F168" s="449">
        <f t="shared" ref="F168:F176" si="19">IF(C168=0,0,E168/C168)</f>
        <v>0.21644838579951328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650</v>
      </c>
      <c r="C169" s="511">
        <v>721352</v>
      </c>
      <c r="D169" s="511">
        <v>2614406</v>
      </c>
      <c r="E169" s="511">
        <f t="shared" si="18"/>
        <v>1893054</v>
      </c>
      <c r="F169" s="449">
        <f t="shared" si="19"/>
        <v>2.6243137885526067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651</v>
      </c>
      <c r="C170" s="453">
        <f>IF(C168=0,0,C169/C168)</f>
        <v>7.1205779443239178E-2</v>
      </c>
      <c r="D170" s="453">
        <f>IF(LN_IE14=0,0,LN_IE15/LN_IE14)</f>
        <v>0.21215210712877808</v>
      </c>
      <c r="E170" s="454">
        <f t="shared" si="18"/>
        <v>0.14094632768553889</v>
      </c>
      <c r="F170" s="449">
        <f t="shared" si="19"/>
        <v>1.9794225804085543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652</v>
      </c>
      <c r="C171" s="453">
        <f>IF(C153=0,0,C168/C153)</f>
        <v>0.94036143834598551</v>
      </c>
      <c r="D171" s="453">
        <f>IF(LN_IE1=0,0,LN_IE14/LN_IE1)</f>
        <v>0.98578887911715896</v>
      </c>
      <c r="E171" s="454">
        <f t="shared" si="18"/>
        <v>4.5427440771173444E-2</v>
      </c>
      <c r="F171" s="449">
        <f t="shared" si="19"/>
        <v>4.8308489607013644E-2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653</v>
      </c>
      <c r="C172" s="463">
        <f>C171*C156</f>
        <v>279.28734718875768</v>
      </c>
      <c r="D172" s="463">
        <f>LN_IE17*LN_IE4</f>
        <v>273.06351951545304</v>
      </c>
      <c r="E172" s="463">
        <f t="shared" si="18"/>
        <v>-6.2238276733046405</v>
      </c>
      <c r="F172" s="449">
        <f t="shared" si="19"/>
        <v>-2.2284674676286847E-2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654</v>
      </c>
      <c r="C173" s="465">
        <f>IF(C172=0,0,C169/C172)</f>
        <v>2582.8309347378736</v>
      </c>
      <c r="D173" s="465">
        <f>IF(LN_IE18=0,0,LN_IE15/LN_IE18)</f>
        <v>9574.3510690817384</v>
      </c>
      <c r="E173" s="465">
        <f t="shared" si="18"/>
        <v>6991.5201343438648</v>
      </c>
      <c r="F173" s="449">
        <f t="shared" si="19"/>
        <v>2.7069213243155694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695</v>
      </c>
      <c r="C174" s="465">
        <f>C61-C173</f>
        <v>7672.3852677035802</v>
      </c>
      <c r="D174" s="465">
        <f>LN_IB18-LN_IE19</f>
        <v>-387.32280978079871</v>
      </c>
      <c r="E174" s="465">
        <f t="shared" si="18"/>
        <v>-8059.7080774843789</v>
      </c>
      <c r="F174" s="449">
        <f t="shared" si="19"/>
        <v>-1.0504827112125363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696</v>
      </c>
      <c r="C175" s="465">
        <f>C32-C173</f>
        <v>5503.3280965186468</v>
      </c>
      <c r="D175" s="465">
        <f>LN_IA16-LN_IE19</f>
        <v>-2435.6139453209162</v>
      </c>
      <c r="E175" s="465">
        <f t="shared" si="18"/>
        <v>-7938.942041839563</v>
      </c>
      <c r="F175" s="449">
        <f t="shared" si="19"/>
        <v>-1.4425710956360502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665</v>
      </c>
      <c r="C176" s="441">
        <f>C175*C172</f>
        <v>1537009.9047860482</v>
      </c>
      <c r="D176" s="441">
        <f>LN_IE21*LN_IE18</f>
        <v>-665077.31609024759</v>
      </c>
      <c r="E176" s="441">
        <f t="shared" si="18"/>
        <v>-2202087.2208762961</v>
      </c>
      <c r="F176" s="449">
        <f t="shared" si="19"/>
        <v>-1.4327085427486732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697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656</v>
      </c>
      <c r="C179" s="448">
        <f>C153+C168</f>
        <v>20903539</v>
      </c>
      <c r="D179" s="448">
        <f>LN_IE1+LN_IE14</f>
        <v>24824176</v>
      </c>
      <c r="E179" s="448">
        <f>D179-C179</f>
        <v>3920637</v>
      </c>
      <c r="F179" s="449">
        <f>IF(C179=0,0,E179/C179)</f>
        <v>0.18755852776891033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657</v>
      </c>
      <c r="C180" s="448">
        <f>C154+C169</f>
        <v>3242933</v>
      </c>
      <c r="D180" s="448">
        <f>LN_IE15+LN_IE2</f>
        <v>5214802</v>
      </c>
      <c r="E180" s="448">
        <f>D180-C180</f>
        <v>1971869</v>
      </c>
      <c r="F180" s="449">
        <f>IF(C180=0,0,E180/C180)</f>
        <v>0.60805110682212671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658</v>
      </c>
      <c r="C181" s="448">
        <f>C179-C180</f>
        <v>17660606</v>
      </c>
      <c r="D181" s="448">
        <f>LN_IE23-LN_IE24</f>
        <v>19609374</v>
      </c>
      <c r="E181" s="448">
        <f>D181-C181</f>
        <v>1948768</v>
      </c>
      <c r="F181" s="449">
        <f>IF(C181=0,0,E181/C181)</f>
        <v>0.11034547738622333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698</v>
      </c>
      <c r="C183" s="448">
        <f>C162+C176</f>
        <v>1312137.6905773736</v>
      </c>
      <c r="D183" s="448">
        <f>LN_IE10+LN_IE22</f>
        <v>-690768.44604670838</v>
      </c>
      <c r="E183" s="441">
        <f>D183-C183</f>
        <v>-2002906.136624082</v>
      </c>
      <c r="F183" s="449">
        <f>IF(C183=0,0,E183/C183)</f>
        <v>-1.5264450910961584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699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700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640</v>
      </c>
      <c r="C188" s="448">
        <f>C118+C153</f>
        <v>22526847</v>
      </c>
      <c r="D188" s="448">
        <f>LN_ID1+LN_IE1</f>
        <v>23504223</v>
      </c>
      <c r="E188" s="448">
        <f t="shared" ref="E188:E200" si="20">D188-C188</f>
        <v>977376</v>
      </c>
      <c r="F188" s="449">
        <f t="shared" ref="F188:F200" si="21">IF(C188=0,0,E188/C188)</f>
        <v>4.3387163769523535E-2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641</v>
      </c>
      <c r="C189" s="448">
        <f>C119+C154</f>
        <v>3705701</v>
      </c>
      <c r="D189" s="448">
        <f>LN_1D2+LN_IE2</f>
        <v>5109870</v>
      </c>
      <c r="E189" s="448">
        <f t="shared" si="20"/>
        <v>1404169</v>
      </c>
      <c r="F189" s="449">
        <f t="shared" si="21"/>
        <v>0.3789212891164182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642</v>
      </c>
      <c r="C190" s="453">
        <f>IF(C188=0,0,C189/C188)</f>
        <v>0.16450153898590425</v>
      </c>
      <c r="D190" s="453">
        <f>IF(LN_IF1=0,0,LN_IF2/LN_IF1)</f>
        <v>0.21740220895623735</v>
      </c>
      <c r="E190" s="454">
        <f t="shared" si="20"/>
        <v>5.2900669970333103E-2</v>
      </c>
      <c r="F190" s="449">
        <f t="shared" si="21"/>
        <v>0.32158161131164881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722</v>
      </c>
      <c r="D191" s="456">
        <f>LN_ID4+LN_IE4</f>
        <v>647</v>
      </c>
      <c r="E191" s="456">
        <f t="shared" si="20"/>
        <v>-75</v>
      </c>
      <c r="F191" s="449">
        <f t="shared" si="21"/>
        <v>-0.1038781163434903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643</v>
      </c>
      <c r="C192" s="459">
        <f>IF((C121+C156)=0,0,(C123+C158)/(C121+C156))</f>
        <v>1.0041252077562326</v>
      </c>
      <c r="D192" s="459">
        <f>IF((LN_ID4+LN_IE4)=0,0,(LN_ID6+LN_IE6)/(LN_ID4+LN_IE4))</f>
        <v>1.0239293817619786</v>
      </c>
      <c r="E192" s="460">
        <f t="shared" si="20"/>
        <v>1.9804174005745967E-2</v>
      </c>
      <c r="F192" s="449">
        <f t="shared" si="21"/>
        <v>1.9722813303332334E-2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644</v>
      </c>
      <c r="C193" s="463">
        <f>C123+C158</f>
        <v>724.97839999999997</v>
      </c>
      <c r="D193" s="463">
        <f>LN_IF4*LN_IF5</f>
        <v>662.4823100000001</v>
      </c>
      <c r="E193" s="463">
        <f t="shared" si="20"/>
        <v>-62.496089999999867</v>
      </c>
      <c r="F193" s="449">
        <f t="shared" si="21"/>
        <v>-8.6204071735102555E-2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645</v>
      </c>
      <c r="C194" s="465">
        <f>IF(C193=0,0,C189/C193)</f>
        <v>5111.4640105139688</v>
      </c>
      <c r="D194" s="465">
        <f>IF(LN_IF6=0,0,LN_IF2/LN_IF6)</f>
        <v>7713.2172782092839</v>
      </c>
      <c r="E194" s="465">
        <f t="shared" si="20"/>
        <v>2601.7532676953151</v>
      </c>
      <c r="F194" s="449">
        <f t="shared" si="21"/>
        <v>0.50900353838815415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701</v>
      </c>
      <c r="C195" s="465">
        <f>C48-C194</f>
        <v>7270.9098368149744</v>
      </c>
      <c r="D195" s="465">
        <f>LN_IB7-LN_IF7</f>
        <v>5734.3615443551244</v>
      </c>
      <c r="E195" s="465">
        <f t="shared" si="20"/>
        <v>-1536.54829245985</v>
      </c>
      <c r="F195" s="449">
        <f t="shared" si="21"/>
        <v>-0.21132820058912127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702</v>
      </c>
      <c r="C196" s="465">
        <f>C21-C194</f>
        <v>1841.4457312461518</v>
      </c>
      <c r="D196" s="465">
        <f>LN_IA7-LN_IF7</f>
        <v>339.73874421265009</v>
      </c>
      <c r="E196" s="465">
        <f t="shared" si="20"/>
        <v>-1501.7069870335017</v>
      </c>
      <c r="F196" s="449">
        <f t="shared" si="21"/>
        <v>-0.81550434072105915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662</v>
      </c>
      <c r="C197" s="479">
        <f>C127+C162</f>
        <v>1335008.3799256654</v>
      </c>
      <c r="D197" s="479">
        <f>LN_IF9*LN_IF6</f>
        <v>225070.90806249558</v>
      </c>
      <c r="E197" s="479">
        <f t="shared" si="20"/>
        <v>-1109937.4718631699</v>
      </c>
      <c r="F197" s="449">
        <f t="shared" si="21"/>
        <v>-0.83140861776835606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3321</v>
      </c>
      <c r="D198" s="456">
        <f>LN_ID11+LN_IE11</f>
        <v>2707</v>
      </c>
      <c r="E198" s="456">
        <f t="shared" si="20"/>
        <v>-614</v>
      </c>
      <c r="F198" s="449">
        <f t="shared" si="21"/>
        <v>-0.18488407106293286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646</v>
      </c>
      <c r="C199" s="519">
        <f>IF(C198=0,0,C189/C198)</f>
        <v>1115.8389039445949</v>
      </c>
      <c r="D199" s="519">
        <f>IF(LN_IF11=0,0,LN_IF2/LN_IF11)</f>
        <v>1887.6505356483192</v>
      </c>
      <c r="E199" s="519">
        <f t="shared" si="20"/>
        <v>771.81163170372429</v>
      </c>
      <c r="F199" s="449">
        <f t="shared" si="21"/>
        <v>0.69168732957355938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647</v>
      </c>
      <c r="C200" s="466">
        <f>IF(C191=0,0,C198/C191)</f>
        <v>4.5997229916897506</v>
      </c>
      <c r="D200" s="466">
        <f>IF(LN_IF4=0,0,LN_IF11/LN_IF4)</f>
        <v>4.1839258114374038</v>
      </c>
      <c r="E200" s="466">
        <f t="shared" si="20"/>
        <v>-0.4157971802523468</v>
      </c>
      <c r="F200" s="449">
        <f t="shared" si="21"/>
        <v>-9.0396134941943512E-2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703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649</v>
      </c>
      <c r="C203" s="448">
        <f>C133+C168</f>
        <v>29981364</v>
      </c>
      <c r="D203" s="448">
        <f>LN_ID14+LN_IE14</f>
        <v>35971574</v>
      </c>
      <c r="E203" s="448">
        <f t="shared" ref="E203:E211" si="22">D203-C203</f>
        <v>5990210</v>
      </c>
      <c r="F203" s="449">
        <f t="shared" ref="F203:F211" si="23">IF(C203=0,0,E203/C203)</f>
        <v>0.19979778104825385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650</v>
      </c>
      <c r="C204" s="448">
        <f>C134+C169</f>
        <v>3422664</v>
      </c>
      <c r="D204" s="448">
        <f>LN_ID15+LN_IE15</f>
        <v>6827532</v>
      </c>
      <c r="E204" s="448">
        <f t="shared" si="22"/>
        <v>3404868</v>
      </c>
      <c r="F204" s="449">
        <f t="shared" si="23"/>
        <v>0.99480054133271623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651</v>
      </c>
      <c r="C205" s="453">
        <f>IF(C203=0,0,C204/C203)</f>
        <v>0.11415971601558889</v>
      </c>
      <c r="D205" s="453">
        <f>IF(LN_IF14=0,0,LN_IF15/LN_IF14)</f>
        <v>0.18980353764892247</v>
      </c>
      <c r="E205" s="454">
        <f t="shared" si="22"/>
        <v>7.564382163333358E-2</v>
      </c>
      <c r="F205" s="449">
        <f t="shared" si="23"/>
        <v>0.66261396115424964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652</v>
      </c>
      <c r="C206" s="453">
        <f>IF(C188=0,0,C203/C188)</f>
        <v>1.3309170164825996</v>
      </c>
      <c r="D206" s="453">
        <f>IF(LN_IF1=0,0,LN_IF14/LN_IF1)</f>
        <v>1.5304302550226825</v>
      </c>
      <c r="E206" s="454">
        <f t="shared" si="22"/>
        <v>0.19951323854008285</v>
      </c>
      <c r="F206" s="449">
        <f t="shared" si="23"/>
        <v>0.1499065952792191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653</v>
      </c>
      <c r="C207" s="463">
        <f>C137+C172</f>
        <v>997.06217283288356</v>
      </c>
      <c r="D207" s="463">
        <f>LN_ID18+LN_IE18</f>
        <v>1068.267529509174</v>
      </c>
      <c r="E207" s="463">
        <f t="shared" si="22"/>
        <v>71.205356676290421</v>
      </c>
      <c r="F207" s="449">
        <f t="shared" si="23"/>
        <v>7.1415162079591865E-2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654</v>
      </c>
      <c r="C208" s="465">
        <f>IF(C207=0,0,C204/C207)</f>
        <v>3432.74882274936</v>
      </c>
      <c r="D208" s="465">
        <f>IF(LN_IF18=0,0,LN_IF15/LN_IF18)</f>
        <v>6391.2192511710773</v>
      </c>
      <c r="E208" s="465">
        <f t="shared" si="22"/>
        <v>2958.4704284217173</v>
      </c>
      <c r="F208" s="449">
        <f t="shared" si="23"/>
        <v>0.86183714019956081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704</v>
      </c>
      <c r="C209" s="465">
        <f>C61-C208</f>
        <v>6822.4673796920943</v>
      </c>
      <c r="D209" s="465">
        <f>LN_IB18-LN_IF19</f>
        <v>2795.8090081298624</v>
      </c>
      <c r="E209" s="465">
        <f t="shared" si="22"/>
        <v>-4026.6583715622319</v>
      </c>
      <c r="F209" s="449">
        <f t="shared" si="23"/>
        <v>-0.59020558801762413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705</v>
      </c>
      <c r="C210" s="465">
        <f>C32-C208</f>
        <v>4653.4102085071609</v>
      </c>
      <c r="D210" s="465">
        <f>LN_IA16-LN_IF19</f>
        <v>747.51787258974491</v>
      </c>
      <c r="E210" s="465">
        <f t="shared" si="22"/>
        <v>-3905.8923359174159</v>
      </c>
      <c r="F210" s="449">
        <f t="shared" si="23"/>
        <v>-0.83936127719340847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665</v>
      </c>
      <c r="C211" s="479">
        <f>C141+C176</f>
        <v>4639739.293576871</v>
      </c>
      <c r="D211" s="441">
        <f>LN_IF21*LN_IF18</f>
        <v>798549.07101540023</v>
      </c>
      <c r="E211" s="441">
        <f t="shared" si="22"/>
        <v>-3841190.2225614707</v>
      </c>
      <c r="F211" s="449">
        <f t="shared" si="23"/>
        <v>-0.82788923676791715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706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656</v>
      </c>
      <c r="C214" s="448">
        <f>C188+C203</f>
        <v>52508211</v>
      </c>
      <c r="D214" s="448">
        <f>LN_IF1+LN_IF14</f>
        <v>59475797</v>
      </c>
      <c r="E214" s="448">
        <f>D214-C214</f>
        <v>6967586</v>
      </c>
      <c r="F214" s="449">
        <f>IF(C214=0,0,E214/C214)</f>
        <v>0.13269517028489125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657</v>
      </c>
      <c r="C215" s="448">
        <f>C189+C204</f>
        <v>7128365</v>
      </c>
      <c r="D215" s="448">
        <f>LN_IF2+LN_IF15</f>
        <v>11937402</v>
      </c>
      <c r="E215" s="448">
        <f>D215-C215</f>
        <v>4809037</v>
      </c>
      <c r="F215" s="449">
        <f>IF(C215=0,0,E215/C215)</f>
        <v>0.67463394481062633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658</v>
      </c>
      <c r="C216" s="448">
        <f>C214-C215</f>
        <v>45379846</v>
      </c>
      <c r="D216" s="448">
        <f>LN_IF23-LN_IF24</f>
        <v>47538395</v>
      </c>
      <c r="E216" s="448">
        <f>D216-C216</f>
        <v>2158549</v>
      </c>
      <c r="F216" s="449">
        <f>IF(C216=0,0,E216/C216)</f>
        <v>4.7566247800840927E-2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707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708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640</v>
      </c>
      <c r="C221" s="448">
        <v>93179</v>
      </c>
      <c r="D221" s="448">
        <v>330425</v>
      </c>
      <c r="E221" s="448">
        <f t="shared" ref="E221:E230" si="24">D221-C221</f>
        <v>237246</v>
      </c>
      <c r="F221" s="449">
        <f t="shared" ref="F221:F230" si="25">IF(C221=0,0,E221/C221)</f>
        <v>2.5461316391032316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641</v>
      </c>
      <c r="C222" s="448">
        <v>60268</v>
      </c>
      <c r="D222" s="448">
        <v>112174</v>
      </c>
      <c r="E222" s="448">
        <f t="shared" si="24"/>
        <v>51906</v>
      </c>
      <c r="F222" s="449">
        <f t="shared" si="25"/>
        <v>0.86125306962235348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642</v>
      </c>
      <c r="C223" s="453">
        <f>IF(C221=0,0,C222/C221)</f>
        <v>0.64679809828394808</v>
      </c>
      <c r="D223" s="453">
        <f>IF(LN_IG1=0,0,LN_IG2/LN_IG1)</f>
        <v>0.33948399788151623</v>
      </c>
      <c r="E223" s="454">
        <f t="shared" si="24"/>
        <v>-0.30731410040243184</v>
      </c>
      <c r="F223" s="449">
        <f t="shared" si="25"/>
        <v>-0.47513142233686528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4</v>
      </c>
      <c r="D224" s="456">
        <v>13</v>
      </c>
      <c r="E224" s="456">
        <f t="shared" si="24"/>
        <v>9</v>
      </c>
      <c r="F224" s="449">
        <f t="shared" si="25"/>
        <v>2.25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643</v>
      </c>
      <c r="C225" s="459">
        <v>1.1954</v>
      </c>
      <c r="D225" s="459">
        <v>0.69643999999999995</v>
      </c>
      <c r="E225" s="460">
        <f t="shared" si="24"/>
        <v>-0.49896000000000007</v>
      </c>
      <c r="F225" s="449">
        <f t="shared" si="25"/>
        <v>-0.41740003346160287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644</v>
      </c>
      <c r="C226" s="463">
        <f>C224*C225</f>
        <v>4.7816000000000001</v>
      </c>
      <c r="D226" s="463">
        <f>LN_IG3*LN_IG4</f>
        <v>9.0537199999999984</v>
      </c>
      <c r="E226" s="463">
        <f t="shared" si="24"/>
        <v>4.2721199999999984</v>
      </c>
      <c r="F226" s="449">
        <f t="shared" si="25"/>
        <v>0.89344989124979046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645</v>
      </c>
      <c r="C227" s="465">
        <f>IF(C226=0,0,C222/C226)</f>
        <v>12604.149238748536</v>
      </c>
      <c r="D227" s="465">
        <f>IF(LN_IG5=0,0,LN_IG2/LN_IG5)</f>
        <v>12389.8242932187</v>
      </c>
      <c r="E227" s="465">
        <f t="shared" si="24"/>
        <v>-214.32494552983553</v>
      </c>
      <c r="F227" s="449">
        <f t="shared" si="25"/>
        <v>-1.7004316711114714E-2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9</v>
      </c>
      <c r="D228" s="456">
        <v>54</v>
      </c>
      <c r="E228" s="456">
        <f t="shared" si="24"/>
        <v>45</v>
      </c>
      <c r="F228" s="449">
        <f t="shared" si="25"/>
        <v>5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646</v>
      </c>
      <c r="C229" s="465">
        <f>IF(C228=0,0,C222/C228)</f>
        <v>6696.4444444444443</v>
      </c>
      <c r="D229" s="465">
        <f>IF(LN_IG6=0,0,LN_IG2/LN_IG6)</f>
        <v>2077.2962962962961</v>
      </c>
      <c r="E229" s="465">
        <f t="shared" si="24"/>
        <v>-4619.1481481481478</v>
      </c>
      <c r="F229" s="449">
        <f t="shared" si="25"/>
        <v>-0.68979115506294109</v>
      </c>
      <c r="Q229" s="421"/>
      <c r="U229" s="462"/>
    </row>
    <row r="230" spans="1:21" ht="15.75" customHeight="1" x14ac:dyDescent="0.2">
      <c r="A230" s="451">
        <v>10</v>
      </c>
      <c r="B230" s="447" t="s">
        <v>647</v>
      </c>
      <c r="C230" s="466">
        <f>IF(C224=0,0,C228/C224)</f>
        <v>2.25</v>
      </c>
      <c r="D230" s="466">
        <f>IF(LN_IG3=0,0,LN_IG6/LN_IG3)</f>
        <v>4.1538461538461542</v>
      </c>
      <c r="E230" s="466">
        <f t="shared" si="24"/>
        <v>1.9038461538461542</v>
      </c>
      <c r="F230" s="449">
        <f t="shared" si="25"/>
        <v>0.84615384615384626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709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649</v>
      </c>
      <c r="C233" s="448">
        <v>456236</v>
      </c>
      <c r="D233" s="448">
        <v>438848</v>
      </c>
      <c r="E233" s="448">
        <f>D233-C233</f>
        <v>-17388</v>
      </c>
      <c r="F233" s="449">
        <f>IF(C233=0,0,E233/C233)</f>
        <v>-3.8111854391148441E-2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650</v>
      </c>
      <c r="C234" s="448">
        <v>279344</v>
      </c>
      <c r="D234" s="448">
        <v>261553</v>
      </c>
      <c r="E234" s="448">
        <f>D234-C234</f>
        <v>-17791</v>
      </c>
      <c r="F234" s="449">
        <f>IF(C234=0,0,E234/C234)</f>
        <v>-6.3688498768543447E-2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710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656</v>
      </c>
      <c r="C237" s="448">
        <f>C221+C233</f>
        <v>549415</v>
      </c>
      <c r="D237" s="448">
        <f>LN_IG1+LN_IG9</f>
        <v>769273</v>
      </c>
      <c r="E237" s="448">
        <f>D237-C237</f>
        <v>219858</v>
      </c>
      <c r="F237" s="449">
        <f>IF(C237=0,0,E237/C237)</f>
        <v>0.40016745083406896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657</v>
      </c>
      <c r="C238" s="448">
        <f>C222+C234</f>
        <v>339612</v>
      </c>
      <c r="D238" s="448">
        <f>LN_IG2+LN_IG10</f>
        <v>373727</v>
      </c>
      <c r="E238" s="448">
        <f>D238-C238</f>
        <v>34115</v>
      </c>
      <c r="F238" s="449">
        <f>IF(C238=0,0,E238/C238)</f>
        <v>0.10045286974547425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658</v>
      </c>
      <c r="C239" s="448">
        <f>C237-C238</f>
        <v>209803</v>
      </c>
      <c r="D239" s="448">
        <f>LN_IG13-LN_IG14</f>
        <v>395546</v>
      </c>
      <c r="E239" s="448">
        <f>D239-C239</f>
        <v>185743</v>
      </c>
      <c r="F239" s="449">
        <f>IF(C239=0,0,E239/C239)</f>
        <v>0.88532099159687894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711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712</v>
      </c>
      <c r="C243" s="448">
        <v>24731229</v>
      </c>
      <c r="D243" s="448">
        <v>22586617</v>
      </c>
      <c r="E243" s="441">
        <f>D243-C243</f>
        <v>-2144612</v>
      </c>
      <c r="F243" s="503">
        <f>IF(C243=0,0,E243/C243)</f>
        <v>-8.6716757990474305E-2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713</v>
      </c>
      <c r="C244" s="448">
        <v>312559000</v>
      </c>
      <c r="D244" s="448">
        <v>311019000</v>
      </c>
      <c r="E244" s="441">
        <f>D244-C244</f>
        <v>-1540000</v>
      </c>
      <c r="F244" s="503">
        <f>IF(C244=0,0,E244/C244)</f>
        <v>-4.9270697692275697E-3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714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715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716</v>
      </c>
      <c r="C248" s="441">
        <v>16060311</v>
      </c>
      <c r="D248" s="441">
        <v>14617978</v>
      </c>
      <c r="E248" s="441">
        <f>D248-C248</f>
        <v>-1442333</v>
      </c>
      <c r="F248" s="449">
        <f>IF(C248=0,0,E248/C248)</f>
        <v>-8.9807289535053209E-2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717</v>
      </c>
      <c r="C249" s="441">
        <v>14042325</v>
      </c>
      <c r="D249" s="441">
        <v>14715765</v>
      </c>
      <c r="E249" s="441">
        <f>D249-C249</f>
        <v>673440</v>
      </c>
      <c r="F249" s="449">
        <f>IF(C249=0,0,E249/C249)</f>
        <v>4.7957870224482058E-2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718</v>
      </c>
      <c r="C250" s="441">
        <f>C248+C249</f>
        <v>30102636</v>
      </c>
      <c r="D250" s="441">
        <f>LN_IH4+LN_IH5</f>
        <v>29333743</v>
      </c>
      <c r="E250" s="441">
        <f>D250-C250</f>
        <v>-768893</v>
      </c>
      <c r="F250" s="449">
        <f>IF(C250=0,0,E250/C250)</f>
        <v>-2.5542381072541288E-2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719</v>
      </c>
      <c r="C251" s="441">
        <f>C250*C313</f>
        <v>9466844.3216873351</v>
      </c>
      <c r="D251" s="441">
        <f>LN_IH6*LN_III10</f>
        <v>8867984.7057549339</v>
      </c>
      <c r="E251" s="441">
        <f>D251-C251</f>
        <v>-598859.61593240127</v>
      </c>
      <c r="F251" s="449">
        <f>IF(C251=0,0,E251/C251)</f>
        <v>-6.3258631449182076E-2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720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656</v>
      </c>
      <c r="C254" s="441">
        <f>C188+C203</f>
        <v>52508211</v>
      </c>
      <c r="D254" s="441">
        <f>LN_IF23</f>
        <v>59475797</v>
      </c>
      <c r="E254" s="441">
        <f>D254-C254</f>
        <v>6967586</v>
      </c>
      <c r="F254" s="449">
        <f>IF(C254=0,0,E254/C254)</f>
        <v>0.13269517028489125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657</v>
      </c>
      <c r="C255" s="441">
        <f>C189+C204</f>
        <v>7128365</v>
      </c>
      <c r="D255" s="441">
        <f>LN_IF24</f>
        <v>11937402</v>
      </c>
      <c r="E255" s="441">
        <f>D255-C255</f>
        <v>4809037</v>
      </c>
      <c r="F255" s="449">
        <f>IF(C255=0,0,E255/C255)</f>
        <v>0.67463394481062633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721</v>
      </c>
      <c r="C256" s="441">
        <f>C254*C313</f>
        <v>16513074.109101625</v>
      </c>
      <c r="D256" s="441">
        <f>LN_IH8*LN_III10</f>
        <v>17980332.689169098</v>
      </c>
      <c r="E256" s="441">
        <f>D256-C256</f>
        <v>1467258.5800674725</v>
      </c>
      <c r="F256" s="449">
        <f>IF(C256=0,0,E256/C256)</f>
        <v>8.8854356879483357E-2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722</v>
      </c>
      <c r="C257" s="441">
        <f>C256-C255</f>
        <v>9384709.1091016252</v>
      </c>
      <c r="D257" s="441">
        <f>LN_IH10-LN_IH9</f>
        <v>6042930.6891690977</v>
      </c>
      <c r="E257" s="441">
        <f>D257-C257</f>
        <v>-3341778.4199325275</v>
      </c>
      <c r="F257" s="449">
        <f>IF(C257=0,0,E257/C257)</f>
        <v>-0.35608758684822228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723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724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422498886</v>
      </c>
      <c r="D261" s="448">
        <f>LN_IA1+LN_IB1+LN_IF1+LN_IG1</f>
        <v>434620880</v>
      </c>
      <c r="E261" s="448">
        <f t="shared" ref="E261:E274" si="26">D261-C261</f>
        <v>12121994</v>
      </c>
      <c r="F261" s="503">
        <f t="shared" ref="F261:F274" si="27">IF(C261=0,0,E261/C261)</f>
        <v>2.8691185708830485E-2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127256198</v>
      </c>
      <c r="D262" s="448">
        <f>+LN_IA2+LN_IB2+LN_IF2+LN_IG2</f>
        <v>143319033</v>
      </c>
      <c r="E262" s="448">
        <f t="shared" si="26"/>
        <v>16062835</v>
      </c>
      <c r="F262" s="503">
        <f t="shared" si="27"/>
        <v>0.12622438240689857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725</v>
      </c>
      <c r="C263" s="453">
        <f>IF(C261=0,0,C262/C261)</f>
        <v>0.30119889594217769</v>
      </c>
      <c r="D263" s="453">
        <f>IF(LN_IIA1=0,0,LN_IIA2/LN_IIA1)</f>
        <v>0.32975643738055105</v>
      </c>
      <c r="E263" s="454">
        <f t="shared" si="26"/>
        <v>2.8557541438373357E-2</v>
      </c>
      <c r="F263" s="458">
        <f t="shared" si="27"/>
        <v>9.48129021158685E-2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13027</v>
      </c>
      <c r="D264" s="456">
        <f>LN_IA4+LN_IB4+LN_IF4+LN_IG3</f>
        <v>12439</v>
      </c>
      <c r="E264" s="456">
        <f t="shared" si="26"/>
        <v>-588</v>
      </c>
      <c r="F264" s="503">
        <f t="shared" si="27"/>
        <v>-4.5137023105857065E-2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726</v>
      </c>
      <c r="C265" s="525">
        <f>IF(C264=0,0,C266/C264)</f>
        <v>1.0475597297919705</v>
      </c>
      <c r="D265" s="525">
        <f>IF(LN_IIA4=0,0,LN_IIA6/LN_IIA4)</f>
        <v>1.1096108634134576</v>
      </c>
      <c r="E265" s="525">
        <f t="shared" si="26"/>
        <v>6.2051133621487065E-2</v>
      </c>
      <c r="F265" s="503">
        <f t="shared" si="27"/>
        <v>5.923398146834976E-2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727</v>
      </c>
      <c r="C266" s="463">
        <f>C20+C47+C193+C226</f>
        <v>13646.560600000001</v>
      </c>
      <c r="D266" s="463">
        <f>LN_IA6+LN_IB6+LN_IF6+LN_IG5</f>
        <v>13802.449529999998</v>
      </c>
      <c r="E266" s="463">
        <f t="shared" si="26"/>
        <v>155.88892999999734</v>
      </c>
      <c r="F266" s="503">
        <f t="shared" si="27"/>
        <v>1.1423312772303766E-2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549112159</v>
      </c>
      <c r="D267" s="448">
        <f>LN_IA11+LN_IB13+LN_IF14+LN_IG9</f>
        <v>646521658</v>
      </c>
      <c r="E267" s="448">
        <f t="shared" si="26"/>
        <v>97409499</v>
      </c>
      <c r="F267" s="503">
        <f t="shared" si="27"/>
        <v>0.17739454026549792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652</v>
      </c>
      <c r="C268" s="453">
        <f>IF(C261=0,0,C267/C261)</f>
        <v>1.2996771759535479</v>
      </c>
      <c r="D268" s="453">
        <f>IF(LN_IIA1=0,0,LN_IIA7/LN_IIA1)</f>
        <v>1.4875531474695831</v>
      </c>
      <c r="E268" s="454">
        <f t="shared" si="26"/>
        <v>0.18787597151603519</v>
      </c>
      <c r="F268" s="458">
        <f t="shared" si="27"/>
        <v>0.14455587509890233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178299446</v>
      </c>
      <c r="D269" s="448">
        <f>LN_IA12+LN_IB14+LN_IF15+LN_IG10</f>
        <v>181090769</v>
      </c>
      <c r="E269" s="448">
        <f t="shared" si="26"/>
        <v>2791323</v>
      </c>
      <c r="F269" s="503">
        <f t="shared" si="27"/>
        <v>1.5655253353956018E-2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651</v>
      </c>
      <c r="C270" s="453">
        <f>IF(C267=0,0,C269/C267)</f>
        <v>0.32470496796994075</v>
      </c>
      <c r="D270" s="453">
        <f>IF(LN_IIA7=0,0,LN_IIA9/LN_IIA7)</f>
        <v>0.28010008134947895</v>
      </c>
      <c r="E270" s="454">
        <f t="shared" si="26"/>
        <v>-4.4604886620461803E-2</v>
      </c>
      <c r="F270" s="458">
        <f t="shared" si="27"/>
        <v>-0.13737050867848458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728</v>
      </c>
      <c r="C271" s="441">
        <f>C261+C267</f>
        <v>971611045</v>
      </c>
      <c r="D271" s="441">
        <f>LN_IIA1+LN_IIA7</f>
        <v>1081142538</v>
      </c>
      <c r="E271" s="441">
        <f t="shared" si="26"/>
        <v>109531493</v>
      </c>
      <c r="F271" s="503">
        <f t="shared" si="27"/>
        <v>0.11273183190296071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729</v>
      </c>
      <c r="C272" s="441">
        <f>C262+C269</f>
        <v>305555644</v>
      </c>
      <c r="D272" s="441">
        <f>LN_IIA2+LN_IIA9</f>
        <v>324409802</v>
      </c>
      <c r="E272" s="441">
        <f t="shared" si="26"/>
        <v>18854158</v>
      </c>
      <c r="F272" s="503">
        <f t="shared" si="27"/>
        <v>6.1704499230261313E-2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730</v>
      </c>
      <c r="C273" s="453">
        <f>IF(C271=0,0,C272/C271)</f>
        <v>0.31448350198612657</v>
      </c>
      <c r="D273" s="453">
        <f>IF(LN_IIA11=0,0,LN_IIA12/LN_IIA11)</f>
        <v>0.30006200902993235</v>
      </c>
      <c r="E273" s="454">
        <f t="shared" si="26"/>
        <v>-1.4421492956194215E-2</v>
      </c>
      <c r="F273" s="458">
        <f t="shared" si="27"/>
        <v>-4.5857709117060198E-2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51919</v>
      </c>
      <c r="D274" s="508">
        <f>LN_IA8+LN_IB10+LN_IF11+LN_IG6</f>
        <v>51964</v>
      </c>
      <c r="E274" s="528">
        <f t="shared" si="26"/>
        <v>45</v>
      </c>
      <c r="F274" s="458">
        <f t="shared" si="27"/>
        <v>8.6673472139293896E-4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731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732</v>
      </c>
      <c r="C277" s="448">
        <f>C15+C188+C221</f>
        <v>235816946</v>
      </c>
      <c r="D277" s="448">
        <f>LN_IA1+LN_IF1+LN_IG1</f>
        <v>255615376</v>
      </c>
      <c r="E277" s="448">
        <f t="shared" ref="E277:E291" si="28">D277-C277</f>
        <v>19798430</v>
      </c>
      <c r="F277" s="503">
        <f t="shared" ref="F277:F291" si="29">IF(C277=0,0,E277/C277)</f>
        <v>8.3956773827441558E-2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733</v>
      </c>
      <c r="C278" s="448">
        <f>C16+C189+C222</f>
        <v>50443967</v>
      </c>
      <c r="D278" s="448">
        <f>LN_IA2+LN_IF2+LN_IG2</f>
        <v>62667005</v>
      </c>
      <c r="E278" s="448">
        <f t="shared" si="28"/>
        <v>12223038</v>
      </c>
      <c r="F278" s="503">
        <f t="shared" si="29"/>
        <v>0.24230921410284803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734</v>
      </c>
      <c r="C279" s="453">
        <f>IF(C277=0,0,C278/C277)</f>
        <v>0.21391154391423592</v>
      </c>
      <c r="D279" s="453">
        <f>IF(D277=0,0,LN_IIB2/D277)</f>
        <v>0.24516132785376729</v>
      </c>
      <c r="E279" s="454">
        <f t="shared" si="28"/>
        <v>3.1249783939531373E-2</v>
      </c>
      <c r="F279" s="458">
        <f t="shared" si="29"/>
        <v>0.14608741243090848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735</v>
      </c>
      <c r="C280" s="456">
        <f>C18+C191+C224</f>
        <v>5710</v>
      </c>
      <c r="D280" s="456">
        <f>LN_IA4+LN_IF4+LN_IG3</f>
        <v>5548</v>
      </c>
      <c r="E280" s="456">
        <f t="shared" si="28"/>
        <v>-162</v>
      </c>
      <c r="F280" s="503">
        <f t="shared" si="29"/>
        <v>-2.8371278458844133E-2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736</v>
      </c>
      <c r="C281" s="525">
        <f>IF(C280=0,0,C282/C280)</f>
        <v>1.3035390542907181</v>
      </c>
      <c r="D281" s="525">
        <f>IF(LN_IIB4=0,0,LN_IIB6/LN_IIB4)</f>
        <v>1.4068018366979091</v>
      </c>
      <c r="E281" s="525">
        <f t="shared" si="28"/>
        <v>0.103262782407191</v>
      </c>
      <c r="F281" s="503">
        <f t="shared" si="29"/>
        <v>7.9217252499871105E-2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737</v>
      </c>
      <c r="C282" s="463">
        <f>C20+C193+C226</f>
        <v>7443.2080000000005</v>
      </c>
      <c r="D282" s="463">
        <f>LN_IA6+LN_IF6+LN_IG5</f>
        <v>7804.9365900000003</v>
      </c>
      <c r="E282" s="463">
        <f t="shared" si="28"/>
        <v>361.72858999999971</v>
      </c>
      <c r="F282" s="503">
        <f t="shared" si="29"/>
        <v>4.8598479311608607E-2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738</v>
      </c>
      <c r="C283" s="448">
        <f>C27+C203+C233</f>
        <v>189584591</v>
      </c>
      <c r="D283" s="448">
        <f>LN_IA11+LN_IF14+LN_IG9</f>
        <v>242069929</v>
      </c>
      <c r="E283" s="448">
        <f t="shared" si="28"/>
        <v>52485338</v>
      </c>
      <c r="F283" s="503">
        <f t="shared" si="29"/>
        <v>0.27684390236124201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739</v>
      </c>
      <c r="C284" s="453">
        <f>IF(C277=0,0,C283/C277)</f>
        <v>0.80394812254077785</v>
      </c>
      <c r="D284" s="453">
        <f>IF(D277=0,0,LN_IIB7/D277)</f>
        <v>0.94700848121123982</v>
      </c>
      <c r="E284" s="454">
        <f t="shared" si="28"/>
        <v>0.14306035867046196</v>
      </c>
      <c r="F284" s="458">
        <f t="shared" si="29"/>
        <v>0.1779472513951989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740</v>
      </c>
      <c r="C285" s="448">
        <f>C28+C204+C234</f>
        <v>33786163</v>
      </c>
      <c r="D285" s="448">
        <f>LN_IA12+LN_IF15+LN_IG10</f>
        <v>38050732</v>
      </c>
      <c r="E285" s="448">
        <f t="shared" si="28"/>
        <v>4264569</v>
      </c>
      <c r="F285" s="503">
        <f t="shared" si="29"/>
        <v>0.12622235321601924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741</v>
      </c>
      <c r="C286" s="453">
        <f>IF(C283=0,0,C285/C283)</f>
        <v>0.17821154568411102</v>
      </c>
      <c r="D286" s="453">
        <f>IF(LN_IIB7=0,0,LN_IIB9/LN_IIB7)</f>
        <v>0.15718900797463364</v>
      </c>
      <c r="E286" s="454">
        <f t="shared" si="28"/>
        <v>-2.1022537709477374E-2</v>
      </c>
      <c r="F286" s="458">
        <f t="shared" si="29"/>
        <v>-0.1179639491301023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742</v>
      </c>
      <c r="C287" s="441">
        <f>C277+C283</f>
        <v>425401537</v>
      </c>
      <c r="D287" s="441">
        <f>D277+LN_IIB7</f>
        <v>497685305</v>
      </c>
      <c r="E287" s="441">
        <f t="shared" si="28"/>
        <v>72283768</v>
      </c>
      <c r="F287" s="503">
        <f t="shared" si="29"/>
        <v>0.16991891592530847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743</v>
      </c>
      <c r="C288" s="441">
        <f>C278+C285</f>
        <v>84230130</v>
      </c>
      <c r="D288" s="441">
        <f>LN_IIB2+LN_IIB9</f>
        <v>100717737</v>
      </c>
      <c r="E288" s="441">
        <f t="shared" si="28"/>
        <v>16487607</v>
      </c>
      <c r="F288" s="503">
        <f t="shared" si="29"/>
        <v>0.19574476496712043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744</v>
      </c>
      <c r="C289" s="453">
        <f>IF(C287=0,0,C288/C287)</f>
        <v>0.19800147078453081</v>
      </c>
      <c r="D289" s="453">
        <f>IF(LN_IIB11=0,0,LN_IIB12/LN_IIB11)</f>
        <v>0.20237233446143241</v>
      </c>
      <c r="E289" s="454">
        <f t="shared" si="28"/>
        <v>4.3708636769015929E-3</v>
      </c>
      <c r="F289" s="458">
        <f t="shared" si="29"/>
        <v>2.2074905098346743E-2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27626</v>
      </c>
      <c r="D290" s="508">
        <f>LN_IA8+LN_IF11+LN_IG6</f>
        <v>28472</v>
      </c>
      <c r="E290" s="528">
        <f t="shared" si="28"/>
        <v>846</v>
      </c>
      <c r="F290" s="458">
        <f t="shared" si="29"/>
        <v>3.062332585245783E-2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745</v>
      </c>
      <c r="C291" s="448">
        <f>C287-C288</f>
        <v>341171407</v>
      </c>
      <c r="D291" s="516">
        <f>LN_IIB11-LN_IIB12</f>
        <v>396967568</v>
      </c>
      <c r="E291" s="441">
        <f t="shared" si="28"/>
        <v>55796161</v>
      </c>
      <c r="F291" s="503">
        <f t="shared" si="29"/>
        <v>0.16354289912694822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647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638</v>
      </c>
      <c r="C294" s="466">
        <f>IF(C18=0,0,C22/C18)</f>
        <v>4.8747993579454256</v>
      </c>
      <c r="D294" s="466">
        <f>IF(LN_IA4=0,0,LN_IA8/LN_IA4)</f>
        <v>5.2600245499181666</v>
      </c>
      <c r="E294" s="466">
        <f t="shared" ref="E294:E300" si="30">D294-C294</f>
        <v>0.38522519197274097</v>
      </c>
      <c r="F294" s="503">
        <f t="shared" ref="F294:F300" si="31">IF(C294=0,0,E294/C294)</f>
        <v>7.9023804609488837E-2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659</v>
      </c>
      <c r="C295" s="466">
        <f>IF(C45=0,0,C51/C45)</f>
        <v>3.3200765340986744</v>
      </c>
      <c r="D295" s="466">
        <f>IF(LN_IB4=0,0,(LN_IB10)/(LN_IB4))</f>
        <v>3.4090843128718618</v>
      </c>
      <c r="E295" s="466">
        <f t="shared" si="30"/>
        <v>8.9007778773187329E-2</v>
      </c>
      <c r="F295" s="503">
        <f t="shared" si="31"/>
        <v>2.6808953907850479E-2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674</v>
      </c>
      <c r="C296" s="466">
        <f>IF(C86=0,0,C93/C86)</f>
        <v>2.8432432432432431</v>
      </c>
      <c r="D296" s="466">
        <f>IF(LN_IC4=0,0,LN_IC11/LN_IC4)</f>
        <v>3.8941176470588235</v>
      </c>
      <c r="E296" s="466">
        <f t="shared" si="30"/>
        <v>1.0508744038155804</v>
      </c>
      <c r="F296" s="503">
        <f t="shared" si="31"/>
        <v>0.36960411541042276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4.5741176470588236</v>
      </c>
      <c r="D297" s="466">
        <f>IF(LN_ID4=0,0,LN_ID11/LN_ID4)</f>
        <v>3.7324324324324323</v>
      </c>
      <c r="E297" s="466">
        <f t="shared" si="30"/>
        <v>-0.84168521462639134</v>
      </c>
      <c r="F297" s="503">
        <f t="shared" si="31"/>
        <v>-0.18401039928817711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746</v>
      </c>
      <c r="C298" s="466">
        <f>IF(C156=0,0,C163/C156)</f>
        <v>4.6363636363636367</v>
      </c>
      <c r="D298" s="466">
        <f>IF(LN_IE4=0,0,LN_IE11/LN_IE4)</f>
        <v>4.7870036101083029</v>
      </c>
      <c r="E298" s="466">
        <f t="shared" si="30"/>
        <v>0.1506399737446662</v>
      </c>
      <c r="F298" s="503">
        <f t="shared" si="31"/>
        <v>3.2490974729241728E-2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2.25</v>
      </c>
      <c r="D299" s="466">
        <f>IF(LN_IG3=0,0,LN_IG6/LN_IG3)</f>
        <v>4.1538461538461542</v>
      </c>
      <c r="E299" s="466">
        <f t="shared" si="30"/>
        <v>1.9038461538461542</v>
      </c>
      <c r="F299" s="503">
        <f t="shared" si="31"/>
        <v>0.84615384615384626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747</v>
      </c>
      <c r="C300" s="466">
        <f>IF(C264=0,0,C274/C264)</f>
        <v>3.9854916711445458</v>
      </c>
      <c r="D300" s="466">
        <f>IF(LN_IIA4=0,0,LN_IIA14/LN_IIA4)</f>
        <v>4.1775062304043731</v>
      </c>
      <c r="E300" s="466">
        <f t="shared" si="30"/>
        <v>0.19201455925982724</v>
      </c>
      <c r="F300" s="503">
        <f t="shared" si="31"/>
        <v>4.8178386784756437E-2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748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742</v>
      </c>
      <c r="C304" s="441">
        <f>C35+C66+C214+C221+C233</f>
        <v>971611045</v>
      </c>
      <c r="D304" s="441">
        <f>LN_IIA11</f>
        <v>1081142538</v>
      </c>
      <c r="E304" s="441">
        <f t="shared" ref="E304:E316" si="32">D304-C304</f>
        <v>109531493</v>
      </c>
      <c r="F304" s="449">
        <f>IF(C304=0,0,E304/C304)</f>
        <v>0.11273183190296071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745</v>
      </c>
      <c r="C305" s="441">
        <f>C291</f>
        <v>341171407</v>
      </c>
      <c r="D305" s="441">
        <f>LN_IIB14</f>
        <v>396967568</v>
      </c>
      <c r="E305" s="441">
        <f t="shared" si="32"/>
        <v>55796161</v>
      </c>
      <c r="F305" s="449">
        <f>IF(C305=0,0,E305/C305)</f>
        <v>0.16354289912694822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749</v>
      </c>
      <c r="C306" s="441">
        <f>C250</f>
        <v>30102636</v>
      </c>
      <c r="D306" s="441">
        <f>LN_IH6</f>
        <v>29333743</v>
      </c>
      <c r="E306" s="441">
        <f t="shared" si="32"/>
        <v>-768893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750</v>
      </c>
      <c r="C307" s="441">
        <f>C73-C74</f>
        <v>283785136</v>
      </c>
      <c r="D307" s="441">
        <f>LN_IB32-LN_IB33</f>
        <v>318627059</v>
      </c>
      <c r="E307" s="441">
        <f t="shared" si="32"/>
        <v>34841923</v>
      </c>
      <c r="F307" s="449">
        <f t="shared" ref="F307:F316" si="33">IF(C307=0,0,E307/C307)</f>
        <v>0.12277571507480223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751</v>
      </c>
      <c r="C308" s="441">
        <v>10994223</v>
      </c>
      <c r="D308" s="441">
        <v>9370250</v>
      </c>
      <c r="E308" s="441">
        <f t="shared" si="32"/>
        <v>-1623973</v>
      </c>
      <c r="F308" s="449">
        <f t="shared" si="33"/>
        <v>-0.147711484476893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752</v>
      </c>
      <c r="C309" s="441">
        <f>C305+C307+C308+C306</f>
        <v>666053402</v>
      </c>
      <c r="D309" s="441">
        <f>LN_III2+LN_III3+LN_III4+LN_III5</f>
        <v>754298620</v>
      </c>
      <c r="E309" s="441">
        <f t="shared" si="32"/>
        <v>88245218</v>
      </c>
      <c r="F309" s="449">
        <f t="shared" si="33"/>
        <v>0.13248970388113115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753</v>
      </c>
      <c r="C310" s="441">
        <f>C304-C309</f>
        <v>305557643</v>
      </c>
      <c r="D310" s="441">
        <f>LN_III1-LN_III6</f>
        <v>326843918</v>
      </c>
      <c r="E310" s="441">
        <f t="shared" si="32"/>
        <v>21286275</v>
      </c>
      <c r="F310" s="449">
        <f t="shared" si="33"/>
        <v>6.9663696810228368E-2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754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755</v>
      </c>
      <c r="C312" s="441">
        <f>C310+C311</f>
        <v>305557643</v>
      </c>
      <c r="D312" s="441">
        <f>LN_III7+LN_III8</f>
        <v>326843918</v>
      </c>
      <c r="E312" s="441">
        <f t="shared" si="32"/>
        <v>21286275</v>
      </c>
      <c r="F312" s="449">
        <f t="shared" si="33"/>
        <v>6.9663696810228368E-2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756</v>
      </c>
      <c r="C313" s="532">
        <f>IF(C304=0,0,C312/C304)</f>
        <v>0.31448555939377987</v>
      </c>
      <c r="D313" s="532">
        <f>IF(LN_III1=0,0,LN_III9/LN_III1)</f>
        <v>0.30231343834146684</v>
      </c>
      <c r="E313" s="532">
        <f t="shared" si="32"/>
        <v>-1.2172121052313023E-2</v>
      </c>
      <c r="F313" s="449">
        <f t="shared" si="33"/>
        <v>-3.870486478227074E-2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719</v>
      </c>
      <c r="C314" s="441">
        <f>C306*C313</f>
        <v>9466844.3216873351</v>
      </c>
      <c r="D314" s="441">
        <f>D313*LN_III5</f>
        <v>8867984.7057549339</v>
      </c>
      <c r="E314" s="441">
        <f t="shared" si="32"/>
        <v>-598859.61593240127</v>
      </c>
      <c r="F314" s="449">
        <f t="shared" si="33"/>
        <v>-6.3258631449182076E-2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722</v>
      </c>
      <c r="C315" s="441">
        <f>(C214*C313)-C215</f>
        <v>9384709.1091016252</v>
      </c>
      <c r="D315" s="441">
        <f>D313*LN_IH8-LN_IH9</f>
        <v>6042930.6891690977</v>
      </c>
      <c r="E315" s="441">
        <f t="shared" si="32"/>
        <v>-3341778.4199325275</v>
      </c>
      <c r="F315" s="449">
        <f t="shared" si="33"/>
        <v>-0.35608758684822228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757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758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759</v>
      </c>
      <c r="C318" s="441">
        <f>C314+C315+C316</f>
        <v>18851553.43078896</v>
      </c>
      <c r="D318" s="441">
        <f>D314+D315+D316</f>
        <v>14910915.394924032</v>
      </c>
      <c r="E318" s="441">
        <f>D318-C318</f>
        <v>-3940638.0358649287</v>
      </c>
      <c r="F318" s="449">
        <f>IF(C318=0,0,E318/C318)</f>
        <v>-0.20903518908043686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760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3102729.3887908231</v>
      </c>
      <c r="D322" s="441">
        <f>LN_ID22</f>
        <v>1463626.3871056477</v>
      </c>
      <c r="E322" s="441">
        <f>LN_IV2-C322</f>
        <v>-1639103.0016851753</v>
      </c>
      <c r="F322" s="449">
        <f>IF(C322=0,0,E322/C322)</f>
        <v>-0.52827778265379333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746</v>
      </c>
      <c r="C323" s="441">
        <f>C162+C176</f>
        <v>1312137.6905773736</v>
      </c>
      <c r="D323" s="441">
        <f>LN_IE10+LN_IE22</f>
        <v>-690768.44604670838</v>
      </c>
      <c r="E323" s="441">
        <f>LN_IV3-C323</f>
        <v>-2002906.136624082</v>
      </c>
      <c r="F323" s="449">
        <f>IF(C323=0,0,E323/C323)</f>
        <v>-1.5264450910961584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761</v>
      </c>
      <c r="C324" s="441">
        <f>C92+C106</f>
        <v>-2491339.4267067527</v>
      </c>
      <c r="D324" s="441">
        <f>LN_IC10+LN_IC22</f>
        <v>8086255.241444679</v>
      </c>
      <c r="E324" s="441">
        <f>LN_IV1-C324</f>
        <v>10577594.668151431</v>
      </c>
      <c r="F324" s="449">
        <f>IF(C324=0,0,E324/C324)</f>
        <v>-4.2457461053926817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762</v>
      </c>
      <c r="C325" s="516">
        <f>C324+C322+C323</f>
        <v>1923527.6526614439</v>
      </c>
      <c r="D325" s="516">
        <f>LN_IV1+LN_IV2+LN_IV3</f>
        <v>8859113.1825036183</v>
      </c>
      <c r="E325" s="441">
        <f>LN_IV4-C325</f>
        <v>6935585.5298421746</v>
      </c>
      <c r="F325" s="449">
        <f>IF(C325=0,0,E325/C325)</f>
        <v>3.605659383292938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763</v>
      </c>
      <c r="B327" s="530" t="s">
        <v>764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765</v>
      </c>
      <c r="C329" s="518">
        <v>18424137</v>
      </c>
      <c r="D329" s="518">
        <v>19412473</v>
      </c>
      <c r="E329" s="518">
        <f t="shared" ref="E329:E335" si="34">D329-C329</f>
        <v>988336</v>
      </c>
      <c r="F329" s="542">
        <f t="shared" ref="F329:F335" si="35">IF(C329=0,0,E329/C329)</f>
        <v>5.364354379258035E-2</v>
      </c>
    </row>
    <row r="330" spans="1:22" s="420" customFormat="1" ht="15.75" customHeight="1" x14ac:dyDescent="0.2">
      <c r="A330" s="451">
        <v>2</v>
      </c>
      <c r="B330" s="447" t="s">
        <v>766</v>
      </c>
      <c r="C330" s="516">
        <v>-1209447</v>
      </c>
      <c r="D330" s="516">
        <v>-11427717</v>
      </c>
      <c r="E330" s="518">
        <f t="shared" si="34"/>
        <v>-10218270</v>
      </c>
      <c r="F330" s="543">
        <f t="shared" si="35"/>
        <v>8.4487125107590497</v>
      </c>
    </row>
    <row r="331" spans="1:22" s="420" customFormat="1" ht="15.75" customHeight="1" x14ac:dyDescent="0.2">
      <c r="A331" s="427">
        <v>3</v>
      </c>
      <c r="B331" s="447" t="s">
        <v>767</v>
      </c>
      <c r="C331" s="516">
        <v>304346157</v>
      </c>
      <c r="D331" s="516">
        <v>312982083</v>
      </c>
      <c r="E331" s="518">
        <f t="shared" si="34"/>
        <v>8635926</v>
      </c>
      <c r="F331" s="542">
        <f t="shared" si="35"/>
        <v>2.8375341042995328E-2</v>
      </c>
    </row>
    <row r="332" spans="1:22" s="420" customFormat="1" ht="27" customHeight="1" x14ac:dyDescent="0.2">
      <c r="A332" s="451">
        <v>4</v>
      </c>
      <c r="B332" s="447" t="s">
        <v>768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769</v>
      </c>
      <c r="C333" s="516">
        <v>971611045</v>
      </c>
      <c r="D333" s="516">
        <v>1081142538</v>
      </c>
      <c r="E333" s="518">
        <f t="shared" si="34"/>
        <v>109531493</v>
      </c>
      <c r="F333" s="542">
        <f t="shared" si="35"/>
        <v>0.11273183190296071</v>
      </c>
    </row>
    <row r="334" spans="1:22" s="420" customFormat="1" ht="15.75" customHeight="1" x14ac:dyDescent="0.2">
      <c r="A334" s="427">
        <v>6</v>
      </c>
      <c r="B334" s="447" t="s">
        <v>770</v>
      </c>
      <c r="C334" s="516">
        <v>5815730</v>
      </c>
      <c r="D334" s="516">
        <v>1232722</v>
      </c>
      <c r="E334" s="516">
        <f t="shared" si="34"/>
        <v>-4583008</v>
      </c>
      <c r="F334" s="543">
        <f t="shared" si="35"/>
        <v>-0.78803658354153305</v>
      </c>
    </row>
    <row r="335" spans="1:22" s="420" customFormat="1" ht="15.75" customHeight="1" x14ac:dyDescent="0.2">
      <c r="A335" s="451">
        <v>7</v>
      </c>
      <c r="B335" s="447" t="s">
        <v>771</v>
      </c>
      <c r="C335" s="516">
        <v>35918318</v>
      </c>
      <c r="D335" s="516">
        <v>30566465</v>
      </c>
      <c r="E335" s="516">
        <f t="shared" si="34"/>
        <v>-5351853</v>
      </c>
      <c r="F335" s="542">
        <f t="shared" si="35"/>
        <v>-0.14900065754749428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E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632</v>
      </c>
      <c r="B3" s="820"/>
      <c r="C3" s="820"/>
      <c r="D3" s="820"/>
      <c r="E3" s="820"/>
    </row>
    <row r="4" spans="1:5" s="428" customFormat="1" ht="15.75" customHeight="1" x14ac:dyDescent="0.25">
      <c r="A4" s="820" t="s">
        <v>772</v>
      </c>
      <c r="B4" s="820"/>
      <c r="C4" s="820"/>
      <c r="D4" s="820"/>
      <c r="E4" s="820"/>
    </row>
    <row r="5" spans="1:5" s="428" customFormat="1" ht="15.75" customHeight="1" x14ac:dyDescent="0.25">
      <c r="A5" s="820" t="s">
        <v>773</v>
      </c>
      <c r="B5" s="820"/>
      <c r="C5" s="820"/>
      <c r="D5" s="820"/>
      <c r="E5" s="820"/>
    </row>
    <row r="6" spans="1:5" s="428" customFormat="1" ht="15.75" customHeight="1" x14ac:dyDescent="0.25">
      <c r="A6" s="820" t="s">
        <v>774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775</v>
      </c>
      <c r="D9" s="573" t="s">
        <v>776</v>
      </c>
      <c r="E9" s="573" t="s">
        <v>777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778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779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659</v>
      </c>
      <c r="C14" s="589">
        <v>186681940</v>
      </c>
      <c r="D14" s="589">
        <v>179005504</v>
      </c>
      <c r="E14" s="590">
        <f t="shared" ref="E14:E22" si="0">D14-C14</f>
        <v>-7676436</v>
      </c>
    </row>
    <row r="15" spans="1:5" s="421" customFormat="1" x14ac:dyDescent="0.2">
      <c r="A15" s="588">
        <v>2</v>
      </c>
      <c r="B15" s="587" t="s">
        <v>638</v>
      </c>
      <c r="C15" s="589">
        <v>213196920</v>
      </c>
      <c r="D15" s="591">
        <v>231780728</v>
      </c>
      <c r="E15" s="590">
        <f t="shared" si="0"/>
        <v>18583808</v>
      </c>
    </row>
    <row r="16" spans="1:5" s="421" customFormat="1" x14ac:dyDescent="0.2">
      <c r="A16" s="588">
        <v>3</v>
      </c>
      <c r="B16" s="587" t="s">
        <v>780</v>
      </c>
      <c r="C16" s="589">
        <v>22526847</v>
      </c>
      <c r="D16" s="591">
        <v>23504223</v>
      </c>
      <c r="E16" s="590">
        <f t="shared" si="0"/>
        <v>977376</v>
      </c>
    </row>
    <row r="17" spans="1:5" s="421" customFormat="1" x14ac:dyDescent="0.2">
      <c r="A17" s="588">
        <v>4</v>
      </c>
      <c r="B17" s="587" t="s">
        <v>115</v>
      </c>
      <c r="C17" s="589">
        <v>11753834</v>
      </c>
      <c r="D17" s="591">
        <v>11003309</v>
      </c>
      <c r="E17" s="590">
        <f t="shared" si="0"/>
        <v>-750525</v>
      </c>
    </row>
    <row r="18" spans="1:5" s="421" customFormat="1" x14ac:dyDescent="0.2">
      <c r="A18" s="588">
        <v>5</v>
      </c>
      <c r="B18" s="587" t="s">
        <v>746</v>
      </c>
      <c r="C18" s="589">
        <v>10773013</v>
      </c>
      <c r="D18" s="591">
        <v>12500914</v>
      </c>
      <c r="E18" s="590">
        <f t="shared" si="0"/>
        <v>1727901</v>
      </c>
    </row>
    <row r="19" spans="1:5" s="421" customFormat="1" x14ac:dyDescent="0.2">
      <c r="A19" s="588">
        <v>6</v>
      </c>
      <c r="B19" s="587" t="s">
        <v>424</v>
      </c>
      <c r="C19" s="589">
        <v>93179</v>
      </c>
      <c r="D19" s="591">
        <v>330425</v>
      </c>
      <c r="E19" s="590">
        <f t="shared" si="0"/>
        <v>237246</v>
      </c>
    </row>
    <row r="20" spans="1:5" s="421" customFormat="1" x14ac:dyDescent="0.2">
      <c r="A20" s="588">
        <v>7</v>
      </c>
      <c r="B20" s="587" t="s">
        <v>761</v>
      </c>
      <c r="C20" s="589">
        <v>11328527</v>
      </c>
      <c r="D20" s="591">
        <v>6676345</v>
      </c>
      <c r="E20" s="590">
        <f t="shared" si="0"/>
        <v>-4652182</v>
      </c>
    </row>
    <row r="21" spans="1:5" s="421" customFormat="1" x14ac:dyDescent="0.2">
      <c r="A21" s="588"/>
      <c r="B21" s="592" t="s">
        <v>781</v>
      </c>
      <c r="C21" s="593">
        <f>SUM(C15+C16+C19)</f>
        <v>235816946</v>
      </c>
      <c r="D21" s="593">
        <f>SUM(D15+D16+D19)</f>
        <v>255615376</v>
      </c>
      <c r="E21" s="593">
        <f t="shared" si="0"/>
        <v>19798430</v>
      </c>
    </row>
    <row r="22" spans="1:5" s="421" customFormat="1" x14ac:dyDescent="0.2">
      <c r="A22" s="588"/>
      <c r="B22" s="592" t="s">
        <v>465</v>
      </c>
      <c r="C22" s="593">
        <f>SUM(C14+C21)</f>
        <v>422498886</v>
      </c>
      <c r="D22" s="593">
        <f>SUM(D14+D21)</f>
        <v>434620880</v>
      </c>
      <c r="E22" s="593">
        <f t="shared" si="0"/>
        <v>12121994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782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659</v>
      </c>
      <c r="C25" s="589">
        <v>359527568</v>
      </c>
      <c r="D25" s="589">
        <v>404451729</v>
      </c>
      <c r="E25" s="590">
        <f t="shared" ref="E25:E33" si="1">D25-C25</f>
        <v>44924161</v>
      </c>
    </row>
    <row r="26" spans="1:5" s="421" customFormat="1" x14ac:dyDescent="0.2">
      <c r="A26" s="588">
        <v>2</v>
      </c>
      <c r="B26" s="587" t="s">
        <v>638</v>
      </c>
      <c r="C26" s="589">
        <v>159146991</v>
      </c>
      <c r="D26" s="591">
        <v>205659507</v>
      </c>
      <c r="E26" s="590">
        <f t="shared" si="1"/>
        <v>46512516</v>
      </c>
    </row>
    <row r="27" spans="1:5" s="421" customFormat="1" x14ac:dyDescent="0.2">
      <c r="A27" s="588">
        <v>3</v>
      </c>
      <c r="B27" s="587" t="s">
        <v>780</v>
      </c>
      <c r="C27" s="589">
        <v>29981364</v>
      </c>
      <c r="D27" s="591">
        <v>35971574</v>
      </c>
      <c r="E27" s="590">
        <f t="shared" si="1"/>
        <v>5990210</v>
      </c>
    </row>
    <row r="28" spans="1:5" s="421" customFormat="1" x14ac:dyDescent="0.2">
      <c r="A28" s="588">
        <v>4</v>
      </c>
      <c r="B28" s="587" t="s">
        <v>115</v>
      </c>
      <c r="C28" s="589">
        <v>19850838</v>
      </c>
      <c r="D28" s="591">
        <v>23648312</v>
      </c>
      <c r="E28" s="590">
        <f t="shared" si="1"/>
        <v>3797474</v>
      </c>
    </row>
    <row r="29" spans="1:5" s="421" customFormat="1" x14ac:dyDescent="0.2">
      <c r="A29" s="588">
        <v>5</v>
      </c>
      <c r="B29" s="587" t="s">
        <v>746</v>
      </c>
      <c r="C29" s="589">
        <v>10130526</v>
      </c>
      <c r="D29" s="591">
        <v>12323262</v>
      </c>
      <c r="E29" s="590">
        <f t="shared" si="1"/>
        <v>2192736</v>
      </c>
    </row>
    <row r="30" spans="1:5" s="421" customFormat="1" x14ac:dyDescent="0.2">
      <c r="A30" s="588">
        <v>6</v>
      </c>
      <c r="B30" s="587" t="s">
        <v>424</v>
      </c>
      <c r="C30" s="589">
        <v>456236</v>
      </c>
      <c r="D30" s="591">
        <v>438848</v>
      </c>
      <c r="E30" s="590">
        <f t="shared" si="1"/>
        <v>-17388</v>
      </c>
    </row>
    <row r="31" spans="1:5" s="421" customFormat="1" x14ac:dyDescent="0.2">
      <c r="A31" s="588">
        <v>7</v>
      </c>
      <c r="B31" s="587" t="s">
        <v>761</v>
      </c>
      <c r="C31" s="590">
        <v>32051536</v>
      </c>
      <c r="D31" s="594">
        <v>27139820</v>
      </c>
      <c r="E31" s="590">
        <f t="shared" si="1"/>
        <v>-4911716</v>
      </c>
    </row>
    <row r="32" spans="1:5" s="421" customFormat="1" x14ac:dyDescent="0.2">
      <c r="A32" s="588"/>
      <c r="B32" s="592" t="s">
        <v>783</v>
      </c>
      <c r="C32" s="593">
        <f>SUM(C26+C27+C30)</f>
        <v>189584591</v>
      </c>
      <c r="D32" s="593">
        <f>SUM(D26+D27+D30)</f>
        <v>242069929</v>
      </c>
      <c r="E32" s="593">
        <f t="shared" si="1"/>
        <v>52485338</v>
      </c>
    </row>
    <row r="33" spans="1:5" s="421" customFormat="1" x14ac:dyDescent="0.2">
      <c r="A33" s="588"/>
      <c r="B33" s="592" t="s">
        <v>467</v>
      </c>
      <c r="C33" s="593">
        <f>SUM(C25+C32)</f>
        <v>549112159</v>
      </c>
      <c r="D33" s="593">
        <f>SUM(D25+D32)</f>
        <v>646521658</v>
      </c>
      <c r="E33" s="593">
        <f t="shared" si="1"/>
        <v>97409499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656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784</v>
      </c>
      <c r="C36" s="590">
        <f t="shared" ref="C36:D42" si="2">C14+C25</f>
        <v>546209508</v>
      </c>
      <c r="D36" s="590">
        <f t="shared" si="2"/>
        <v>583457233</v>
      </c>
      <c r="E36" s="590">
        <f t="shared" ref="E36:E44" si="3">D36-C36</f>
        <v>37247725</v>
      </c>
    </row>
    <row r="37" spans="1:5" s="421" customFormat="1" x14ac:dyDescent="0.2">
      <c r="A37" s="588">
        <v>2</v>
      </c>
      <c r="B37" s="587" t="s">
        <v>785</v>
      </c>
      <c r="C37" s="590">
        <f t="shared" si="2"/>
        <v>372343911</v>
      </c>
      <c r="D37" s="590">
        <f t="shared" si="2"/>
        <v>437440235</v>
      </c>
      <c r="E37" s="590">
        <f t="shared" si="3"/>
        <v>65096324</v>
      </c>
    </row>
    <row r="38" spans="1:5" s="421" customFormat="1" x14ac:dyDescent="0.2">
      <c r="A38" s="588">
        <v>3</v>
      </c>
      <c r="B38" s="587" t="s">
        <v>786</v>
      </c>
      <c r="C38" s="590">
        <f t="shared" si="2"/>
        <v>52508211</v>
      </c>
      <c r="D38" s="590">
        <f t="shared" si="2"/>
        <v>59475797</v>
      </c>
      <c r="E38" s="590">
        <f t="shared" si="3"/>
        <v>6967586</v>
      </c>
    </row>
    <row r="39" spans="1:5" s="421" customFormat="1" x14ac:dyDescent="0.2">
      <c r="A39" s="588">
        <v>4</v>
      </c>
      <c r="B39" s="587" t="s">
        <v>787</v>
      </c>
      <c r="C39" s="590">
        <f t="shared" si="2"/>
        <v>31604672</v>
      </c>
      <c r="D39" s="590">
        <f t="shared" si="2"/>
        <v>34651621</v>
      </c>
      <c r="E39" s="590">
        <f t="shared" si="3"/>
        <v>3046949</v>
      </c>
    </row>
    <row r="40" spans="1:5" s="421" customFormat="1" x14ac:dyDescent="0.2">
      <c r="A40" s="588">
        <v>5</v>
      </c>
      <c r="B40" s="587" t="s">
        <v>788</v>
      </c>
      <c r="C40" s="590">
        <f t="shared" si="2"/>
        <v>20903539</v>
      </c>
      <c r="D40" s="590">
        <f t="shared" si="2"/>
        <v>24824176</v>
      </c>
      <c r="E40" s="590">
        <f t="shared" si="3"/>
        <v>3920637</v>
      </c>
    </row>
    <row r="41" spans="1:5" s="421" customFormat="1" x14ac:dyDescent="0.2">
      <c r="A41" s="588">
        <v>6</v>
      </c>
      <c r="B41" s="587" t="s">
        <v>789</v>
      </c>
      <c r="C41" s="590">
        <f t="shared" si="2"/>
        <v>549415</v>
      </c>
      <c r="D41" s="590">
        <f t="shared" si="2"/>
        <v>769273</v>
      </c>
      <c r="E41" s="590">
        <f t="shared" si="3"/>
        <v>219858</v>
      </c>
    </row>
    <row r="42" spans="1:5" s="421" customFormat="1" x14ac:dyDescent="0.2">
      <c r="A42" s="588">
        <v>7</v>
      </c>
      <c r="B42" s="587" t="s">
        <v>790</v>
      </c>
      <c r="C42" s="590">
        <f t="shared" si="2"/>
        <v>43380063</v>
      </c>
      <c r="D42" s="590">
        <f t="shared" si="2"/>
        <v>33816165</v>
      </c>
      <c r="E42" s="590">
        <f t="shared" si="3"/>
        <v>-9563898</v>
      </c>
    </row>
    <row r="43" spans="1:5" s="421" customFormat="1" x14ac:dyDescent="0.2">
      <c r="A43" s="588"/>
      <c r="B43" s="592" t="s">
        <v>791</v>
      </c>
      <c r="C43" s="593">
        <f>SUM(C37+C38+C41)</f>
        <v>425401537</v>
      </c>
      <c r="D43" s="593">
        <f>SUM(D37+D38+D41)</f>
        <v>497685305</v>
      </c>
      <c r="E43" s="593">
        <f t="shared" si="3"/>
        <v>72283768</v>
      </c>
    </row>
    <row r="44" spans="1:5" s="421" customFormat="1" x14ac:dyDescent="0.2">
      <c r="A44" s="588"/>
      <c r="B44" s="592" t="s">
        <v>728</v>
      </c>
      <c r="C44" s="593">
        <f>SUM(C36+C43)</f>
        <v>971611045</v>
      </c>
      <c r="D44" s="593">
        <f>SUM(D36+D43)</f>
        <v>1081142538</v>
      </c>
      <c r="E44" s="593">
        <f t="shared" si="3"/>
        <v>109531493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792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659</v>
      </c>
      <c r="C47" s="589">
        <v>76812231</v>
      </c>
      <c r="D47" s="589">
        <v>80652028</v>
      </c>
      <c r="E47" s="590">
        <f t="shared" ref="E47:E55" si="4">D47-C47</f>
        <v>3839797</v>
      </c>
    </row>
    <row r="48" spans="1:5" s="421" customFormat="1" x14ac:dyDescent="0.2">
      <c r="A48" s="588">
        <v>2</v>
      </c>
      <c r="B48" s="587" t="s">
        <v>638</v>
      </c>
      <c r="C48" s="589">
        <v>46677998</v>
      </c>
      <c r="D48" s="591">
        <v>57444961</v>
      </c>
      <c r="E48" s="590">
        <f t="shared" si="4"/>
        <v>10766963</v>
      </c>
    </row>
    <row r="49" spans="1:5" s="421" customFormat="1" x14ac:dyDescent="0.2">
      <c r="A49" s="588">
        <v>3</v>
      </c>
      <c r="B49" s="587" t="s">
        <v>780</v>
      </c>
      <c r="C49" s="589">
        <v>3705701</v>
      </c>
      <c r="D49" s="591">
        <v>5109870</v>
      </c>
      <c r="E49" s="590">
        <f t="shared" si="4"/>
        <v>1404169</v>
      </c>
    </row>
    <row r="50" spans="1:5" s="421" customFormat="1" x14ac:dyDescent="0.2">
      <c r="A50" s="588">
        <v>4</v>
      </c>
      <c r="B50" s="587" t="s">
        <v>115</v>
      </c>
      <c r="C50" s="589">
        <v>1184120</v>
      </c>
      <c r="D50" s="591">
        <v>2509474</v>
      </c>
      <c r="E50" s="590">
        <f t="shared" si="4"/>
        <v>1325354</v>
      </c>
    </row>
    <row r="51" spans="1:5" s="421" customFormat="1" x14ac:dyDescent="0.2">
      <c r="A51" s="588">
        <v>5</v>
      </c>
      <c r="B51" s="587" t="s">
        <v>746</v>
      </c>
      <c r="C51" s="589">
        <v>2521581</v>
      </c>
      <c r="D51" s="591">
        <v>2600396</v>
      </c>
      <c r="E51" s="590">
        <f t="shared" si="4"/>
        <v>78815</v>
      </c>
    </row>
    <row r="52" spans="1:5" s="421" customFormat="1" x14ac:dyDescent="0.2">
      <c r="A52" s="588">
        <v>6</v>
      </c>
      <c r="B52" s="587" t="s">
        <v>424</v>
      </c>
      <c r="C52" s="589">
        <v>60268</v>
      </c>
      <c r="D52" s="591">
        <v>112174</v>
      </c>
      <c r="E52" s="590">
        <f t="shared" si="4"/>
        <v>51906</v>
      </c>
    </row>
    <row r="53" spans="1:5" s="421" customFormat="1" x14ac:dyDescent="0.2">
      <c r="A53" s="588">
        <v>7</v>
      </c>
      <c r="B53" s="587" t="s">
        <v>761</v>
      </c>
      <c r="C53" s="589">
        <v>3467346</v>
      </c>
      <c r="D53" s="591">
        <v>3888925</v>
      </c>
      <c r="E53" s="590">
        <f t="shared" si="4"/>
        <v>421579</v>
      </c>
    </row>
    <row r="54" spans="1:5" s="421" customFormat="1" x14ac:dyDescent="0.2">
      <c r="A54" s="588"/>
      <c r="B54" s="592" t="s">
        <v>793</v>
      </c>
      <c r="C54" s="593">
        <f>SUM(C48+C49+C52)</f>
        <v>50443967</v>
      </c>
      <c r="D54" s="593">
        <f>SUM(D48+D49+D52)</f>
        <v>62667005</v>
      </c>
      <c r="E54" s="593">
        <f t="shared" si="4"/>
        <v>12223038</v>
      </c>
    </row>
    <row r="55" spans="1:5" s="421" customFormat="1" x14ac:dyDescent="0.2">
      <c r="A55" s="588"/>
      <c r="B55" s="592" t="s">
        <v>466</v>
      </c>
      <c r="C55" s="593">
        <f>SUM(C47+C54)</f>
        <v>127256198</v>
      </c>
      <c r="D55" s="593">
        <f>SUM(D47+D54)</f>
        <v>143319033</v>
      </c>
      <c r="E55" s="593">
        <f t="shared" si="4"/>
        <v>16062835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794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659</v>
      </c>
      <c r="C58" s="589">
        <v>144513283</v>
      </c>
      <c r="D58" s="589">
        <v>143040037</v>
      </c>
      <c r="E58" s="590">
        <f t="shared" ref="E58:E66" si="5">D58-C58</f>
        <v>-1473246</v>
      </c>
    </row>
    <row r="59" spans="1:5" s="421" customFormat="1" x14ac:dyDescent="0.2">
      <c r="A59" s="588">
        <v>2</v>
      </c>
      <c r="B59" s="587" t="s">
        <v>638</v>
      </c>
      <c r="C59" s="589">
        <v>30084155</v>
      </c>
      <c r="D59" s="591">
        <v>30961647</v>
      </c>
      <c r="E59" s="590">
        <f t="shared" si="5"/>
        <v>877492</v>
      </c>
    </row>
    <row r="60" spans="1:5" s="421" customFormat="1" x14ac:dyDescent="0.2">
      <c r="A60" s="588">
        <v>3</v>
      </c>
      <c r="B60" s="587" t="s">
        <v>780</v>
      </c>
      <c r="C60" s="589">
        <f>C61+C62</f>
        <v>3422664</v>
      </c>
      <c r="D60" s="591">
        <f>D61+D62</f>
        <v>6827532</v>
      </c>
      <c r="E60" s="590">
        <f t="shared" si="5"/>
        <v>3404868</v>
      </c>
    </row>
    <row r="61" spans="1:5" s="421" customFormat="1" x14ac:dyDescent="0.2">
      <c r="A61" s="588">
        <v>4</v>
      </c>
      <c r="B61" s="587" t="s">
        <v>115</v>
      </c>
      <c r="C61" s="589">
        <v>2701312</v>
      </c>
      <c r="D61" s="591">
        <v>4213126</v>
      </c>
      <c r="E61" s="590">
        <f t="shared" si="5"/>
        <v>1511814</v>
      </c>
    </row>
    <row r="62" spans="1:5" s="421" customFormat="1" x14ac:dyDescent="0.2">
      <c r="A62" s="588">
        <v>5</v>
      </c>
      <c r="B62" s="587" t="s">
        <v>746</v>
      </c>
      <c r="C62" s="589">
        <v>721352</v>
      </c>
      <c r="D62" s="591">
        <v>2614406</v>
      </c>
      <c r="E62" s="590">
        <f t="shared" si="5"/>
        <v>1893054</v>
      </c>
    </row>
    <row r="63" spans="1:5" s="421" customFormat="1" x14ac:dyDescent="0.2">
      <c r="A63" s="588">
        <v>6</v>
      </c>
      <c r="B63" s="587" t="s">
        <v>424</v>
      </c>
      <c r="C63" s="589">
        <v>279344</v>
      </c>
      <c r="D63" s="591">
        <v>261553</v>
      </c>
      <c r="E63" s="590">
        <f t="shared" si="5"/>
        <v>-17791</v>
      </c>
    </row>
    <row r="64" spans="1:5" s="421" customFormat="1" x14ac:dyDescent="0.2">
      <c r="A64" s="588">
        <v>7</v>
      </c>
      <c r="B64" s="587" t="s">
        <v>761</v>
      </c>
      <c r="C64" s="589">
        <v>9810082</v>
      </c>
      <c r="D64" s="591">
        <v>593497</v>
      </c>
      <c r="E64" s="590">
        <f t="shared" si="5"/>
        <v>-9216585</v>
      </c>
    </row>
    <row r="65" spans="1:5" s="421" customFormat="1" x14ac:dyDescent="0.2">
      <c r="A65" s="588"/>
      <c r="B65" s="592" t="s">
        <v>795</v>
      </c>
      <c r="C65" s="593">
        <f>SUM(C59+C60+C63)</f>
        <v>33786163</v>
      </c>
      <c r="D65" s="593">
        <f>SUM(D59+D60+D63)</f>
        <v>38050732</v>
      </c>
      <c r="E65" s="593">
        <f t="shared" si="5"/>
        <v>4264569</v>
      </c>
    </row>
    <row r="66" spans="1:5" s="421" customFormat="1" x14ac:dyDescent="0.2">
      <c r="A66" s="588"/>
      <c r="B66" s="592" t="s">
        <v>468</v>
      </c>
      <c r="C66" s="593">
        <f>SUM(C58+C65)</f>
        <v>178299446</v>
      </c>
      <c r="D66" s="593">
        <f>SUM(D58+D65)</f>
        <v>181090769</v>
      </c>
      <c r="E66" s="593">
        <f t="shared" si="5"/>
        <v>2791323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657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784</v>
      </c>
      <c r="C69" s="590">
        <f t="shared" ref="C69:D75" si="6">C47+C58</f>
        <v>221325514</v>
      </c>
      <c r="D69" s="590">
        <f t="shared" si="6"/>
        <v>223692065</v>
      </c>
      <c r="E69" s="590">
        <f t="shared" ref="E69:E77" si="7">D69-C69</f>
        <v>2366551</v>
      </c>
    </row>
    <row r="70" spans="1:5" s="421" customFormat="1" x14ac:dyDescent="0.2">
      <c r="A70" s="588">
        <v>2</v>
      </c>
      <c r="B70" s="587" t="s">
        <v>785</v>
      </c>
      <c r="C70" s="590">
        <f t="shared" si="6"/>
        <v>76762153</v>
      </c>
      <c r="D70" s="590">
        <f t="shared" si="6"/>
        <v>88406608</v>
      </c>
      <c r="E70" s="590">
        <f t="shared" si="7"/>
        <v>11644455</v>
      </c>
    </row>
    <row r="71" spans="1:5" s="421" customFormat="1" x14ac:dyDescent="0.2">
      <c r="A71" s="588">
        <v>3</v>
      </c>
      <c r="B71" s="587" t="s">
        <v>786</v>
      </c>
      <c r="C71" s="590">
        <f t="shared" si="6"/>
        <v>7128365</v>
      </c>
      <c r="D71" s="590">
        <f t="shared" si="6"/>
        <v>11937402</v>
      </c>
      <c r="E71" s="590">
        <f t="shared" si="7"/>
        <v>4809037</v>
      </c>
    </row>
    <row r="72" spans="1:5" s="421" customFormat="1" x14ac:dyDescent="0.2">
      <c r="A72" s="588">
        <v>4</v>
      </c>
      <c r="B72" s="587" t="s">
        <v>787</v>
      </c>
      <c r="C72" s="590">
        <f t="shared" si="6"/>
        <v>3885432</v>
      </c>
      <c r="D72" s="590">
        <f t="shared" si="6"/>
        <v>6722600</v>
      </c>
      <c r="E72" s="590">
        <f t="shared" si="7"/>
        <v>2837168</v>
      </c>
    </row>
    <row r="73" spans="1:5" s="421" customFormat="1" x14ac:dyDescent="0.2">
      <c r="A73" s="588">
        <v>5</v>
      </c>
      <c r="B73" s="587" t="s">
        <v>788</v>
      </c>
      <c r="C73" s="590">
        <f t="shared" si="6"/>
        <v>3242933</v>
      </c>
      <c r="D73" s="590">
        <f t="shared" si="6"/>
        <v>5214802</v>
      </c>
      <c r="E73" s="590">
        <f t="shared" si="7"/>
        <v>1971869</v>
      </c>
    </row>
    <row r="74" spans="1:5" s="421" customFormat="1" x14ac:dyDescent="0.2">
      <c r="A74" s="588">
        <v>6</v>
      </c>
      <c r="B74" s="587" t="s">
        <v>789</v>
      </c>
      <c r="C74" s="590">
        <f t="shared" si="6"/>
        <v>339612</v>
      </c>
      <c r="D74" s="590">
        <f t="shared" si="6"/>
        <v>373727</v>
      </c>
      <c r="E74" s="590">
        <f t="shared" si="7"/>
        <v>34115</v>
      </c>
    </row>
    <row r="75" spans="1:5" s="421" customFormat="1" x14ac:dyDescent="0.2">
      <c r="A75" s="588">
        <v>7</v>
      </c>
      <c r="B75" s="587" t="s">
        <v>790</v>
      </c>
      <c r="C75" s="590">
        <f t="shared" si="6"/>
        <v>13277428</v>
      </c>
      <c r="D75" s="590">
        <f t="shared" si="6"/>
        <v>4482422</v>
      </c>
      <c r="E75" s="590">
        <f t="shared" si="7"/>
        <v>-8795006</v>
      </c>
    </row>
    <row r="76" spans="1:5" s="421" customFormat="1" x14ac:dyDescent="0.2">
      <c r="A76" s="588"/>
      <c r="B76" s="592" t="s">
        <v>796</v>
      </c>
      <c r="C76" s="593">
        <f>SUM(C70+C71+C74)</f>
        <v>84230130</v>
      </c>
      <c r="D76" s="593">
        <f>SUM(D70+D71+D74)</f>
        <v>100717737</v>
      </c>
      <c r="E76" s="593">
        <f t="shared" si="7"/>
        <v>16487607</v>
      </c>
    </row>
    <row r="77" spans="1:5" s="421" customFormat="1" x14ac:dyDescent="0.2">
      <c r="A77" s="588"/>
      <c r="B77" s="592" t="s">
        <v>729</v>
      </c>
      <c r="C77" s="593">
        <f>SUM(C69+C76)</f>
        <v>305555644</v>
      </c>
      <c r="D77" s="593">
        <f>SUM(D69+D76)</f>
        <v>324409802</v>
      </c>
      <c r="E77" s="593">
        <f t="shared" si="7"/>
        <v>18854158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797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798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659</v>
      </c>
      <c r="C83" s="599">
        <f t="shared" ref="C83:D89" si="8">IF(C$44=0,0,C14/C$44)</f>
        <v>0.19213649429026405</v>
      </c>
      <c r="D83" s="599">
        <f t="shared" si="8"/>
        <v>0.16557067889599586</v>
      </c>
      <c r="E83" s="599">
        <f t="shared" ref="E83:E91" si="9">D83-C83</f>
        <v>-2.6565815394268194E-2</v>
      </c>
    </row>
    <row r="84" spans="1:5" s="421" customFormat="1" x14ac:dyDescent="0.2">
      <c r="A84" s="588">
        <v>2</v>
      </c>
      <c r="B84" s="587" t="s">
        <v>638</v>
      </c>
      <c r="C84" s="599">
        <f t="shared" si="8"/>
        <v>0.21942620053274509</v>
      </c>
      <c r="D84" s="599">
        <f t="shared" si="8"/>
        <v>0.21438498611734394</v>
      </c>
      <c r="E84" s="599">
        <f t="shared" si="9"/>
        <v>-5.0412144154011462E-3</v>
      </c>
    </row>
    <row r="85" spans="1:5" s="421" customFormat="1" x14ac:dyDescent="0.2">
      <c r="A85" s="588">
        <v>3</v>
      </c>
      <c r="B85" s="587" t="s">
        <v>780</v>
      </c>
      <c r="C85" s="599">
        <f t="shared" si="8"/>
        <v>2.3185046234216081E-2</v>
      </c>
      <c r="D85" s="599">
        <f t="shared" si="8"/>
        <v>2.1740170397402309E-2</v>
      </c>
      <c r="E85" s="599">
        <f t="shared" si="9"/>
        <v>-1.4448758368137728E-3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1.2097262644847765E-2</v>
      </c>
      <c r="D86" s="599">
        <f t="shared" si="8"/>
        <v>1.0177482259050656E-2</v>
      </c>
      <c r="E86" s="599">
        <f t="shared" si="9"/>
        <v>-1.9197803857971089E-3</v>
      </c>
    </row>
    <row r="87" spans="1:5" s="421" customFormat="1" x14ac:dyDescent="0.2">
      <c r="A87" s="588">
        <v>5</v>
      </c>
      <c r="B87" s="587" t="s">
        <v>746</v>
      </c>
      <c r="C87" s="599">
        <f t="shared" si="8"/>
        <v>1.1087783589368315E-2</v>
      </c>
      <c r="D87" s="599">
        <f t="shared" si="8"/>
        <v>1.1562688138351651E-2</v>
      </c>
      <c r="E87" s="599">
        <f t="shared" si="9"/>
        <v>4.7490454898333617E-4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9.5901544635075648E-5</v>
      </c>
      <c r="D88" s="599">
        <f t="shared" si="8"/>
        <v>3.0562575089428215E-4</v>
      </c>
      <c r="E88" s="599">
        <f t="shared" si="9"/>
        <v>2.0972420625920649E-4</v>
      </c>
    </row>
    <row r="89" spans="1:5" s="421" customFormat="1" x14ac:dyDescent="0.2">
      <c r="A89" s="588">
        <v>7</v>
      </c>
      <c r="B89" s="587" t="s">
        <v>761</v>
      </c>
      <c r="C89" s="599">
        <f t="shared" si="8"/>
        <v>1.1659528839547104E-2</v>
      </c>
      <c r="D89" s="599">
        <f t="shared" si="8"/>
        <v>6.175268075521787E-3</v>
      </c>
      <c r="E89" s="599">
        <f t="shared" si="9"/>
        <v>-5.4842607640253173E-3</v>
      </c>
    </row>
    <row r="90" spans="1:5" s="421" customFormat="1" x14ac:dyDescent="0.2">
      <c r="A90" s="588"/>
      <c r="B90" s="592" t="s">
        <v>799</v>
      </c>
      <c r="C90" s="600">
        <f>SUM(C84+C85+C88)</f>
        <v>0.24270714831159623</v>
      </c>
      <c r="D90" s="600">
        <f>SUM(D84+D85+D88)</f>
        <v>0.23643078226564054</v>
      </c>
      <c r="E90" s="601">
        <f t="shared" si="9"/>
        <v>-6.2763660459556891E-3</v>
      </c>
    </row>
    <row r="91" spans="1:5" s="421" customFormat="1" x14ac:dyDescent="0.2">
      <c r="A91" s="588"/>
      <c r="B91" s="592" t="s">
        <v>800</v>
      </c>
      <c r="C91" s="600">
        <f>SUM(C83+C90)</f>
        <v>0.43484364260186026</v>
      </c>
      <c r="D91" s="600">
        <f>SUM(D83+D90)</f>
        <v>0.40200146116163638</v>
      </c>
      <c r="E91" s="601">
        <f t="shared" si="9"/>
        <v>-3.2842181440223883E-2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801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659</v>
      </c>
      <c r="C95" s="599">
        <f t="shared" ref="C95:D101" si="10">IF(C$44=0,0,C25/C$44)</f>
        <v>0.37003240118580577</v>
      </c>
      <c r="D95" s="599">
        <f t="shared" si="10"/>
        <v>0.37409658281339403</v>
      </c>
      <c r="E95" s="599">
        <f t="shared" ref="E95:E103" si="11">D95-C95</f>
        <v>4.0641816275882592E-3</v>
      </c>
    </row>
    <row r="96" spans="1:5" s="421" customFormat="1" x14ac:dyDescent="0.2">
      <c r="A96" s="588">
        <v>2</v>
      </c>
      <c r="B96" s="587" t="s">
        <v>638</v>
      </c>
      <c r="C96" s="599">
        <f t="shared" si="10"/>
        <v>0.16379701714897651</v>
      </c>
      <c r="D96" s="599">
        <f t="shared" si="10"/>
        <v>0.19022423017454151</v>
      </c>
      <c r="E96" s="599">
        <f t="shared" si="11"/>
        <v>2.6427213025565E-2</v>
      </c>
    </row>
    <row r="97" spans="1:5" s="421" customFormat="1" x14ac:dyDescent="0.2">
      <c r="A97" s="588">
        <v>3</v>
      </c>
      <c r="B97" s="587" t="s">
        <v>780</v>
      </c>
      <c r="C97" s="599">
        <f t="shared" si="10"/>
        <v>3.0857372561053996E-2</v>
      </c>
      <c r="D97" s="599">
        <f t="shared" si="10"/>
        <v>3.3271814525532989E-2</v>
      </c>
      <c r="E97" s="599">
        <f t="shared" si="11"/>
        <v>2.414441964478993E-3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2.0430848436886594E-2</v>
      </c>
      <c r="D98" s="599">
        <f t="shared" si="10"/>
        <v>2.1873445146046045E-2</v>
      </c>
      <c r="E98" s="599">
        <f t="shared" si="11"/>
        <v>1.4425967091594508E-3</v>
      </c>
    </row>
    <row r="99" spans="1:5" s="421" customFormat="1" x14ac:dyDescent="0.2">
      <c r="A99" s="588">
        <v>5</v>
      </c>
      <c r="B99" s="587" t="s">
        <v>746</v>
      </c>
      <c r="C99" s="599">
        <f t="shared" si="10"/>
        <v>1.0426524124167403E-2</v>
      </c>
      <c r="D99" s="599">
        <f t="shared" si="10"/>
        <v>1.1398369379486944E-2</v>
      </c>
      <c r="E99" s="599">
        <f t="shared" si="11"/>
        <v>9.7184525531954051E-4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4.6956650230339857E-4</v>
      </c>
      <c r="D100" s="599">
        <f t="shared" si="10"/>
        <v>4.0591132489507131E-4</v>
      </c>
      <c r="E100" s="599">
        <f t="shared" si="11"/>
        <v>-6.3655177408327259E-5</v>
      </c>
    </row>
    <row r="101" spans="1:5" s="421" customFormat="1" x14ac:dyDescent="0.2">
      <c r="A101" s="588">
        <v>7</v>
      </c>
      <c r="B101" s="587" t="s">
        <v>761</v>
      </c>
      <c r="C101" s="599">
        <f t="shared" si="10"/>
        <v>3.2988031748856866E-2</v>
      </c>
      <c r="D101" s="599">
        <f t="shared" si="10"/>
        <v>2.510290645875965E-2</v>
      </c>
      <c r="E101" s="599">
        <f t="shared" si="11"/>
        <v>-7.8851252900972169E-3</v>
      </c>
    </row>
    <row r="102" spans="1:5" s="421" customFormat="1" x14ac:dyDescent="0.2">
      <c r="A102" s="588"/>
      <c r="B102" s="592" t="s">
        <v>802</v>
      </c>
      <c r="C102" s="600">
        <f>SUM(C96+C97+C100)</f>
        <v>0.19512395621233392</v>
      </c>
      <c r="D102" s="600">
        <f>SUM(D96+D97+D100)</f>
        <v>0.22390195602496957</v>
      </c>
      <c r="E102" s="601">
        <f t="shared" si="11"/>
        <v>2.8777999812635652E-2</v>
      </c>
    </row>
    <row r="103" spans="1:5" s="421" customFormat="1" x14ac:dyDescent="0.2">
      <c r="A103" s="588"/>
      <c r="B103" s="592" t="s">
        <v>803</v>
      </c>
      <c r="C103" s="600">
        <f>SUM(C95+C102)</f>
        <v>0.56515635739813974</v>
      </c>
      <c r="D103" s="600">
        <f>SUM(D95+D102)</f>
        <v>0.59799853883836362</v>
      </c>
      <c r="E103" s="601">
        <f t="shared" si="11"/>
        <v>3.2842181440223883E-2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804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805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659</v>
      </c>
      <c r="C109" s="599">
        <f t="shared" ref="C109:D115" si="12">IF(C$77=0,0,C47/C$77)</f>
        <v>0.25138541050807756</v>
      </c>
      <c r="D109" s="599">
        <f t="shared" si="12"/>
        <v>0.24861156322274133</v>
      </c>
      <c r="E109" s="599">
        <f t="shared" ref="E109:E117" si="13">D109-C109</f>
        <v>-2.7738472853362228E-3</v>
      </c>
    </row>
    <row r="110" spans="1:5" s="421" customFormat="1" x14ac:dyDescent="0.2">
      <c r="A110" s="588">
        <v>2</v>
      </c>
      <c r="B110" s="587" t="s">
        <v>638</v>
      </c>
      <c r="C110" s="599">
        <f t="shared" si="12"/>
        <v>0.15276431287258435</v>
      </c>
      <c r="D110" s="599">
        <f t="shared" si="12"/>
        <v>0.17707529379768863</v>
      </c>
      <c r="E110" s="599">
        <f t="shared" si="13"/>
        <v>2.4310980925104281E-2</v>
      </c>
    </row>
    <row r="111" spans="1:5" s="421" customFormat="1" x14ac:dyDescent="0.2">
      <c r="A111" s="588">
        <v>3</v>
      </c>
      <c r="B111" s="587" t="s">
        <v>780</v>
      </c>
      <c r="C111" s="599">
        <f t="shared" si="12"/>
        <v>1.2127745216841748E-2</v>
      </c>
      <c r="D111" s="599">
        <f t="shared" si="12"/>
        <v>1.5751281152719301E-2</v>
      </c>
      <c r="E111" s="599">
        <f t="shared" si="13"/>
        <v>3.6235359358775532E-3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3.8753006964584165E-3</v>
      </c>
      <c r="D112" s="599">
        <f t="shared" si="12"/>
        <v>7.7355060930002356E-3</v>
      </c>
      <c r="E112" s="599">
        <f t="shared" si="13"/>
        <v>3.8602053965418191E-3</v>
      </c>
    </row>
    <row r="113" spans="1:5" s="421" customFormat="1" x14ac:dyDescent="0.2">
      <c r="A113" s="588">
        <v>5</v>
      </c>
      <c r="B113" s="587" t="s">
        <v>746</v>
      </c>
      <c r="C113" s="599">
        <f t="shared" si="12"/>
        <v>8.2524445203833313E-3</v>
      </c>
      <c r="D113" s="599">
        <f t="shared" si="12"/>
        <v>8.0157750597190641E-3</v>
      </c>
      <c r="E113" s="599">
        <f t="shared" si="13"/>
        <v>-2.3666946066426726E-4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1.9724067018051875E-4</v>
      </c>
      <c r="D114" s="599">
        <f t="shared" si="12"/>
        <v>3.4577870122432365E-4</v>
      </c>
      <c r="E114" s="599">
        <f t="shared" si="13"/>
        <v>1.485380310438049E-4</v>
      </c>
    </row>
    <row r="115" spans="1:5" s="421" customFormat="1" x14ac:dyDescent="0.2">
      <c r="A115" s="588">
        <v>7</v>
      </c>
      <c r="B115" s="587" t="s">
        <v>761</v>
      </c>
      <c r="C115" s="599">
        <f t="shared" si="12"/>
        <v>1.1347674533545845E-2</v>
      </c>
      <c r="D115" s="599">
        <f t="shared" si="12"/>
        <v>1.1987692653010527E-2</v>
      </c>
      <c r="E115" s="599">
        <f t="shared" si="13"/>
        <v>6.4001811946468208E-4</v>
      </c>
    </row>
    <row r="116" spans="1:5" s="421" customFormat="1" x14ac:dyDescent="0.2">
      <c r="A116" s="588"/>
      <c r="B116" s="592" t="s">
        <v>799</v>
      </c>
      <c r="C116" s="600">
        <f>SUM(C110+C111+C114)</f>
        <v>0.1650892987596066</v>
      </c>
      <c r="D116" s="600">
        <f>SUM(D110+D111+D114)</f>
        <v>0.19317235365163227</v>
      </c>
      <c r="E116" s="601">
        <f t="shared" si="13"/>
        <v>2.8083054892025672E-2</v>
      </c>
    </row>
    <row r="117" spans="1:5" s="421" customFormat="1" x14ac:dyDescent="0.2">
      <c r="A117" s="588"/>
      <c r="B117" s="592" t="s">
        <v>800</v>
      </c>
      <c r="C117" s="600">
        <f>SUM(C109+C116)</f>
        <v>0.41647470926768415</v>
      </c>
      <c r="D117" s="600">
        <f>SUM(D109+D116)</f>
        <v>0.44178391687437357</v>
      </c>
      <c r="E117" s="601">
        <f t="shared" si="13"/>
        <v>2.5309207606689421E-2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806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659</v>
      </c>
      <c r="C121" s="599">
        <f t="shared" ref="C121:D127" si="14">IF(C$77=0,0,C58/C$77)</f>
        <v>0.47295242564722517</v>
      </c>
      <c r="D121" s="599">
        <f t="shared" si="14"/>
        <v>0.44092390586891084</v>
      </c>
      <c r="E121" s="599">
        <f t="shared" ref="E121:E129" si="15">D121-C121</f>
        <v>-3.2028519778314335E-2</v>
      </c>
    </row>
    <row r="122" spans="1:5" s="421" customFormat="1" x14ac:dyDescent="0.2">
      <c r="A122" s="588">
        <v>2</v>
      </c>
      <c r="B122" s="587" t="s">
        <v>638</v>
      </c>
      <c r="C122" s="599">
        <f t="shared" si="14"/>
        <v>9.8457206046568727E-2</v>
      </c>
      <c r="D122" s="599">
        <f t="shared" si="14"/>
        <v>9.5439924469359894E-2</v>
      </c>
      <c r="E122" s="599">
        <f t="shared" si="15"/>
        <v>-3.0172815772088329E-3</v>
      </c>
    </row>
    <row r="123" spans="1:5" s="421" customFormat="1" x14ac:dyDescent="0.2">
      <c r="A123" s="588">
        <v>3</v>
      </c>
      <c r="B123" s="587" t="s">
        <v>780</v>
      </c>
      <c r="C123" s="599">
        <f t="shared" si="14"/>
        <v>1.120144257587335E-2</v>
      </c>
      <c r="D123" s="599">
        <f t="shared" si="14"/>
        <v>2.1046010194229581E-2</v>
      </c>
      <c r="E123" s="599">
        <f t="shared" si="15"/>
        <v>9.8445676183562311E-3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8.8406548955777108E-3</v>
      </c>
      <c r="D124" s="599">
        <f t="shared" si="14"/>
        <v>1.2987049016478238E-2</v>
      </c>
      <c r="E124" s="599">
        <f t="shared" si="15"/>
        <v>4.1463941209005269E-3</v>
      </c>
    </row>
    <row r="125" spans="1:5" s="421" customFormat="1" x14ac:dyDescent="0.2">
      <c r="A125" s="588">
        <v>5</v>
      </c>
      <c r="B125" s="587" t="s">
        <v>746</v>
      </c>
      <c r="C125" s="599">
        <f t="shared" si="14"/>
        <v>2.3607876802956389E-3</v>
      </c>
      <c r="D125" s="599">
        <f t="shared" si="14"/>
        <v>8.0589611777513431E-3</v>
      </c>
      <c r="E125" s="599">
        <f t="shared" si="15"/>
        <v>5.6981734974557042E-3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9.142164626486166E-4</v>
      </c>
      <c r="D126" s="599">
        <f t="shared" si="14"/>
        <v>8.0624259312608566E-4</v>
      </c>
      <c r="E126" s="599">
        <f t="shared" si="15"/>
        <v>-1.0797386952253094E-4</v>
      </c>
    </row>
    <row r="127" spans="1:5" s="421" customFormat="1" x14ac:dyDescent="0.2">
      <c r="A127" s="588">
        <v>7</v>
      </c>
      <c r="B127" s="587" t="s">
        <v>761</v>
      </c>
      <c r="C127" s="599">
        <f t="shared" si="14"/>
        <v>3.210571361594617E-2</v>
      </c>
      <c r="D127" s="599">
        <f t="shared" si="14"/>
        <v>1.8294669160458968E-3</v>
      </c>
      <c r="E127" s="599">
        <f t="shared" si="15"/>
        <v>-3.0276246699900273E-2</v>
      </c>
    </row>
    <row r="128" spans="1:5" s="421" customFormat="1" x14ac:dyDescent="0.2">
      <c r="A128" s="588"/>
      <c r="B128" s="592" t="s">
        <v>802</v>
      </c>
      <c r="C128" s="600">
        <f>SUM(C122+C123+C126)</f>
        <v>0.1105728650850907</v>
      </c>
      <c r="D128" s="600">
        <f>SUM(D122+D123+D126)</f>
        <v>0.11729217725671556</v>
      </c>
      <c r="E128" s="601">
        <f t="shared" si="15"/>
        <v>6.7193121716248583E-3</v>
      </c>
    </row>
    <row r="129" spans="1:5" s="421" customFormat="1" x14ac:dyDescent="0.2">
      <c r="A129" s="588"/>
      <c r="B129" s="592" t="s">
        <v>803</v>
      </c>
      <c r="C129" s="600">
        <f>SUM(C121+C128)</f>
        <v>0.58352529073231585</v>
      </c>
      <c r="D129" s="600">
        <f>SUM(D121+D128)</f>
        <v>0.55821608312562643</v>
      </c>
      <c r="E129" s="601">
        <f t="shared" si="15"/>
        <v>-2.5309207606689421E-2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807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808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809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659</v>
      </c>
      <c r="C137" s="606">
        <v>7317</v>
      </c>
      <c r="D137" s="606">
        <v>6891</v>
      </c>
      <c r="E137" s="607">
        <f t="shared" ref="E137:E145" si="16">D137-C137</f>
        <v>-426</v>
      </c>
    </row>
    <row r="138" spans="1:5" s="421" customFormat="1" x14ac:dyDescent="0.2">
      <c r="A138" s="588">
        <v>2</v>
      </c>
      <c r="B138" s="587" t="s">
        <v>638</v>
      </c>
      <c r="C138" s="606">
        <v>4984</v>
      </c>
      <c r="D138" s="606">
        <v>4888</v>
      </c>
      <c r="E138" s="607">
        <f t="shared" si="16"/>
        <v>-96</v>
      </c>
    </row>
    <row r="139" spans="1:5" s="421" customFormat="1" x14ac:dyDescent="0.2">
      <c r="A139" s="588">
        <v>3</v>
      </c>
      <c r="B139" s="587" t="s">
        <v>780</v>
      </c>
      <c r="C139" s="606">
        <f>C140+C141</f>
        <v>722</v>
      </c>
      <c r="D139" s="606">
        <f>D140+D141</f>
        <v>647</v>
      </c>
      <c r="E139" s="607">
        <f t="shared" si="16"/>
        <v>-75</v>
      </c>
    </row>
    <row r="140" spans="1:5" s="421" customFormat="1" x14ac:dyDescent="0.2">
      <c r="A140" s="588">
        <v>4</v>
      </c>
      <c r="B140" s="587" t="s">
        <v>115</v>
      </c>
      <c r="C140" s="606">
        <v>425</v>
      </c>
      <c r="D140" s="606">
        <v>370</v>
      </c>
      <c r="E140" s="607">
        <f t="shared" si="16"/>
        <v>-55</v>
      </c>
    </row>
    <row r="141" spans="1:5" s="421" customFormat="1" x14ac:dyDescent="0.2">
      <c r="A141" s="588">
        <v>5</v>
      </c>
      <c r="B141" s="587" t="s">
        <v>746</v>
      </c>
      <c r="C141" s="606">
        <v>297</v>
      </c>
      <c r="D141" s="606">
        <v>277</v>
      </c>
      <c r="E141" s="607">
        <f t="shared" si="16"/>
        <v>-20</v>
      </c>
    </row>
    <row r="142" spans="1:5" s="421" customFormat="1" x14ac:dyDescent="0.2">
      <c r="A142" s="588">
        <v>6</v>
      </c>
      <c r="B142" s="587" t="s">
        <v>424</v>
      </c>
      <c r="C142" s="606">
        <v>4</v>
      </c>
      <c r="D142" s="606">
        <v>13</v>
      </c>
      <c r="E142" s="607">
        <f t="shared" si="16"/>
        <v>9</v>
      </c>
    </row>
    <row r="143" spans="1:5" s="421" customFormat="1" x14ac:dyDescent="0.2">
      <c r="A143" s="588">
        <v>7</v>
      </c>
      <c r="B143" s="587" t="s">
        <v>761</v>
      </c>
      <c r="C143" s="606">
        <v>370</v>
      </c>
      <c r="D143" s="606">
        <v>340</v>
      </c>
      <c r="E143" s="607">
        <f t="shared" si="16"/>
        <v>-30</v>
      </c>
    </row>
    <row r="144" spans="1:5" s="421" customFormat="1" x14ac:dyDescent="0.2">
      <c r="A144" s="588"/>
      <c r="B144" s="592" t="s">
        <v>810</v>
      </c>
      <c r="C144" s="608">
        <f>SUM(C138+C139+C142)</f>
        <v>5710</v>
      </c>
      <c r="D144" s="608">
        <f>SUM(D138+D139+D142)</f>
        <v>5548</v>
      </c>
      <c r="E144" s="609">
        <f t="shared" si="16"/>
        <v>-162</v>
      </c>
    </row>
    <row r="145" spans="1:5" s="421" customFormat="1" x14ac:dyDescent="0.2">
      <c r="A145" s="588"/>
      <c r="B145" s="592" t="s">
        <v>138</v>
      </c>
      <c r="C145" s="608">
        <f>SUM(C137+C144)</f>
        <v>13027</v>
      </c>
      <c r="D145" s="608">
        <f>SUM(D137+D144)</f>
        <v>12439</v>
      </c>
      <c r="E145" s="609">
        <f t="shared" si="16"/>
        <v>-588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659</v>
      </c>
      <c r="C149" s="610">
        <v>24293</v>
      </c>
      <c r="D149" s="610">
        <v>23492</v>
      </c>
      <c r="E149" s="607">
        <f t="shared" ref="E149:E157" si="17">D149-C149</f>
        <v>-801</v>
      </c>
    </row>
    <row r="150" spans="1:5" s="421" customFormat="1" x14ac:dyDescent="0.2">
      <c r="A150" s="588">
        <v>2</v>
      </c>
      <c r="B150" s="587" t="s">
        <v>638</v>
      </c>
      <c r="C150" s="610">
        <v>24296</v>
      </c>
      <c r="D150" s="610">
        <v>25711</v>
      </c>
      <c r="E150" s="607">
        <f t="shared" si="17"/>
        <v>1415</v>
      </c>
    </row>
    <row r="151" spans="1:5" s="421" customFormat="1" x14ac:dyDescent="0.2">
      <c r="A151" s="588">
        <v>3</v>
      </c>
      <c r="B151" s="587" t="s">
        <v>780</v>
      </c>
      <c r="C151" s="610">
        <f>C152+C153</f>
        <v>3321</v>
      </c>
      <c r="D151" s="610">
        <f>D152+D153</f>
        <v>2707</v>
      </c>
      <c r="E151" s="607">
        <f t="shared" si="17"/>
        <v>-614</v>
      </c>
    </row>
    <row r="152" spans="1:5" s="421" customFormat="1" x14ac:dyDescent="0.2">
      <c r="A152" s="588">
        <v>4</v>
      </c>
      <c r="B152" s="587" t="s">
        <v>115</v>
      </c>
      <c r="C152" s="610">
        <v>1944</v>
      </c>
      <c r="D152" s="610">
        <v>1381</v>
      </c>
      <c r="E152" s="607">
        <f t="shared" si="17"/>
        <v>-563</v>
      </c>
    </row>
    <row r="153" spans="1:5" s="421" customFormat="1" x14ac:dyDescent="0.2">
      <c r="A153" s="588">
        <v>5</v>
      </c>
      <c r="B153" s="587" t="s">
        <v>746</v>
      </c>
      <c r="C153" s="611">
        <v>1377</v>
      </c>
      <c r="D153" s="610">
        <v>1326</v>
      </c>
      <c r="E153" s="607">
        <f t="shared" si="17"/>
        <v>-51</v>
      </c>
    </row>
    <row r="154" spans="1:5" s="421" customFormat="1" x14ac:dyDescent="0.2">
      <c r="A154" s="588">
        <v>6</v>
      </c>
      <c r="B154" s="587" t="s">
        <v>424</v>
      </c>
      <c r="C154" s="610">
        <v>9</v>
      </c>
      <c r="D154" s="610">
        <v>54</v>
      </c>
      <c r="E154" s="607">
        <f t="shared" si="17"/>
        <v>45</v>
      </c>
    </row>
    <row r="155" spans="1:5" s="421" customFormat="1" x14ac:dyDescent="0.2">
      <c r="A155" s="588">
        <v>7</v>
      </c>
      <c r="B155" s="587" t="s">
        <v>761</v>
      </c>
      <c r="C155" s="610">
        <v>1052</v>
      </c>
      <c r="D155" s="610">
        <v>1324</v>
      </c>
      <c r="E155" s="607">
        <f t="shared" si="17"/>
        <v>272</v>
      </c>
    </row>
    <row r="156" spans="1:5" s="421" customFormat="1" x14ac:dyDescent="0.2">
      <c r="A156" s="588"/>
      <c r="B156" s="592" t="s">
        <v>811</v>
      </c>
      <c r="C156" s="608">
        <f>SUM(C150+C151+C154)</f>
        <v>27626</v>
      </c>
      <c r="D156" s="608">
        <f>SUM(D150+D151+D154)</f>
        <v>28472</v>
      </c>
      <c r="E156" s="609">
        <f t="shared" si="17"/>
        <v>846</v>
      </c>
    </row>
    <row r="157" spans="1:5" s="421" customFormat="1" x14ac:dyDescent="0.2">
      <c r="A157" s="588"/>
      <c r="B157" s="592" t="s">
        <v>140</v>
      </c>
      <c r="C157" s="608">
        <f>SUM(C149+C156)</f>
        <v>51919</v>
      </c>
      <c r="D157" s="608">
        <f>SUM(D149+D156)</f>
        <v>51964</v>
      </c>
      <c r="E157" s="609">
        <f t="shared" si="17"/>
        <v>45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812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659</v>
      </c>
      <c r="C161" s="612">
        <f t="shared" ref="C161:D169" si="18">IF(C137=0,0,C149/C137)</f>
        <v>3.3200765340986744</v>
      </c>
      <c r="D161" s="612">
        <f t="shared" si="18"/>
        <v>3.4090843128718618</v>
      </c>
      <c r="E161" s="613">
        <f t="shared" ref="E161:E169" si="19">D161-C161</f>
        <v>8.9007778773187329E-2</v>
      </c>
    </row>
    <row r="162" spans="1:5" s="421" customFormat="1" x14ac:dyDescent="0.2">
      <c r="A162" s="588">
        <v>2</v>
      </c>
      <c r="B162" s="587" t="s">
        <v>638</v>
      </c>
      <c r="C162" s="612">
        <f t="shared" si="18"/>
        <v>4.8747993579454256</v>
      </c>
      <c r="D162" s="612">
        <f t="shared" si="18"/>
        <v>5.2600245499181666</v>
      </c>
      <c r="E162" s="613">
        <f t="shared" si="19"/>
        <v>0.38522519197274097</v>
      </c>
    </row>
    <row r="163" spans="1:5" s="421" customFormat="1" x14ac:dyDescent="0.2">
      <c r="A163" s="588">
        <v>3</v>
      </c>
      <c r="B163" s="587" t="s">
        <v>780</v>
      </c>
      <c r="C163" s="612">
        <f t="shared" si="18"/>
        <v>4.5997229916897506</v>
      </c>
      <c r="D163" s="612">
        <f t="shared" si="18"/>
        <v>4.1839258114374038</v>
      </c>
      <c r="E163" s="613">
        <f t="shared" si="19"/>
        <v>-0.4157971802523468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4.5741176470588236</v>
      </c>
      <c r="D164" s="612">
        <f t="shared" si="18"/>
        <v>3.7324324324324323</v>
      </c>
      <c r="E164" s="613">
        <f t="shared" si="19"/>
        <v>-0.84168521462639134</v>
      </c>
    </row>
    <row r="165" spans="1:5" s="421" customFormat="1" x14ac:dyDescent="0.2">
      <c r="A165" s="588">
        <v>5</v>
      </c>
      <c r="B165" s="587" t="s">
        <v>746</v>
      </c>
      <c r="C165" s="612">
        <f t="shared" si="18"/>
        <v>4.6363636363636367</v>
      </c>
      <c r="D165" s="612">
        <f t="shared" si="18"/>
        <v>4.7870036101083029</v>
      </c>
      <c r="E165" s="613">
        <f t="shared" si="19"/>
        <v>0.1506399737446662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2.25</v>
      </c>
      <c r="D166" s="612">
        <f t="shared" si="18"/>
        <v>4.1538461538461542</v>
      </c>
      <c r="E166" s="613">
        <f t="shared" si="19"/>
        <v>1.9038461538461542</v>
      </c>
    </row>
    <row r="167" spans="1:5" s="421" customFormat="1" x14ac:dyDescent="0.2">
      <c r="A167" s="588">
        <v>7</v>
      </c>
      <c r="B167" s="587" t="s">
        <v>761</v>
      </c>
      <c r="C167" s="612">
        <f t="shared" si="18"/>
        <v>2.8432432432432431</v>
      </c>
      <c r="D167" s="612">
        <f t="shared" si="18"/>
        <v>3.8941176470588235</v>
      </c>
      <c r="E167" s="613">
        <f t="shared" si="19"/>
        <v>1.0508744038155804</v>
      </c>
    </row>
    <row r="168" spans="1:5" s="421" customFormat="1" x14ac:dyDescent="0.2">
      <c r="A168" s="588"/>
      <c r="B168" s="592" t="s">
        <v>813</v>
      </c>
      <c r="C168" s="614">
        <f t="shared" si="18"/>
        <v>4.838178633975482</v>
      </c>
      <c r="D168" s="614">
        <f t="shared" si="18"/>
        <v>5.1319394376351841</v>
      </c>
      <c r="E168" s="615">
        <f t="shared" si="19"/>
        <v>0.29376080365970214</v>
      </c>
    </row>
    <row r="169" spans="1:5" s="421" customFormat="1" x14ac:dyDescent="0.2">
      <c r="A169" s="588"/>
      <c r="B169" s="592" t="s">
        <v>747</v>
      </c>
      <c r="C169" s="614">
        <f t="shared" si="18"/>
        <v>3.9854916711445458</v>
      </c>
      <c r="D169" s="614">
        <f t="shared" si="18"/>
        <v>4.1775062304043731</v>
      </c>
      <c r="E169" s="615">
        <f t="shared" si="19"/>
        <v>0.19201455925982724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814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659</v>
      </c>
      <c r="C173" s="617">
        <f t="shared" ref="C173:D181" si="20">IF(C137=0,0,C203/C137)</f>
        <v>0.8478</v>
      </c>
      <c r="D173" s="617">
        <f t="shared" si="20"/>
        <v>0.87033999999999989</v>
      </c>
      <c r="E173" s="618">
        <f t="shared" ref="E173:E181" si="21">D173-C173</f>
        <v>2.2539999999999893E-2</v>
      </c>
    </row>
    <row r="174" spans="1:5" s="421" customFormat="1" x14ac:dyDescent="0.2">
      <c r="A174" s="588">
        <v>2</v>
      </c>
      <c r="B174" s="587" t="s">
        <v>638</v>
      </c>
      <c r="C174" s="617">
        <f t="shared" si="20"/>
        <v>1.347</v>
      </c>
      <c r="D174" s="617">
        <f t="shared" si="20"/>
        <v>1.4593700000000001</v>
      </c>
      <c r="E174" s="618">
        <f t="shared" si="21"/>
        <v>0.11237000000000008</v>
      </c>
    </row>
    <row r="175" spans="1:5" s="421" customFormat="1" x14ac:dyDescent="0.2">
      <c r="A175" s="588">
        <v>3</v>
      </c>
      <c r="B175" s="587" t="s">
        <v>780</v>
      </c>
      <c r="C175" s="617">
        <f t="shared" si="20"/>
        <v>1.0041252077562326</v>
      </c>
      <c r="D175" s="617">
        <f t="shared" si="20"/>
        <v>1.0239293817619786</v>
      </c>
      <c r="E175" s="618">
        <f t="shared" si="21"/>
        <v>1.9804174005745967E-2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0.92859999999999998</v>
      </c>
      <c r="D176" s="617">
        <f t="shared" si="20"/>
        <v>0.92637999999999998</v>
      </c>
      <c r="E176" s="618">
        <f t="shared" si="21"/>
        <v>-2.2199999999999998E-3</v>
      </c>
    </row>
    <row r="177" spans="1:5" s="421" customFormat="1" x14ac:dyDescent="0.2">
      <c r="A177" s="588">
        <v>5</v>
      </c>
      <c r="B177" s="587" t="s">
        <v>746</v>
      </c>
      <c r="C177" s="617">
        <f t="shared" si="20"/>
        <v>1.1122000000000001</v>
      </c>
      <c r="D177" s="617">
        <f t="shared" si="20"/>
        <v>1.1542300000000001</v>
      </c>
      <c r="E177" s="618">
        <f t="shared" si="21"/>
        <v>4.2030000000000012E-2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1.1954</v>
      </c>
      <c r="D178" s="617">
        <f t="shared" si="20"/>
        <v>0.69643999999999984</v>
      </c>
      <c r="E178" s="618">
        <f t="shared" si="21"/>
        <v>-0.49896000000000018</v>
      </c>
    </row>
    <row r="179" spans="1:5" s="421" customFormat="1" x14ac:dyDescent="0.2">
      <c r="A179" s="588">
        <v>7</v>
      </c>
      <c r="B179" s="587" t="s">
        <v>761</v>
      </c>
      <c r="C179" s="617">
        <f t="shared" si="20"/>
        <v>0.90229999999999999</v>
      </c>
      <c r="D179" s="617">
        <f t="shared" si="20"/>
        <v>0.98687000000000002</v>
      </c>
      <c r="E179" s="618">
        <f t="shared" si="21"/>
        <v>8.4570000000000034E-2</v>
      </c>
    </row>
    <row r="180" spans="1:5" s="421" customFormat="1" x14ac:dyDescent="0.2">
      <c r="A180" s="588"/>
      <c r="B180" s="592" t="s">
        <v>815</v>
      </c>
      <c r="C180" s="619">
        <f t="shared" si="20"/>
        <v>1.3035390542907181</v>
      </c>
      <c r="D180" s="619">
        <f t="shared" si="20"/>
        <v>1.4068018366979091</v>
      </c>
      <c r="E180" s="620">
        <f t="shared" si="21"/>
        <v>0.103262782407191</v>
      </c>
    </row>
    <row r="181" spans="1:5" s="421" customFormat="1" x14ac:dyDescent="0.2">
      <c r="A181" s="588"/>
      <c r="B181" s="592" t="s">
        <v>726</v>
      </c>
      <c r="C181" s="619">
        <f t="shared" si="20"/>
        <v>1.0475597297919705</v>
      </c>
      <c r="D181" s="619">
        <f t="shared" si="20"/>
        <v>1.1096108634134576</v>
      </c>
      <c r="E181" s="620">
        <f t="shared" si="21"/>
        <v>6.2051133621487065E-2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816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817</v>
      </c>
      <c r="C185" s="589">
        <v>484405308</v>
      </c>
      <c r="D185" s="589">
        <v>527794479</v>
      </c>
      <c r="E185" s="590">
        <f>D185-C185</f>
        <v>43389171</v>
      </c>
    </row>
    <row r="186" spans="1:5" s="421" customFormat="1" ht="25.5" x14ac:dyDescent="0.2">
      <c r="A186" s="588">
        <v>2</v>
      </c>
      <c r="B186" s="587" t="s">
        <v>818</v>
      </c>
      <c r="C186" s="589">
        <v>200620172</v>
      </c>
      <c r="D186" s="589">
        <v>209167420</v>
      </c>
      <c r="E186" s="590">
        <f>D186-C186</f>
        <v>8547248</v>
      </c>
    </row>
    <row r="187" spans="1:5" s="421" customFormat="1" x14ac:dyDescent="0.2">
      <c r="A187" s="588"/>
      <c r="B187" s="587" t="s">
        <v>671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750</v>
      </c>
      <c r="C188" s="622">
        <f>+C185-C186</f>
        <v>283785136</v>
      </c>
      <c r="D188" s="622">
        <f>+D185-D186</f>
        <v>318627059</v>
      </c>
      <c r="E188" s="590">
        <f t="shared" ref="E188:E197" si="22">D188-C188</f>
        <v>34841923</v>
      </c>
    </row>
    <row r="189" spans="1:5" s="421" customFormat="1" x14ac:dyDescent="0.2">
      <c r="A189" s="588">
        <v>4</v>
      </c>
      <c r="B189" s="587" t="s">
        <v>673</v>
      </c>
      <c r="C189" s="623">
        <f>IF(C185=0,0,+C188/C185)</f>
        <v>0.58584233350308379</v>
      </c>
      <c r="D189" s="623">
        <f>IF(D185=0,0,+D188/D185)</f>
        <v>0.60369532398992753</v>
      </c>
      <c r="E189" s="599">
        <f t="shared" si="22"/>
        <v>1.7852990486843745E-2</v>
      </c>
    </row>
    <row r="190" spans="1:5" s="421" customFormat="1" x14ac:dyDescent="0.2">
      <c r="A190" s="588">
        <v>5</v>
      </c>
      <c r="B190" s="587" t="s">
        <v>765</v>
      </c>
      <c r="C190" s="589">
        <v>18424137</v>
      </c>
      <c r="D190" s="589">
        <v>19412473</v>
      </c>
      <c r="E190" s="622">
        <f t="shared" si="22"/>
        <v>988336</v>
      </c>
    </row>
    <row r="191" spans="1:5" s="421" customFormat="1" x14ac:dyDescent="0.2">
      <c r="A191" s="588">
        <v>6</v>
      </c>
      <c r="B191" s="587" t="s">
        <v>751</v>
      </c>
      <c r="C191" s="589">
        <v>10994223</v>
      </c>
      <c r="D191" s="589">
        <v>9370250</v>
      </c>
      <c r="E191" s="622">
        <f t="shared" si="22"/>
        <v>-1623973</v>
      </c>
    </row>
    <row r="192" spans="1:5" ht="29.25" x14ac:dyDescent="0.2">
      <c r="A192" s="588">
        <v>7</v>
      </c>
      <c r="B192" s="624" t="s">
        <v>819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820</v>
      </c>
      <c r="C193" s="589">
        <v>16060311</v>
      </c>
      <c r="D193" s="589">
        <v>14617978</v>
      </c>
      <c r="E193" s="622">
        <f t="shared" si="22"/>
        <v>-1442333</v>
      </c>
    </row>
    <row r="194" spans="1:5" s="421" customFormat="1" x14ac:dyDescent="0.2">
      <c r="A194" s="588">
        <v>9</v>
      </c>
      <c r="B194" s="587" t="s">
        <v>821</v>
      </c>
      <c r="C194" s="589">
        <v>14042325</v>
      </c>
      <c r="D194" s="589">
        <v>14715765</v>
      </c>
      <c r="E194" s="622">
        <f t="shared" si="22"/>
        <v>673440</v>
      </c>
    </row>
    <row r="195" spans="1:5" s="421" customFormat="1" x14ac:dyDescent="0.2">
      <c r="A195" s="588">
        <v>10</v>
      </c>
      <c r="B195" s="587" t="s">
        <v>822</v>
      </c>
      <c r="C195" s="589">
        <f>+C193+C194</f>
        <v>30102636</v>
      </c>
      <c r="D195" s="589">
        <f>+D193+D194</f>
        <v>29333743</v>
      </c>
      <c r="E195" s="625">
        <f t="shared" si="22"/>
        <v>-768893</v>
      </c>
    </row>
    <row r="196" spans="1:5" s="421" customFormat="1" x14ac:dyDescent="0.2">
      <c r="A196" s="588">
        <v>11</v>
      </c>
      <c r="B196" s="587" t="s">
        <v>823</v>
      </c>
      <c r="C196" s="589">
        <v>24731229</v>
      </c>
      <c r="D196" s="589">
        <v>22586617</v>
      </c>
      <c r="E196" s="622">
        <f t="shared" si="22"/>
        <v>-2144612</v>
      </c>
    </row>
    <row r="197" spans="1:5" s="421" customFormat="1" x14ac:dyDescent="0.2">
      <c r="A197" s="588">
        <v>12</v>
      </c>
      <c r="B197" s="587" t="s">
        <v>713</v>
      </c>
      <c r="C197" s="589">
        <v>312559000</v>
      </c>
      <c r="D197" s="589">
        <v>311019000</v>
      </c>
      <c r="E197" s="622">
        <f t="shared" si="22"/>
        <v>-1540000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824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825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659</v>
      </c>
      <c r="C203" s="629">
        <v>6203.3526000000002</v>
      </c>
      <c r="D203" s="629">
        <v>5997.5129399999996</v>
      </c>
      <c r="E203" s="630">
        <f t="shared" ref="E203:E211" si="23">D203-C203</f>
        <v>-205.83966000000055</v>
      </c>
    </row>
    <row r="204" spans="1:5" s="421" customFormat="1" x14ac:dyDescent="0.2">
      <c r="A204" s="588">
        <v>2</v>
      </c>
      <c r="B204" s="587" t="s">
        <v>638</v>
      </c>
      <c r="C204" s="629">
        <v>6713.4480000000003</v>
      </c>
      <c r="D204" s="629">
        <v>7133.40056</v>
      </c>
      <c r="E204" s="630">
        <f t="shared" si="23"/>
        <v>419.95255999999972</v>
      </c>
    </row>
    <row r="205" spans="1:5" s="421" customFormat="1" x14ac:dyDescent="0.2">
      <c r="A205" s="588">
        <v>3</v>
      </c>
      <c r="B205" s="587" t="s">
        <v>780</v>
      </c>
      <c r="C205" s="629">
        <f>C206+C207</f>
        <v>724.97839999999997</v>
      </c>
      <c r="D205" s="629">
        <f>D206+D207</f>
        <v>662.4823100000001</v>
      </c>
      <c r="E205" s="630">
        <f t="shared" si="23"/>
        <v>-62.496089999999867</v>
      </c>
    </row>
    <row r="206" spans="1:5" s="421" customFormat="1" x14ac:dyDescent="0.2">
      <c r="A206" s="588">
        <v>4</v>
      </c>
      <c r="B206" s="587" t="s">
        <v>115</v>
      </c>
      <c r="C206" s="629">
        <v>394.65499999999997</v>
      </c>
      <c r="D206" s="629">
        <v>342.76060000000001</v>
      </c>
      <c r="E206" s="630">
        <f t="shared" si="23"/>
        <v>-51.894399999999962</v>
      </c>
    </row>
    <row r="207" spans="1:5" s="421" customFormat="1" x14ac:dyDescent="0.2">
      <c r="A207" s="588">
        <v>5</v>
      </c>
      <c r="B207" s="587" t="s">
        <v>746</v>
      </c>
      <c r="C207" s="629">
        <v>330.32340000000005</v>
      </c>
      <c r="D207" s="629">
        <v>319.72171000000003</v>
      </c>
      <c r="E207" s="630">
        <f t="shared" si="23"/>
        <v>-10.601690000000019</v>
      </c>
    </row>
    <row r="208" spans="1:5" s="421" customFormat="1" x14ac:dyDescent="0.2">
      <c r="A208" s="588">
        <v>6</v>
      </c>
      <c r="B208" s="587" t="s">
        <v>424</v>
      </c>
      <c r="C208" s="629">
        <v>4.7816000000000001</v>
      </c>
      <c r="D208" s="629">
        <v>9.0537199999999984</v>
      </c>
      <c r="E208" s="630">
        <f t="shared" si="23"/>
        <v>4.2721199999999984</v>
      </c>
    </row>
    <row r="209" spans="1:5" s="421" customFormat="1" x14ac:dyDescent="0.2">
      <c r="A209" s="588">
        <v>7</v>
      </c>
      <c r="B209" s="587" t="s">
        <v>761</v>
      </c>
      <c r="C209" s="629">
        <v>333.851</v>
      </c>
      <c r="D209" s="629">
        <v>335.53579999999999</v>
      </c>
      <c r="E209" s="630">
        <f t="shared" si="23"/>
        <v>1.6847999999999956</v>
      </c>
    </row>
    <row r="210" spans="1:5" s="421" customFormat="1" x14ac:dyDescent="0.2">
      <c r="A210" s="588"/>
      <c r="B210" s="592" t="s">
        <v>826</v>
      </c>
      <c r="C210" s="631">
        <f>C204+C205+C208</f>
        <v>7443.2080000000005</v>
      </c>
      <c r="D210" s="631">
        <f>D204+D205+D208</f>
        <v>7804.9365900000003</v>
      </c>
      <c r="E210" s="632">
        <f t="shared" si="23"/>
        <v>361.72858999999971</v>
      </c>
    </row>
    <row r="211" spans="1:5" s="421" customFormat="1" x14ac:dyDescent="0.2">
      <c r="A211" s="588"/>
      <c r="B211" s="592" t="s">
        <v>727</v>
      </c>
      <c r="C211" s="631">
        <f>C210+C203</f>
        <v>13646.560600000001</v>
      </c>
      <c r="D211" s="631">
        <f>D210+D203</f>
        <v>13802.44953</v>
      </c>
      <c r="E211" s="632">
        <f t="shared" si="23"/>
        <v>155.88892999999916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827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659</v>
      </c>
      <c r="C215" s="633">
        <f>IF(C14*C137=0,0,C25/C14*C137)</f>
        <v>14091.685650234833</v>
      </c>
      <c r="D215" s="633">
        <f>IF(D14*D137=0,0,D25/D14*D137)</f>
        <v>15569.783063983328</v>
      </c>
      <c r="E215" s="633">
        <f t="shared" ref="E215:E223" si="24">D215-C215</f>
        <v>1478.0974137484955</v>
      </c>
    </row>
    <row r="216" spans="1:5" s="421" customFormat="1" x14ac:dyDescent="0.2">
      <c r="A216" s="588">
        <v>2</v>
      </c>
      <c r="B216" s="587" t="s">
        <v>638</v>
      </c>
      <c r="C216" s="633">
        <f>IF(C15*C138=0,0,C26/C15*C138)</f>
        <v>3720.4505728506774</v>
      </c>
      <c r="D216" s="633">
        <f>IF(D15*D138=0,0,D26/D15*D138)</f>
        <v>4337.1322494767555</v>
      </c>
      <c r="E216" s="633">
        <f t="shared" si="24"/>
        <v>616.68167662607812</v>
      </c>
    </row>
    <row r="217" spans="1:5" s="421" customFormat="1" x14ac:dyDescent="0.2">
      <c r="A217" s="588">
        <v>3</v>
      </c>
      <c r="B217" s="587" t="s">
        <v>780</v>
      </c>
      <c r="C217" s="633">
        <f>C218+C219</f>
        <v>997.06217283288356</v>
      </c>
      <c r="D217" s="633">
        <f>D218+D219</f>
        <v>1068.267529509174</v>
      </c>
      <c r="E217" s="633">
        <f t="shared" si="24"/>
        <v>71.205356676290421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717.77482564412594</v>
      </c>
      <c r="D218" s="633">
        <f t="shared" si="25"/>
        <v>795.204009993721</v>
      </c>
      <c r="E218" s="633">
        <f t="shared" si="24"/>
        <v>77.429184349595062</v>
      </c>
    </row>
    <row r="219" spans="1:5" s="421" customFormat="1" x14ac:dyDescent="0.2">
      <c r="A219" s="588">
        <v>5</v>
      </c>
      <c r="B219" s="587" t="s">
        <v>746</v>
      </c>
      <c r="C219" s="633">
        <f t="shared" si="25"/>
        <v>279.28734718875768</v>
      </c>
      <c r="D219" s="633">
        <f t="shared" si="25"/>
        <v>273.06351951545304</v>
      </c>
      <c r="E219" s="633">
        <f t="shared" si="24"/>
        <v>-6.2238276733046405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19.585357215681643</v>
      </c>
      <c r="D220" s="633">
        <f t="shared" si="25"/>
        <v>17.265715366573353</v>
      </c>
      <c r="E220" s="633">
        <f t="shared" si="24"/>
        <v>-2.3196418491082902</v>
      </c>
    </row>
    <row r="221" spans="1:5" s="421" customFormat="1" x14ac:dyDescent="0.2">
      <c r="A221" s="588">
        <v>7</v>
      </c>
      <c r="B221" s="587" t="s">
        <v>761</v>
      </c>
      <c r="C221" s="633">
        <f t="shared" si="25"/>
        <v>1046.8323304521409</v>
      </c>
      <c r="D221" s="633">
        <f t="shared" si="25"/>
        <v>1382.1243210169637</v>
      </c>
      <c r="E221" s="633">
        <f t="shared" si="24"/>
        <v>335.29199056482275</v>
      </c>
    </row>
    <row r="222" spans="1:5" s="421" customFormat="1" x14ac:dyDescent="0.2">
      <c r="A222" s="588"/>
      <c r="B222" s="592" t="s">
        <v>828</v>
      </c>
      <c r="C222" s="634">
        <f>C216+C218+C219+C220</f>
        <v>4737.0981028992437</v>
      </c>
      <c r="D222" s="634">
        <f>D216+D218+D219+D220</f>
        <v>5422.6654943525027</v>
      </c>
      <c r="E222" s="634">
        <f t="shared" si="24"/>
        <v>685.56739145325901</v>
      </c>
    </row>
    <row r="223" spans="1:5" s="421" customFormat="1" x14ac:dyDescent="0.2">
      <c r="A223" s="588"/>
      <c r="B223" s="592" t="s">
        <v>829</v>
      </c>
      <c r="C223" s="634">
        <f>C215+C222</f>
        <v>18828.783753134077</v>
      </c>
      <c r="D223" s="634">
        <f>D215+D222</f>
        <v>20992.448558335833</v>
      </c>
      <c r="E223" s="634">
        <f t="shared" si="24"/>
        <v>2163.6648052017554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830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659</v>
      </c>
      <c r="C227" s="636">
        <f t="shared" ref="C227:D235" si="26">IF(C203=0,0,C47/C203)</f>
        <v>12382.373847328943</v>
      </c>
      <c r="D227" s="636">
        <f t="shared" si="26"/>
        <v>13447.578822564408</v>
      </c>
      <c r="E227" s="636">
        <f t="shared" ref="E227:E235" si="27">D227-C227</f>
        <v>1065.2049752354651</v>
      </c>
    </row>
    <row r="228" spans="1:5" s="421" customFormat="1" x14ac:dyDescent="0.2">
      <c r="A228" s="588">
        <v>2</v>
      </c>
      <c r="B228" s="587" t="s">
        <v>638</v>
      </c>
      <c r="C228" s="636">
        <f t="shared" si="26"/>
        <v>6952.9097417601206</v>
      </c>
      <c r="D228" s="636">
        <f t="shared" si="26"/>
        <v>8052.956022421934</v>
      </c>
      <c r="E228" s="636">
        <f t="shared" si="27"/>
        <v>1100.0462806618134</v>
      </c>
    </row>
    <row r="229" spans="1:5" s="421" customFormat="1" x14ac:dyDescent="0.2">
      <c r="A229" s="588">
        <v>3</v>
      </c>
      <c r="B229" s="587" t="s">
        <v>780</v>
      </c>
      <c r="C229" s="636">
        <f t="shared" si="26"/>
        <v>5111.4640105139688</v>
      </c>
      <c r="D229" s="636">
        <f t="shared" si="26"/>
        <v>7713.2172782092839</v>
      </c>
      <c r="E229" s="636">
        <f t="shared" si="27"/>
        <v>2601.7532676953151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3000.3927480964389</v>
      </c>
      <c r="D230" s="636">
        <f t="shared" si="26"/>
        <v>7321.3607398283229</v>
      </c>
      <c r="E230" s="636">
        <f t="shared" si="27"/>
        <v>4320.9679917318845</v>
      </c>
    </row>
    <row r="231" spans="1:5" s="421" customFormat="1" x14ac:dyDescent="0.2">
      <c r="A231" s="588">
        <v>5</v>
      </c>
      <c r="B231" s="587" t="s">
        <v>746</v>
      </c>
      <c r="C231" s="636">
        <f t="shared" si="26"/>
        <v>7633.673545380072</v>
      </c>
      <c r="D231" s="636">
        <f t="shared" si="26"/>
        <v>8133.3106844699405</v>
      </c>
      <c r="E231" s="636">
        <f t="shared" si="27"/>
        <v>499.63713908986847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12604.149238748536</v>
      </c>
      <c r="D232" s="636">
        <f t="shared" si="26"/>
        <v>12389.8242932187</v>
      </c>
      <c r="E232" s="636">
        <f t="shared" si="27"/>
        <v>-214.32494552983553</v>
      </c>
    </row>
    <row r="233" spans="1:5" s="421" customFormat="1" x14ac:dyDescent="0.2">
      <c r="A233" s="588">
        <v>7</v>
      </c>
      <c r="B233" s="587" t="s">
        <v>761</v>
      </c>
      <c r="C233" s="636">
        <f t="shared" si="26"/>
        <v>10385.908683814037</v>
      </c>
      <c r="D233" s="636">
        <f t="shared" si="26"/>
        <v>11590.193952478394</v>
      </c>
      <c r="E233" s="636">
        <f t="shared" si="27"/>
        <v>1204.2852686643564</v>
      </c>
    </row>
    <row r="234" spans="1:5" x14ac:dyDescent="0.2">
      <c r="A234" s="588"/>
      <c r="B234" s="592" t="s">
        <v>831</v>
      </c>
      <c r="C234" s="637">
        <f t="shared" si="26"/>
        <v>6777.1808875957777</v>
      </c>
      <c r="D234" s="637">
        <f t="shared" si="26"/>
        <v>8029.1497922342505</v>
      </c>
      <c r="E234" s="637">
        <f t="shared" si="27"/>
        <v>1251.9689046384728</v>
      </c>
    </row>
    <row r="235" spans="1:5" s="421" customFormat="1" x14ac:dyDescent="0.2">
      <c r="A235" s="588"/>
      <c r="B235" s="592" t="s">
        <v>832</v>
      </c>
      <c r="C235" s="637">
        <f t="shared" si="26"/>
        <v>9325.1480523231621</v>
      </c>
      <c r="D235" s="637">
        <f t="shared" si="26"/>
        <v>10383.594063393761</v>
      </c>
      <c r="E235" s="637">
        <f t="shared" si="27"/>
        <v>1058.4460110705986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833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659</v>
      </c>
      <c r="C239" s="636">
        <f t="shared" ref="C239:D247" si="28">IF(C215=0,0,C58/C215)</f>
        <v>10255.216202441454</v>
      </c>
      <c r="D239" s="636">
        <f t="shared" si="28"/>
        <v>9187.0282593009397</v>
      </c>
      <c r="E239" s="638">
        <f t="shared" ref="E239:E247" si="29">D239-C239</f>
        <v>-1068.1879431405141</v>
      </c>
    </row>
    <row r="240" spans="1:5" s="421" customFormat="1" x14ac:dyDescent="0.2">
      <c r="A240" s="588">
        <v>2</v>
      </c>
      <c r="B240" s="587" t="s">
        <v>638</v>
      </c>
      <c r="C240" s="636">
        <f t="shared" si="28"/>
        <v>8086.1590312565204</v>
      </c>
      <c r="D240" s="636">
        <f t="shared" si="28"/>
        <v>7138.7371237608222</v>
      </c>
      <c r="E240" s="638">
        <f t="shared" si="29"/>
        <v>-947.42190749569818</v>
      </c>
    </row>
    <row r="241" spans="1:5" x14ac:dyDescent="0.2">
      <c r="A241" s="588">
        <v>3</v>
      </c>
      <c r="B241" s="587" t="s">
        <v>780</v>
      </c>
      <c r="C241" s="636">
        <f t="shared" si="28"/>
        <v>3432.74882274936</v>
      </c>
      <c r="D241" s="636">
        <f t="shared" si="28"/>
        <v>6391.2192511710773</v>
      </c>
      <c r="E241" s="638">
        <f t="shared" si="29"/>
        <v>2958.4704284217173</v>
      </c>
    </row>
    <row r="242" spans="1:5" x14ac:dyDescent="0.2">
      <c r="A242" s="588">
        <v>4</v>
      </c>
      <c r="B242" s="587" t="s">
        <v>115</v>
      </c>
      <c r="C242" s="636">
        <f t="shared" si="28"/>
        <v>3763.4532495283074</v>
      </c>
      <c r="D242" s="636">
        <f t="shared" si="28"/>
        <v>5298.1699627410926</v>
      </c>
      <c r="E242" s="638">
        <f t="shared" si="29"/>
        <v>1534.7167132127852</v>
      </c>
    </row>
    <row r="243" spans="1:5" x14ac:dyDescent="0.2">
      <c r="A243" s="588">
        <v>5</v>
      </c>
      <c r="B243" s="587" t="s">
        <v>746</v>
      </c>
      <c r="C243" s="636">
        <f t="shared" si="28"/>
        <v>2582.8309347378736</v>
      </c>
      <c r="D243" s="636">
        <f t="shared" si="28"/>
        <v>9574.3510690817384</v>
      </c>
      <c r="E243" s="638">
        <f t="shared" si="29"/>
        <v>6991.5201343438648</v>
      </c>
    </row>
    <row r="244" spans="1:5" x14ac:dyDescent="0.2">
      <c r="A244" s="588">
        <v>6</v>
      </c>
      <c r="B244" s="587" t="s">
        <v>424</v>
      </c>
      <c r="C244" s="636">
        <f t="shared" si="28"/>
        <v>14262.900437492877</v>
      </c>
      <c r="D244" s="636">
        <f t="shared" si="28"/>
        <v>15148.691753969833</v>
      </c>
      <c r="E244" s="638">
        <f t="shared" si="29"/>
        <v>885.79131647695613</v>
      </c>
    </row>
    <row r="245" spans="1:5" x14ac:dyDescent="0.2">
      <c r="A245" s="588">
        <v>7</v>
      </c>
      <c r="B245" s="587" t="s">
        <v>761</v>
      </c>
      <c r="C245" s="636">
        <f t="shared" si="28"/>
        <v>9371.2065577520843</v>
      </c>
      <c r="D245" s="636">
        <f t="shared" si="28"/>
        <v>429.40927308428115</v>
      </c>
      <c r="E245" s="638">
        <f t="shared" si="29"/>
        <v>-8941.797284667804</v>
      </c>
    </row>
    <row r="246" spans="1:5" ht="25.5" x14ac:dyDescent="0.2">
      <c r="A246" s="588"/>
      <c r="B246" s="592" t="s">
        <v>834</v>
      </c>
      <c r="C246" s="637">
        <f t="shared" si="28"/>
        <v>7132.2489562379706</v>
      </c>
      <c r="D246" s="637">
        <f t="shared" si="28"/>
        <v>7016.9793876513995</v>
      </c>
      <c r="E246" s="639">
        <f t="shared" si="29"/>
        <v>-115.26956858657104</v>
      </c>
    </row>
    <row r="247" spans="1:5" x14ac:dyDescent="0.2">
      <c r="A247" s="588"/>
      <c r="B247" s="592" t="s">
        <v>835</v>
      </c>
      <c r="C247" s="637">
        <f t="shared" si="28"/>
        <v>9469.5147778900919</v>
      </c>
      <c r="D247" s="637">
        <f t="shared" si="28"/>
        <v>8626.4719666582751</v>
      </c>
      <c r="E247" s="639">
        <f t="shared" si="29"/>
        <v>-843.04281123181681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763</v>
      </c>
      <c r="B249" s="626" t="s">
        <v>760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3102729.3887908231</v>
      </c>
      <c r="D251" s="622">
        <f>((IF((IF(D15=0,0,D26/D15)*D138)=0,0,D59/(IF(D15=0,0,D26/D15)*D138)))-(IF((IF(D17=0,0,D28/D17)*D140)=0,0,D61/(IF(D17=0,0,D28/D17)*D140))))*(IF(D17=0,0,D28/D17)*D140)</f>
        <v>1463626.3871056477</v>
      </c>
      <c r="E251" s="622">
        <f>D251-C251</f>
        <v>-1639103.0016851753</v>
      </c>
    </row>
    <row r="252" spans="1:5" x14ac:dyDescent="0.2">
      <c r="A252" s="588">
        <v>2</v>
      </c>
      <c r="B252" s="587" t="s">
        <v>746</v>
      </c>
      <c r="C252" s="622">
        <f>IF(C231=0,0,(C228-C231)*C207)+IF(C243=0,0,(C240-C243)*C219)</f>
        <v>1312137.6905773736</v>
      </c>
      <c r="D252" s="622">
        <f>IF(D231=0,0,(D228-D231)*D207)+IF(D243=0,0,(D240-D243)*D219)</f>
        <v>-690768.44604670838</v>
      </c>
      <c r="E252" s="622">
        <f>D252-C252</f>
        <v>-2002906.136624082</v>
      </c>
    </row>
    <row r="253" spans="1:5" x14ac:dyDescent="0.2">
      <c r="A253" s="588">
        <v>3</v>
      </c>
      <c r="B253" s="587" t="s">
        <v>761</v>
      </c>
      <c r="C253" s="622">
        <f>IF(C233=0,0,(C228-C233)*C209+IF(C221=0,0,(C240-C245)*C221))</f>
        <v>-2491339.4267067527</v>
      </c>
      <c r="D253" s="622">
        <f>IF(D233=0,0,(D228-D233)*D209+IF(D221=0,0,(D240-D245)*D221))</f>
        <v>8086255.241444679</v>
      </c>
      <c r="E253" s="622">
        <f>D253-C253</f>
        <v>10577594.668151431</v>
      </c>
    </row>
    <row r="254" spans="1:5" ht="15" customHeight="1" x14ac:dyDescent="0.2">
      <c r="A254" s="588"/>
      <c r="B254" s="592" t="s">
        <v>762</v>
      </c>
      <c r="C254" s="640">
        <f>+C251+C252+C253</f>
        <v>1923527.6526614437</v>
      </c>
      <c r="D254" s="640">
        <f>+D251+D252+D253</f>
        <v>8859113.1825036183</v>
      </c>
      <c r="E254" s="640">
        <f>D254-C254</f>
        <v>6935585.5298421746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836</v>
      </c>
      <c r="B256" s="626" t="s">
        <v>837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728</v>
      </c>
      <c r="C258" s="622">
        <f>+C44</f>
        <v>971611045</v>
      </c>
      <c r="D258" s="625">
        <f>+D44</f>
        <v>1081142538</v>
      </c>
      <c r="E258" s="622">
        <f t="shared" ref="E258:E271" si="30">D258-C258</f>
        <v>109531493</v>
      </c>
    </row>
    <row r="259" spans="1:5" x14ac:dyDescent="0.2">
      <c r="A259" s="588">
        <v>2</v>
      </c>
      <c r="B259" s="587" t="s">
        <v>745</v>
      </c>
      <c r="C259" s="622">
        <f>+(C43-C76)</f>
        <v>341171407</v>
      </c>
      <c r="D259" s="625">
        <f>+(D43-D76)</f>
        <v>396967568</v>
      </c>
      <c r="E259" s="622">
        <f t="shared" si="30"/>
        <v>55796161</v>
      </c>
    </row>
    <row r="260" spans="1:5" x14ac:dyDescent="0.2">
      <c r="A260" s="588">
        <v>3</v>
      </c>
      <c r="B260" s="587" t="s">
        <v>749</v>
      </c>
      <c r="C260" s="622">
        <f>C195</f>
        <v>30102636</v>
      </c>
      <c r="D260" s="622">
        <f>D195</f>
        <v>29333743</v>
      </c>
      <c r="E260" s="622">
        <f t="shared" si="30"/>
        <v>-768893</v>
      </c>
    </row>
    <row r="261" spans="1:5" x14ac:dyDescent="0.2">
      <c r="A261" s="588">
        <v>4</v>
      </c>
      <c r="B261" s="587" t="s">
        <v>750</v>
      </c>
      <c r="C261" s="622">
        <f>C188</f>
        <v>283785136</v>
      </c>
      <c r="D261" s="622">
        <f>D188</f>
        <v>318627059</v>
      </c>
      <c r="E261" s="622">
        <f t="shared" si="30"/>
        <v>34841923</v>
      </c>
    </row>
    <row r="262" spans="1:5" x14ac:dyDescent="0.2">
      <c r="A262" s="588">
        <v>5</v>
      </c>
      <c r="B262" s="587" t="s">
        <v>751</v>
      </c>
      <c r="C262" s="622">
        <f>C191</f>
        <v>10994223</v>
      </c>
      <c r="D262" s="622">
        <f>D191</f>
        <v>9370250</v>
      </c>
      <c r="E262" s="622">
        <f t="shared" si="30"/>
        <v>-1623973</v>
      </c>
    </row>
    <row r="263" spans="1:5" x14ac:dyDescent="0.2">
      <c r="A263" s="588">
        <v>6</v>
      </c>
      <c r="B263" s="587" t="s">
        <v>752</v>
      </c>
      <c r="C263" s="622">
        <f>+C259+C260+C261+C262</f>
        <v>666053402</v>
      </c>
      <c r="D263" s="622">
        <f>+D259+D260+D261+D262</f>
        <v>754298620</v>
      </c>
      <c r="E263" s="622">
        <f t="shared" si="30"/>
        <v>88245218</v>
      </c>
    </row>
    <row r="264" spans="1:5" x14ac:dyDescent="0.2">
      <c r="A264" s="588">
        <v>7</v>
      </c>
      <c r="B264" s="587" t="s">
        <v>657</v>
      </c>
      <c r="C264" s="622">
        <f>+C258-C263</f>
        <v>305557643</v>
      </c>
      <c r="D264" s="622">
        <f>+D258-D263</f>
        <v>326843918</v>
      </c>
      <c r="E264" s="622">
        <f t="shared" si="30"/>
        <v>21286275</v>
      </c>
    </row>
    <row r="265" spans="1:5" x14ac:dyDescent="0.2">
      <c r="A265" s="588">
        <v>8</v>
      </c>
      <c r="B265" s="587" t="s">
        <v>838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839</v>
      </c>
      <c r="C266" s="622">
        <f>+C264+C265</f>
        <v>305557643</v>
      </c>
      <c r="D266" s="622">
        <f>+D264+D265</f>
        <v>326843918</v>
      </c>
      <c r="E266" s="641">
        <f t="shared" si="30"/>
        <v>21286275</v>
      </c>
    </row>
    <row r="267" spans="1:5" x14ac:dyDescent="0.2">
      <c r="A267" s="588">
        <v>10</v>
      </c>
      <c r="B267" s="587" t="s">
        <v>840</v>
      </c>
      <c r="C267" s="642">
        <f>IF(C258=0,0,C266/C258)</f>
        <v>0.31448555939377987</v>
      </c>
      <c r="D267" s="642">
        <f>IF(D258=0,0,D266/D258)</f>
        <v>0.30231343834146684</v>
      </c>
      <c r="E267" s="643">
        <f t="shared" si="30"/>
        <v>-1.2172121052313023E-2</v>
      </c>
    </row>
    <row r="268" spans="1:5" x14ac:dyDescent="0.2">
      <c r="A268" s="588">
        <v>11</v>
      </c>
      <c r="B268" s="587" t="s">
        <v>719</v>
      </c>
      <c r="C268" s="622">
        <f>+C260*C267</f>
        <v>9466844.3216873351</v>
      </c>
      <c r="D268" s="644">
        <f>+D260*D267</f>
        <v>8867984.7057549339</v>
      </c>
      <c r="E268" s="622">
        <f t="shared" si="30"/>
        <v>-598859.61593240127</v>
      </c>
    </row>
    <row r="269" spans="1:5" x14ac:dyDescent="0.2">
      <c r="A269" s="588">
        <v>12</v>
      </c>
      <c r="B269" s="587" t="s">
        <v>841</v>
      </c>
      <c r="C269" s="622">
        <f>((C17+C18+C28+C29)*C267)-(C50+C51+C61+C62)</f>
        <v>9384709.1091016252</v>
      </c>
      <c r="D269" s="644">
        <f>((D17+D18+D28+D29)*D267)-(D50+D51+D61+D62)</f>
        <v>6042930.6891690977</v>
      </c>
      <c r="E269" s="622">
        <f t="shared" si="30"/>
        <v>-3341778.4199325275</v>
      </c>
    </row>
    <row r="270" spans="1:5" s="648" customFormat="1" x14ac:dyDescent="0.2">
      <c r="A270" s="645">
        <v>13</v>
      </c>
      <c r="B270" s="646" t="s">
        <v>842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843</v>
      </c>
      <c r="C271" s="622">
        <f>+C268+C269+C270</f>
        <v>18851553.43078896</v>
      </c>
      <c r="D271" s="622">
        <f>+D268+D269+D270</f>
        <v>14910915.394924032</v>
      </c>
      <c r="E271" s="625">
        <f t="shared" si="30"/>
        <v>-3940638.0358649287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844</v>
      </c>
      <c r="B273" s="626" t="s">
        <v>845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846</v>
      </c>
      <c r="C275" s="425"/>
      <c r="D275" s="425"/>
      <c r="E275" s="596"/>
    </row>
    <row r="276" spans="1:5" x14ac:dyDescent="0.2">
      <c r="A276" s="588">
        <v>1</v>
      </c>
      <c r="B276" s="587" t="s">
        <v>659</v>
      </c>
      <c r="C276" s="623">
        <f t="shared" ref="C276:D284" si="31">IF(C14=0,0,+C47/C14)</f>
        <v>0.41146042836280788</v>
      </c>
      <c r="D276" s="623">
        <f t="shared" si="31"/>
        <v>0.45055613485493717</v>
      </c>
      <c r="E276" s="650">
        <f t="shared" ref="E276:E284" si="32">D276-C276</f>
        <v>3.909570649212929E-2</v>
      </c>
    </row>
    <row r="277" spans="1:5" x14ac:dyDescent="0.2">
      <c r="A277" s="588">
        <v>2</v>
      </c>
      <c r="B277" s="587" t="s">
        <v>638</v>
      </c>
      <c r="C277" s="623">
        <f t="shared" si="31"/>
        <v>0.21894311606377803</v>
      </c>
      <c r="D277" s="623">
        <f t="shared" si="31"/>
        <v>0.24784183523662071</v>
      </c>
      <c r="E277" s="650">
        <f t="shared" si="32"/>
        <v>2.8898719172842674E-2</v>
      </c>
    </row>
    <row r="278" spans="1:5" x14ac:dyDescent="0.2">
      <c r="A278" s="588">
        <v>3</v>
      </c>
      <c r="B278" s="587" t="s">
        <v>780</v>
      </c>
      <c r="C278" s="623">
        <f t="shared" si="31"/>
        <v>0.16450153898590425</v>
      </c>
      <c r="D278" s="623">
        <f t="shared" si="31"/>
        <v>0.21740220895623735</v>
      </c>
      <c r="E278" s="650">
        <f t="shared" si="32"/>
        <v>5.2900669970333103E-2</v>
      </c>
    </row>
    <row r="279" spans="1:5" x14ac:dyDescent="0.2">
      <c r="A279" s="588">
        <v>4</v>
      </c>
      <c r="B279" s="587" t="s">
        <v>115</v>
      </c>
      <c r="C279" s="623">
        <f t="shared" si="31"/>
        <v>0.10074329788901222</v>
      </c>
      <c r="D279" s="623">
        <f t="shared" si="31"/>
        <v>0.22806539378290658</v>
      </c>
      <c r="E279" s="650">
        <f t="shared" si="32"/>
        <v>0.12732209589389437</v>
      </c>
    </row>
    <row r="280" spans="1:5" x14ac:dyDescent="0.2">
      <c r="A280" s="588">
        <v>5</v>
      </c>
      <c r="B280" s="587" t="s">
        <v>746</v>
      </c>
      <c r="C280" s="623">
        <f t="shared" si="31"/>
        <v>0.23406460198275078</v>
      </c>
      <c r="D280" s="623">
        <f t="shared" si="31"/>
        <v>0.20801646983572561</v>
      </c>
      <c r="E280" s="650">
        <f t="shared" si="32"/>
        <v>-2.6048132147025171E-2</v>
      </c>
    </row>
    <row r="281" spans="1:5" x14ac:dyDescent="0.2">
      <c r="A281" s="588">
        <v>6</v>
      </c>
      <c r="B281" s="587" t="s">
        <v>424</v>
      </c>
      <c r="C281" s="623">
        <f t="shared" si="31"/>
        <v>0.64679809828394808</v>
      </c>
      <c r="D281" s="623">
        <f t="shared" si="31"/>
        <v>0.33948399788151623</v>
      </c>
      <c r="E281" s="650">
        <f t="shared" si="32"/>
        <v>-0.30731410040243184</v>
      </c>
    </row>
    <row r="282" spans="1:5" x14ac:dyDescent="0.2">
      <c r="A282" s="588">
        <v>7</v>
      </c>
      <c r="B282" s="587" t="s">
        <v>761</v>
      </c>
      <c r="C282" s="623">
        <f t="shared" si="31"/>
        <v>0.30607209569258209</v>
      </c>
      <c r="D282" s="623">
        <f t="shared" si="31"/>
        <v>0.58249311561939954</v>
      </c>
      <c r="E282" s="650">
        <f t="shared" si="32"/>
        <v>0.27642101992681745</v>
      </c>
    </row>
    <row r="283" spans="1:5" ht="29.25" customHeight="1" x14ac:dyDescent="0.2">
      <c r="A283" s="588"/>
      <c r="B283" s="592" t="s">
        <v>847</v>
      </c>
      <c r="C283" s="651">
        <f t="shared" si="31"/>
        <v>0.21391154391423592</v>
      </c>
      <c r="D283" s="651">
        <f t="shared" si="31"/>
        <v>0.24516132785376729</v>
      </c>
      <c r="E283" s="652">
        <f t="shared" si="32"/>
        <v>3.1249783939531373E-2</v>
      </c>
    </row>
    <row r="284" spans="1:5" x14ac:dyDescent="0.2">
      <c r="A284" s="588"/>
      <c r="B284" s="592" t="s">
        <v>848</v>
      </c>
      <c r="C284" s="651">
        <f t="shared" si="31"/>
        <v>0.30119889594217769</v>
      </c>
      <c r="D284" s="651">
        <f t="shared" si="31"/>
        <v>0.32975643738055105</v>
      </c>
      <c r="E284" s="652">
        <f t="shared" si="32"/>
        <v>2.8557541438373357E-2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849</v>
      </c>
      <c r="C286" s="596"/>
      <c r="D286" s="596"/>
      <c r="E286" s="596"/>
    </row>
    <row r="287" spans="1:5" x14ac:dyDescent="0.2">
      <c r="A287" s="588">
        <v>1</v>
      </c>
      <c r="B287" s="587" t="s">
        <v>659</v>
      </c>
      <c r="C287" s="623">
        <f t="shared" ref="C287:D295" si="33">IF(C25=0,0,+C58/C25)</f>
        <v>0.40195327385854318</v>
      </c>
      <c r="D287" s="623">
        <f t="shared" si="33"/>
        <v>0.35366405121734562</v>
      </c>
      <c r="E287" s="650">
        <f t="shared" ref="E287:E295" si="34">D287-C287</f>
        <v>-4.828922264119756E-2</v>
      </c>
    </row>
    <row r="288" spans="1:5" x14ac:dyDescent="0.2">
      <c r="A288" s="588">
        <v>2</v>
      </c>
      <c r="B288" s="587" t="s">
        <v>638</v>
      </c>
      <c r="C288" s="623">
        <f t="shared" si="33"/>
        <v>0.18903376564625091</v>
      </c>
      <c r="D288" s="623">
        <f t="shared" si="33"/>
        <v>0.1505480950122087</v>
      </c>
      <c r="E288" s="650">
        <f t="shared" si="34"/>
        <v>-3.8485670634042207E-2</v>
      </c>
    </row>
    <row r="289" spans="1:5" x14ac:dyDescent="0.2">
      <c r="A289" s="588">
        <v>3</v>
      </c>
      <c r="B289" s="587" t="s">
        <v>780</v>
      </c>
      <c r="C289" s="623">
        <f t="shared" si="33"/>
        <v>0.11415971601558889</v>
      </c>
      <c r="D289" s="623">
        <f t="shared" si="33"/>
        <v>0.18980353764892247</v>
      </c>
      <c r="E289" s="650">
        <f t="shared" si="34"/>
        <v>7.564382163333358E-2</v>
      </c>
    </row>
    <row r="290" spans="1:5" x14ac:dyDescent="0.2">
      <c r="A290" s="588">
        <v>4</v>
      </c>
      <c r="B290" s="587" t="s">
        <v>115</v>
      </c>
      <c r="C290" s="623">
        <f t="shared" si="33"/>
        <v>0.13608050199190583</v>
      </c>
      <c r="D290" s="623">
        <f t="shared" si="33"/>
        <v>0.17815757843519656</v>
      </c>
      <c r="E290" s="650">
        <f t="shared" si="34"/>
        <v>4.2077076443290728E-2</v>
      </c>
    </row>
    <row r="291" spans="1:5" x14ac:dyDescent="0.2">
      <c r="A291" s="588">
        <v>5</v>
      </c>
      <c r="B291" s="587" t="s">
        <v>746</v>
      </c>
      <c r="C291" s="623">
        <f t="shared" si="33"/>
        <v>7.1205779443239178E-2</v>
      </c>
      <c r="D291" s="623">
        <f t="shared" si="33"/>
        <v>0.21215210712877808</v>
      </c>
      <c r="E291" s="650">
        <f t="shared" si="34"/>
        <v>0.14094632768553889</v>
      </c>
    </row>
    <row r="292" spans="1:5" x14ac:dyDescent="0.2">
      <c r="A292" s="588">
        <v>6</v>
      </c>
      <c r="B292" s="587" t="s">
        <v>424</v>
      </c>
      <c r="C292" s="623">
        <f t="shared" si="33"/>
        <v>0.61227960967569417</v>
      </c>
      <c r="D292" s="623">
        <f t="shared" si="33"/>
        <v>0.59599907029313115</v>
      </c>
      <c r="E292" s="650">
        <f t="shared" si="34"/>
        <v>-1.628053938256302E-2</v>
      </c>
    </row>
    <row r="293" spans="1:5" x14ac:dyDescent="0.2">
      <c r="A293" s="588">
        <v>7</v>
      </c>
      <c r="B293" s="587" t="s">
        <v>761</v>
      </c>
      <c r="C293" s="623">
        <f t="shared" si="33"/>
        <v>0.30607213332927319</v>
      </c>
      <c r="D293" s="623">
        <f t="shared" si="33"/>
        <v>2.1868125875558496E-2</v>
      </c>
      <c r="E293" s="650">
        <f t="shared" si="34"/>
        <v>-0.28420400745371471</v>
      </c>
    </row>
    <row r="294" spans="1:5" ht="29.25" customHeight="1" x14ac:dyDescent="0.2">
      <c r="A294" s="588"/>
      <c r="B294" s="592" t="s">
        <v>850</v>
      </c>
      <c r="C294" s="651">
        <f t="shared" si="33"/>
        <v>0.17821154568411102</v>
      </c>
      <c r="D294" s="651">
        <f t="shared" si="33"/>
        <v>0.15718900797463364</v>
      </c>
      <c r="E294" s="652">
        <f t="shared" si="34"/>
        <v>-2.1022537709477374E-2</v>
      </c>
    </row>
    <row r="295" spans="1:5" x14ac:dyDescent="0.2">
      <c r="A295" s="588"/>
      <c r="B295" s="592" t="s">
        <v>851</v>
      </c>
      <c r="C295" s="651">
        <f t="shared" si="33"/>
        <v>0.32470496796994075</v>
      </c>
      <c r="D295" s="651">
        <f t="shared" si="33"/>
        <v>0.28010008134947895</v>
      </c>
      <c r="E295" s="652">
        <f t="shared" si="34"/>
        <v>-4.4604886620461803E-2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852</v>
      </c>
      <c r="B297" s="579" t="s">
        <v>853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854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657</v>
      </c>
      <c r="C301" s="590">
        <f>+C48+C47+C50+C51+C52+C59+C58+C61+C62+C63</f>
        <v>305555644</v>
      </c>
      <c r="D301" s="590">
        <f>+D48+D47+D50+D51+D52+D59+D58+D61+D62+D63</f>
        <v>324409802</v>
      </c>
      <c r="E301" s="590">
        <f>D301-C301</f>
        <v>18854158</v>
      </c>
    </row>
    <row r="302" spans="1:5" ht="25.5" x14ac:dyDescent="0.2">
      <c r="A302" s="588">
        <v>2</v>
      </c>
      <c r="B302" s="587" t="s">
        <v>855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856</v>
      </c>
      <c r="C303" s="593">
        <f>+C301+C302</f>
        <v>305555644</v>
      </c>
      <c r="D303" s="593">
        <f>+D301+D302</f>
        <v>324409802</v>
      </c>
      <c r="E303" s="593">
        <f>D303-C303</f>
        <v>18854158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857</v>
      </c>
      <c r="C305" s="589">
        <v>-1209447</v>
      </c>
      <c r="D305" s="654">
        <v>-11427717</v>
      </c>
      <c r="E305" s="655">
        <f>D305-C305</f>
        <v>-10218270</v>
      </c>
    </row>
    <row r="306" spans="1:5" x14ac:dyDescent="0.2">
      <c r="A306" s="588">
        <v>4</v>
      </c>
      <c r="B306" s="592" t="s">
        <v>858</v>
      </c>
      <c r="C306" s="593">
        <f>+C303+C305+C194+C190-C191</f>
        <v>325818436</v>
      </c>
      <c r="D306" s="593">
        <f>+D303+D305</f>
        <v>312982085</v>
      </c>
      <c r="E306" s="656">
        <f>D306-C306</f>
        <v>-12836351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859</v>
      </c>
      <c r="C308" s="589">
        <v>304346157</v>
      </c>
      <c r="D308" s="589">
        <v>312982083</v>
      </c>
      <c r="E308" s="590">
        <f>D308-C308</f>
        <v>8635926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860</v>
      </c>
      <c r="C310" s="657">
        <f>C306-C308</f>
        <v>21472279</v>
      </c>
      <c r="D310" s="658">
        <f>D306-D308</f>
        <v>2</v>
      </c>
      <c r="E310" s="656">
        <f>D310-C310</f>
        <v>-21472277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861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862</v>
      </c>
      <c r="C314" s="590">
        <f>+C14+C15+C16+C19+C25+C26+C27+C30</f>
        <v>971611045</v>
      </c>
      <c r="D314" s="590">
        <f>+D14+D15+D16+D19+D25+D26+D27+D30</f>
        <v>1081142538</v>
      </c>
      <c r="E314" s="590">
        <f>D314-C314</f>
        <v>109531493</v>
      </c>
    </row>
    <row r="315" spans="1:5" x14ac:dyDescent="0.2">
      <c r="A315" s="588">
        <v>2</v>
      </c>
      <c r="B315" s="659" t="s">
        <v>863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864</v>
      </c>
      <c r="C316" s="657">
        <f>C314+C315</f>
        <v>971611045</v>
      </c>
      <c r="D316" s="657">
        <f>D314+D315</f>
        <v>1081142538</v>
      </c>
      <c r="E316" s="593">
        <f>D316-C316</f>
        <v>109531493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865</v>
      </c>
      <c r="C318" s="589">
        <v>971611045</v>
      </c>
      <c r="D318" s="589">
        <v>1081142538</v>
      </c>
      <c r="E318" s="590">
        <f>D318-C318</f>
        <v>109531493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860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866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867</v>
      </c>
      <c r="C324" s="589">
        <f>+C193+C194</f>
        <v>30102636</v>
      </c>
      <c r="D324" s="589">
        <f>+D193+D194</f>
        <v>29333743</v>
      </c>
      <c r="E324" s="590">
        <f>D324-C324</f>
        <v>-768893</v>
      </c>
    </row>
    <row r="325" spans="1:5" x14ac:dyDescent="0.2">
      <c r="A325" s="588">
        <v>2</v>
      </c>
      <c r="B325" s="587" t="s">
        <v>868</v>
      </c>
      <c r="C325" s="589">
        <v>5815730</v>
      </c>
      <c r="D325" s="589">
        <v>1232722</v>
      </c>
      <c r="E325" s="590">
        <f>D325-C325</f>
        <v>-4583008</v>
      </c>
    </row>
    <row r="326" spans="1:5" x14ac:dyDescent="0.2">
      <c r="A326" s="588"/>
      <c r="B326" s="592" t="s">
        <v>869</v>
      </c>
      <c r="C326" s="657">
        <f>C324+C325</f>
        <v>35918366</v>
      </c>
      <c r="D326" s="657">
        <f>D324+D325</f>
        <v>30566465</v>
      </c>
      <c r="E326" s="593">
        <f>D326-C326</f>
        <v>-5351901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870</v>
      </c>
      <c r="C328" s="589">
        <v>35918318</v>
      </c>
      <c r="D328" s="589">
        <v>30566465</v>
      </c>
      <c r="E328" s="590">
        <f>D328-C328</f>
        <v>-5351853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871</v>
      </c>
      <c r="C330" s="657">
        <f>C326-C328</f>
        <v>48</v>
      </c>
      <c r="D330" s="657">
        <f>D326-D328</f>
        <v>0</v>
      </c>
      <c r="E330" s="593">
        <f>D330-C330</f>
        <v>-48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2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632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872</v>
      </c>
      <c r="B5" s="824"/>
      <c r="C5" s="825"/>
      <c r="D5" s="661"/>
    </row>
    <row r="6" spans="1:58" s="662" customFormat="1" ht="15.75" customHeight="1" x14ac:dyDescent="0.25">
      <c r="A6" s="823" t="s">
        <v>873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874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875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779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659</v>
      </c>
      <c r="C14" s="589">
        <v>179005504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638</v>
      </c>
      <c r="C15" s="591">
        <v>231780728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780</v>
      </c>
      <c r="C16" s="591">
        <v>23504223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11003309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746</v>
      </c>
      <c r="C18" s="591">
        <v>12500914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330425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761</v>
      </c>
      <c r="C20" s="591">
        <v>6676345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781</v>
      </c>
      <c r="C21" s="593">
        <f>SUM(C15+C16+C19)</f>
        <v>255615376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434620880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782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659</v>
      </c>
      <c r="C25" s="589">
        <v>404451729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638</v>
      </c>
      <c r="C26" s="591">
        <v>205659507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780</v>
      </c>
      <c r="C27" s="591">
        <v>35971574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23648312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746</v>
      </c>
      <c r="C29" s="591">
        <v>12323262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438848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761</v>
      </c>
      <c r="C31" s="594">
        <v>27139820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783</v>
      </c>
      <c r="C32" s="593">
        <f>SUM(C26+C27+C30)</f>
        <v>242069929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646521658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656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876</v>
      </c>
      <c r="C36" s="590">
        <f>SUM(C14+C25)</f>
        <v>583457233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877</v>
      </c>
      <c r="C37" s="594">
        <f>SUM(C21+C32)</f>
        <v>497685305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656</v>
      </c>
      <c r="C38" s="593">
        <f>SUM(+C36+C37)</f>
        <v>1081142538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792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659</v>
      </c>
      <c r="C41" s="589">
        <v>80652028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638</v>
      </c>
      <c r="C42" s="591">
        <v>57444961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780</v>
      </c>
      <c r="C43" s="591">
        <v>5109870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2509474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746</v>
      </c>
      <c r="C45" s="591">
        <v>2600396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112174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761</v>
      </c>
      <c r="C47" s="591">
        <v>3888925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793</v>
      </c>
      <c r="C48" s="593">
        <f>SUM(C42+C43+C46)</f>
        <v>62667005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143319033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794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659</v>
      </c>
      <c r="C52" s="589">
        <v>143040037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638</v>
      </c>
      <c r="C53" s="591">
        <v>30961647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780</v>
      </c>
      <c r="C54" s="591">
        <v>6827532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4213126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746</v>
      </c>
      <c r="C56" s="591">
        <v>2614406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261553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761</v>
      </c>
      <c r="C58" s="591">
        <v>593497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795</v>
      </c>
      <c r="C59" s="593">
        <f>SUM(C53+C54+C57)</f>
        <v>38050732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181090769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657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878</v>
      </c>
      <c r="C63" s="590">
        <f>SUM(C41+C52)</f>
        <v>223692065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879</v>
      </c>
      <c r="C64" s="594">
        <f>SUM(C48+C59)</f>
        <v>100717737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657</v>
      </c>
      <c r="C65" s="593">
        <f>SUM(+C63+C64)</f>
        <v>324409802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880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881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659</v>
      </c>
      <c r="C70" s="606">
        <v>6891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638</v>
      </c>
      <c r="C71" s="606">
        <v>4888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780</v>
      </c>
      <c r="C72" s="606">
        <v>647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370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746</v>
      </c>
      <c r="C74" s="606">
        <v>277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13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761</v>
      </c>
      <c r="C76" s="621">
        <v>340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810</v>
      </c>
      <c r="C77" s="608">
        <f>SUM(C71+C72+C75)</f>
        <v>5548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12439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814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659</v>
      </c>
      <c r="C81" s="617">
        <v>0.87034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638</v>
      </c>
      <c r="C82" s="617">
        <v>1.4593700000000001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780</v>
      </c>
      <c r="C83" s="617">
        <f>((C73*C84)+(C74*C85))/(C73+C74)</f>
        <v>1.0239293817619786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0.92637999999999998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746</v>
      </c>
      <c r="C85" s="617">
        <v>1.1542300000000001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0.69643999999999995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761</v>
      </c>
      <c r="C87" s="617">
        <v>0.98687000000000002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815</v>
      </c>
      <c r="C88" s="619">
        <f>((C71*C82)+(C73*C84)+(C74*C85)+(C75*C86))/(C71+C73+C74+C75)</f>
        <v>1.4068018366979091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726</v>
      </c>
      <c r="C89" s="619">
        <f>((C70*C81)+(C71*C82)+(C73*C84)+(C74*C85)+(C75*C86))/(C70+C71+C73+C74+C75)</f>
        <v>1.1096108634134576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816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817</v>
      </c>
      <c r="C92" s="589">
        <v>527794479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818</v>
      </c>
      <c r="C93" s="622">
        <v>209167420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671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750</v>
      </c>
      <c r="C95" s="589">
        <f>+C92-C93</f>
        <v>318627059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673</v>
      </c>
      <c r="C96" s="681">
        <f>(+C92-C93)/C92</f>
        <v>0.60369532398992753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765</v>
      </c>
      <c r="C98" s="589">
        <v>19412473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751</v>
      </c>
      <c r="C99" s="589">
        <v>9370250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882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820</v>
      </c>
      <c r="C103" s="589">
        <v>14617978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821</v>
      </c>
      <c r="C104" s="589">
        <v>14715765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822</v>
      </c>
      <c r="C105" s="654">
        <f>+C103+C104</f>
        <v>29333743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823</v>
      </c>
      <c r="C107" s="589">
        <v>22586617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713</v>
      </c>
      <c r="C108" s="589">
        <v>311019000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853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854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657</v>
      </c>
      <c r="C114" s="590">
        <f>+C65</f>
        <v>324409802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855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856</v>
      </c>
      <c r="C116" s="593">
        <f>+C114+C115</f>
        <v>324409802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857</v>
      </c>
      <c r="C118" s="654">
        <v>-11427717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858</v>
      </c>
      <c r="C119" s="656">
        <f>+C116+C118</f>
        <v>312982085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859</v>
      </c>
      <c r="C121" s="589">
        <v>312982083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860</v>
      </c>
      <c r="C123" s="658">
        <f>C119-C121</f>
        <v>2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861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862</v>
      </c>
      <c r="C127" s="590">
        <f>C38</f>
        <v>1081142538</v>
      </c>
      <c r="D127" s="664"/>
      <c r="AR127" s="485"/>
    </row>
    <row r="128" spans="1:58" s="421" customFormat="1" ht="12.75" x14ac:dyDescent="0.2">
      <c r="A128" s="588">
        <v>2</v>
      </c>
      <c r="B128" s="659" t="s">
        <v>863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864</v>
      </c>
      <c r="C129" s="657">
        <f>C127+C128</f>
        <v>1081142538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865</v>
      </c>
      <c r="C131" s="589">
        <v>1081142538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860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866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867</v>
      </c>
      <c r="C137" s="589">
        <f>C105</f>
        <v>29333743</v>
      </c>
      <c r="D137" s="664"/>
      <c r="AR137" s="485"/>
    </row>
    <row r="138" spans="1:44" s="421" customFormat="1" ht="12.75" x14ac:dyDescent="0.2">
      <c r="A138" s="588">
        <v>2</v>
      </c>
      <c r="B138" s="669" t="s">
        <v>883</v>
      </c>
      <c r="C138" s="589">
        <v>1232722</v>
      </c>
      <c r="D138" s="664"/>
      <c r="AR138" s="485"/>
    </row>
    <row r="139" spans="1:44" s="421" customFormat="1" ht="12.75" x14ac:dyDescent="0.2">
      <c r="A139" s="588"/>
      <c r="B139" s="671" t="s">
        <v>869</v>
      </c>
      <c r="C139" s="657">
        <f>C137+C138</f>
        <v>30566465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884</v>
      </c>
      <c r="C141" s="589">
        <v>30566465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871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632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885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635</v>
      </c>
      <c r="D8" s="177" t="s">
        <v>635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886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887</v>
      </c>
      <c r="C12" s="185">
        <v>2484</v>
      </c>
      <c r="D12" s="185">
        <v>3588</v>
      </c>
      <c r="E12" s="185">
        <f>+D12-C12</f>
        <v>1104</v>
      </c>
      <c r="F12" s="77">
        <f>IF(C12=0,0,+E12/C12)</f>
        <v>0.44444444444444442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888</v>
      </c>
      <c r="C13" s="185">
        <v>2453</v>
      </c>
      <c r="D13" s="185">
        <v>3464</v>
      </c>
      <c r="E13" s="185">
        <f>+D13-C13</f>
        <v>1011</v>
      </c>
      <c r="F13" s="77">
        <f>IF(C13=0,0,+E13/C13)</f>
        <v>0.41214838972686507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889</v>
      </c>
      <c r="C15" s="76">
        <v>16060311</v>
      </c>
      <c r="D15" s="76">
        <v>14617978</v>
      </c>
      <c r="E15" s="76">
        <f>+D15-C15</f>
        <v>-1442333</v>
      </c>
      <c r="F15" s="77">
        <f>IF(C15=0,0,+E15/C15)</f>
        <v>-8.9807289535053209E-2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890</v>
      </c>
      <c r="C16" s="79">
        <f>IF(C13=0,0,+C15/+C13)</f>
        <v>6547.2119853240929</v>
      </c>
      <c r="D16" s="79">
        <f>IF(D13=0,0,+D15/+D13)</f>
        <v>4219.9705542725169</v>
      </c>
      <c r="E16" s="79">
        <f>+D16-C16</f>
        <v>-2327.241431051576</v>
      </c>
      <c r="F16" s="80">
        <f>IF(C16=0,0,+E16/C16)</f>
        <v>-0.35545533522791156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891</v>
      </c>
      <c r="C18" s="704">
        <v>0.31687399999999999</v>
      </c>
      <c r="D18" s="704">
        <v>0.31370599999999998</v>
      </c>
      <c r="E18" s="704">
        <f>+D18-C18</f>
        <v>-3.1680000000000041E-3</v>
      </c>
      <c r="F18" s="77">
        <f>IF(C18=0,0,+E18/C18)</f>
        <v>-9.9976646869102681E-3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892</v>
      </c>
      <c r="C19" s="79">
        <f>+C15*C18</f>
        <v>5089094.9878139999</v>
      </c>
      <c r="D19" s="79">
        <f>+D15*D18</f>
        <v>4585747.4064679993</v>
      </c>
      <c r="E19" s="79">
        <f>+D19-C19</f>
        <v>-503347.58134600054</v>
      </c>
      <c r="F19" s="80">
        <f>IF(C19=0,0,+E19/C19)</f>
        <v>-9.8907091054751844E-2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893</v>
      </c>
      <c r="C20" s="79">
        <f>IF(C13=0,0,+C19/C13)</f>
        <v>2074.6412506375864</v>
      </c>
      <c r="D20" s="79">
        <f>IF(D13=0,0,+D19/D13)</f>
        <v>1323.8300826986142</v>
      </c>
      <c r="E20" s="79">
        <f>+D20-C20</f>
        <v>-750.81116793897218</v>
      </c>
      <c r="F20" s="80">
        <f>IF(C20=0,0,+E20/C20)</f>
        <v>-0.3618992766620398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894</v>
      </c>
      <c r="C22" s="76">
        <v>2569650</v>
      </c>
      <c r="D22" s="76">
        <v>1447842</v>
      </c>
      <c r="E22" s="76">
        <f>+D22-C22</f>
        <v>-1121808</v>
      </c>
      <c r="F22" s="77">
        <f>IF(C22=0,0,+E22/C22)</f>
        <v>-0.43656062109625826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895</v>
      </c>
      <c r="C23" s="185">
        <v>5139299</v>
      </c>
      <c r="D23" s="185">
        <v>3792001</v>
      </c>
      <c r="E23" s="185">
        <f>+D23-C23</f>
        <v>-1347298</v>
      </c>
      <c r="F23" s="77">
        <f>IF(C23=0,0,+E23/C23)</f>
        <v>-0.26215598664331458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896</v>
      </c>
      <c r="C24" s="185">
        <v>8351362</v>
      </c>
      <c r="D24" s="185">
        <v>9378135</v>
      </c>
      <c r="E24" s="185">
        <f>+D24-C24</f>
        <v>1026773</v>
      </c>
      <c r="F24" s="77">
        <f>IF(C24=0,0,+E24/C24)</f>
        <v>0.1229467720355075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897</v>
      </c>
      <c r="C25" s="79">
        <f>+C22+C23+C24</f>
        <v>16060311</v>
      </c>
      <c r="D25" s="79">
        <f>+D22+D23+D24</f>
        <v>14617978</v>
      </c>
      <c r="E25" s="79">
        <f>+E22+E23+E24</f>
        <v>-1442333</v>
      </c>
      <c r="F25" s="80">
        <f>IF(C25=0,0,+E25/C25)</f>
        <v>-8.9807289535053209E-2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898</v>
      </c>
      <c r="C27" s="185">
        <v>1290</v>
      </c>
      <c r="D27" s="185">
        <v>799</v>
      </c>
      <c r="E27" s="185">
        <f>+D27-C27</f>
        <v>-491</v>
      </c>
      <c r="F27" s="77">
        <f>IF(C27=0,0,+E27/C27)</f>
        <v>-0.38062015503875968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899</v>
      </c>
      <c r="C28" s="185">
        <v>391</v>
      </c>
      <c r="D28" s="185">
        <v>153</v>
      </c>
      <c r="E28" s="185">
        <f>+D28-C28</f>
        <v>-238</v>
      </c>
      <c r="F28" s="77">
        <f>IF(C28=0,0,+E28/C28)</f>
        <v>-0.60869565217391308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900</v>
      </c>
      <c r="C29" s="185">
        <v>5465</v>
      </c>
      <c r="D29" s="185">
        <v>1330</v>
      </c>
      <c r="E29" s="185">
        <f>+D29-C29</f>
        <v>-4135</v>
      </c>
      <c r="F29" s="77">
        <f>IF(C29=0,0,+E29/C29)</f>
        <v>-0.75663311985361392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901</v>
      </c>
      <c r="C30" s="185">
        <v>15183</v>
      </c>
      <c r="D30" s="185">
        <v>11036</v>
      </c>
      <c r="E30" s="185">
        <f>+D30-C30</f>
        <v>-4147</v>
      </c>
      <c r="F30" s="77">
        <f>IF(C30=0,0,+E30/C30)</f>
        <v>-0.27313442666139759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902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903</v>
      </c>
      <c r="C33" s="76">
        <v>13163470</v>
      </c>
      <c r="D33" s="76">
        <v>4912791</v>
      </c>
      <c r="E33" s="76">
        <f>+D33-C33</f>
        <v>-8250679</v>
      </c>
      <c r="F33" s="77">
        <f>IF(C33=0,0,+E33/C33)</f>
        <v>-0.62678602222666213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904</v>
      </c>
      <c r="C34" s="185">
        <v>278640</v>
      </c>
      <c r="D34" s="185">
        <v>3234981</v>
      </c>
      <c r="E34" s="185">
        <f>+D34-C34</f>
        <v>2956341</v>
      </c>
      <c r="F34" s="77">
        <f>IF(C34=0,0,+E34/C34)</f>
        <v>10.609894487510767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905</v>
      </c>
      <c r="C35" s="185">
        <v>600215</v>
      </c>
      <c r="D35" s="185">
        <v>6567993</v>
      </c>
      <c r="E35" s="185">
        <f>+D35-C35</f>
        <v>5967778</v>
      </c>
      <c r="F35" s="77">
        <f>IF(C35=0,0,+E35/C35)</f>
        <v>9.942733853702423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906</v>
      </c>
      <c r="C36" s="79">
        <f>+C33+C34+C35</f>
        <v>14042325</v>
      </c>
      <c r="D36" s="79">
        <f>+D33+D34+D35</f>
        <v>14715765</v>
      </c>
      <c r="E36" s="79">
        <f>+E33+E34+E35</f>
        <v>673440</v>
      </c>
      <c r="F36" s="80">
        <f>IF(C36=0,0,+E36/C36)</f>
        <v>4.7957870224482058E-2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907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908</v>
      </c>
      <c r="C39" s="76">
        <f>+C25</f>
        <v>16060311</v>
      </c>
      <c r="D39" s="76">
        <f>+D25</f>
        <v>14617978</v>
      </c>
      <c r="E39" s="76">
        <f>+D39-C39</f>
        <v>-1442333</v>
      </c>
      <c r="F39" s="77">
        <f>IF(C39=0,0,+E39/C39)</f>
        <v>-8.9807289535053209E-2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909</v>
      </c>
      <c r="C40" s="185">
        <f>+C36</f>
        <v>14042325</v>
      </c>
      <c r="D40" s="185">
        <f>+D36</f>
        <v>14715765</v>
      </c>
      <c r="E40" s="185">
        <f>+D40-C40</f>
        <v>673440</v>
      </c>
      <c r="F40" s="77">
        <f>IF(C40=0,0,+E40/C40)</f>
        <v>4.7957870224482058E-2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910</v>
      </c>
      <c r="C41" s="79">
        <f>+C39+C40</f>
        <v>30102636</v>
      </c>
      <c r="D41" s="79">
        <f>+D39+D40</f>
        <v>29333743</v>
      </c>
      <c r="E41" s="79">
        <f>+E39+E40</f>
        <v>-768893</v>
      </c>
      <c r="F41" s="80">
        <f>IF(C41=0,0,+E41/C41)</f>
        <v>-2.5542381072541288E-2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911</v>
      </c>
      <c r="C43" s="76">
        <f t="shared" ref="C43:D45" si="0">+C22+C33</f>
        <v>15733120</v>
      </c>
      <c r="D43" s="76">
        <f t="shared" si="0"/>
        <v>6360633</v>
      </c>
      <c r="E43" s="76">
        <f>+D43-C43</f>
        <v>-9372487</v>
      </c>
      <c r="F43" s="77">
        <f>IF(C43=0,0,+E43/C43)</f>
        <v>-0.59571699701012892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912</v>
      </c>
      <c r="C44" s="185">
        <f t="shared" si="0"/>
        <v>5417939</v>
      </c>
      <c r="D44" s="185">
        <f t="shared" si="0"/>
        <v>7026982</v>
      </c>
      <c r="E44" s="185">
        <f>+D44-C44</f>
        <v>1609043</v>
      </c>
      <c r="F44" s="77">
        <f>IF(C44=0,0,+E44/C44)</f>
        <v>0.29698433297237198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913</v>
      </c>
      <c r="C45" s="185">
        <f t="shared" si="0"/>
        <v>8951577</v>
      </c>
      <c r="D45" s="185">
        <f t="shared" si="0"/>
        <v>15946128</v>
      </c>
      <c r="E45" s="185">
        <f>+D45-C45</f>
        <v>6994551</v>
      </c>
      <c r="F45" s="77">
        <f>IF(C45=0,0,+E45/C45)</f>
        <v>0.78137639881777254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910</v>
      </c>
      <c r="C46" s="79">
        <f>+C43+C44+C45</f>
        <v>30102636</v>
      </c>
      <c r="D46" s="79">
        <f>+D43+D44+D45</f>
        <v>29333743</v>
      </c>
      <c r="E46" s="79">
        <f>+E43+E44+E45</f>
        <v>-768893</v>
      </c>
      <c r="F46" s="80">
        <f>IF(C46=0,0,+E46/C46)</f>
        <v>-2.5542381072541288E-2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914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/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632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915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916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917</v>
      </c>
      <c r="D10" s="177" t="s">
        <v>917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918</v>
      </c>
      <c r="D11" s="693" t="s">
        <v>918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919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484405308</v>
      </c>
      <c r="D15" s="76">
        <v>527794479</v>
      </c>
      <c r="E15" s="76">
        <f>+D15-C15</f>
        <v>43389171</v>
      </c>
      <c r="F15" s="77">
        <f>IF(C15=0,0,E15/C15)</f>
        <v>8.9572038711020902E-2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920</v>
      </c>
      <c r="C17" s="76">
        <v>283785136</v>
      </c>
      <c r="D17" s="76">
        <v>318627059</v>
      </c>
      <c r="E17" s="76">
        <f>+D17-C17</f>
        <v>34841923</v>
      </c>
      <c r="F17" s="77">
        <f>IF(C17=0,0,E17/C17)</f>
        <v>0.12277571507480223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921</v>
      </c>
      <c r="C19" s="79">
        <f>+C15-C17</f>
        <v>200620172</v>
      </c>
      <c r="D19" s="79">
        <f>+D15-D17</f>
        <v>209167420</v>
      </c>
      <c r="E19" s="79">
        <f>+D19-C19</f>
        <v>8547248</v>
      </c>
      <c r="F19" s="80">
        <f>IF(C19=0,0,E19/C19)</f>
        <v>4.2604130555724977E-2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922</v>
      </c>
      <c r="C21" s="720">
        <f>IF(C15=0,0,C17/C15)</f>
        <v>0.58584233350308379</v>
      </c>
      <c r="D21" s="720">
        <f>IF(D15=0,0,D17/D15)</f>
        <v>0.60369532398992753</v>
      </c>
      <c r="E21" s="720">
        <f>+D21-C21</f>
        <v>1.7852990486843745E-2</v>
      </c>
      <c r="F21" s="80">
        <f>IF(C21=0,0,E21/C21)</f>
        <v>3.0474053283398937E-2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923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E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924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925</v>
      </c>
      <c r="B6" s="734" t="s">
        <v>926</v>
      </c>
      <c r="C6" s="734" t="s">
        <v>927</v>
      </c>
      <c r="D6" s="734" t="s">
        <v>928</v>
      </c>
      <c r="E6" s="734" t="s">
        <v>929</v>
      </c>
    </row>
    <row r="7" spans="1:6" ht="37.5" customHeight="1" x14ac:dyDescent="0.25">
      <c r="A7" s="735" t="s">
        <v>8</v>
      </c>
      <c r="B7" s="736" t="s">
        <v>9</v>
      </c>
      <c r="C7" s="737" t="s">
        <v>930</v>
      </c>
      <c r="D7" s="737" t="s">
        <v>931</v>
      </c>
      <c r="E7" s="737" t="s">
        <v>932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933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934</v>
      </c>
      <c r="C10" s="744">
        <v>423550235</v>
      </c>
      <c r="D10" s="744">
        <v>422498886</v>
      </c>
      <c r="E10" s="744">
        <v>434620880</v>
      </c>
    </row>
    <row r="11" spans="1:6" ht="26.1" customHeight="1" x14ac:dyDescent="0.25">
      <c r="A11" s="742">
        <v>2</v>
      </c>
      <c r="B11" s="743" t="s">
        <v>935</v>
      </c>
      <c r="C11" s="744">
        <v>521449226</v>
      </c>
      <c r="D11" s="744">
        <v>549112159</v>
      </c>
      <c r="E11" s="744">
        <v>646521658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944999461</v>
      </c>
      <c r="D12" s="744">
        <f>+D11+D10</f>
        <v>971611045</v>
      </c>
      <c r="E12" s="744">
        <f>+E11+E10</f>
        <v>1081142538</v>
      </c>
    </row>
    <row r="13" spans="1:6" ht="26.1" customHeight="1" x14ac:dyDescent="0.25">
      <c r="A13" s="742">
        <v>4</v>
      </c>
      <c r="B13" s="743" t="s">
        <v>507</v>
      </c>
      <c r="C13" s="744">
        <v>297010000</v>
      </c>
      <c r="D13" s="744">
        <v>304346000</v>
      </c>
      <c r="E13" s="744">
        <v>312982000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936</v>
      </c>
      <c r="C16" s="744">
        <v>305925000</v>
      </c>
      <c r="D16" s="744">
        <v>312559000</v>
      </c>
      <c r="E16" s="744">
        <v>311019000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937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52638</v>
      </c>
      <c r="D19" s="747">
        <v>51919</v>
      </c>
      <c r="E19" s="747">
        <v>51964</v>
      </c>
    </row>
    <row r="20" spans="1:5" ht="26.1" customHeight="1" x14ac:dyDescent="0.25">
      <c r="A20" s="742">
        <v>2</v>
      </c>
      <c r="B20" s="743" t="s">
        <v>381</v>
      </c>
      <c r="C20" s="748">
        <v>13479</v>
      </c>
      <c r="D20" s="748">
        <v>13027</v>
      </c>
      <c r="E20" s="748">
        <v>12439</v>
      </c>
    </row>
    <row r="21" spans="1:5" ht="26.1" customHeight="1" x14ac:dyDescent="0.25">
      <c r="A21" s="742">
        <v>3</v>
      </c>
      <c r="B21" s="743" t="s">
        <v>938</v>
      </c>
      <c r="C21" s="749">
        <f>IF(C20=0,0,+C19/C20)</f>
        <v>3.905185844647229</v>
      </c>
      <c r="D21" s="749">
        <f>IF(D20=0,0,+D19/D20)</f>
        <v>3.9854916711445458</v>
      </c>
      <c r="E21" s="749">
        <f>IF(E20=0,0,+E19/E20)</f>
        <v>4.1775062304043731</v>
      </c>
    </row>
    <row r="22" spans="1:5" ht="26.1" customHeight="1" x14ac:dyDescent="0.25">
      <c r="A22" s="742">
        <v>4</v>
      </c>
      <c r="B22" s="743" t="s">
        <v>939</v>
      </c>
      <c r="C22" s="748">
        <f>IF(C10=0,0,C19*(C12/C10))</f>
        <v>117442.69632648888</v>
      </c>
      <c r="D22" s="748">
        <f>IF(D10=0,0,D19*(D12/D10))</f>
        <v>119396.93929833226</v>
      </c>
      <c r="E22" s="748">
        <f>IF(E10=0,0,E19*(E12/E10))</f>
        <v>129263.21175510943</v>
      </c>
    </row>
    <row r="23" spans="1:5" ht="26.1" customHeight="1" x14ac:dyDescent="0.25">
      <c r="A23" s="742">
        <v>0</v>
      </c>
      <c r="B23" s="743" t="s">
        <v>940</v>
      </c>
      <c r="C23" s="748">
        <f>IF(C10=0,0,C20*(C12/C10))</f>
        <v>30073.52300210387</v>
      </c>
      <c r="D23" s="748">
        <f>IF(D10=0,0,D20*(D12/D10))</f>
        <v>29957.894571146873</v>
      </c>
      <c r="E23" s="748">
        <f>IF(E10=0,0,E20*(E12/E10))</f>
        <v>30942.673601374147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941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1.1277108465019658</v>
      </c>
      <c r="D26" s="750">
        <v>1.0475597297919705</v>
      </c>
      <c r="E26" s="750">
        <v>1.1096108634134576</v>
      </c>
    </row>
    <row r="27" spans="1:5" ht="26.1" customHeight="1" x14ac:dyDescent="0.25">
      <c r="A27" s="742">
        <v>2</v>
      </c>
      <c r="B27" s="743" t="s">
        <v>942</v>
      </c>
      <c r="C27" s="748">
        <f>C19*C26</f>
        <v>59360.443538170475</v>
      </c>
      <c r="D27" s="748">
        <f>D19*D26</f>
        <v>54388.253611069318</v>
      </c>
      <c r="E27" s="748">
        <f>E19*E26</f>
        <v>57659.818906416913</v>
      </c>
    </row>
    <row r="28" spans="1:5" ht="26.1" customHeight="1" x14ac:dyDescent="0.25">
      <c r="A28" s="742">
        <v>3</v>
      </c>
      <c r="B28" s="743" t="s">
        <v>943</v>
      </c>
      <c r="C28" s="748">
        <f>C20*C26</f>
        <v>15200.414499999997</v>
      </c>
      <c r="D28" s="748">
        <f>D20*D26</f>
        <v>13646.560600000001</v>
      </c>
      <c r="E28" s="748">
        <f>E20*E26</f>
        <v>13802.44953</v>
      </c>
    </row>
    <row r="29" spans="1:5" ht="26.1" customHeight="1" x14ac:dyDescent="0.25">
      <c r="A29" s="742">
        <v>4</v>
      </c>
      <c r="B29" s="743" t="s">
        <v>944</v>
      </c>
      <c r="C29" s="748">
        <f>C22*C26</f>
        <v>132441.40248981808</v>
      </c>
      <c r="D29" s="748">
        <f>D22*D26</f>
        <v>125075.42546934925</v>
      </c>
      <c r="E29" s="748">
        <f>E22*E26</f>
        <v>143431.86400318358</v>
      </c>
    </row>
    <row r="30" spans="1:5" ht="26.1" customHeight="1" x14ac:dyDescent="0.25">
      <c r="A30" s="742">
        <v>5</v>
      </c>
      <c r="B30" s="743" t="s">
        <v>945</v>
      </c>
      <c r="C30" s="748">
        <f>C23*C26</f>
        <v>33914.238081998898</v>
      </c>
      <c r="D30" s="748">
        <f>D23*D26</f>
        <v>31382.683942086958</v>
      </c>
      <c r="E30" s="748">
        <f>E23*E26</f>
        <v>34334.326771141568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946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947</v>
      </c>
      <c r="C33" s="744">
        <f>IF(C19=0,0,C12/C19)</f>
        <v>17952.799517458869</v>
      </c>
      <c r="D33" s="744">
        <f>IF(D19=0,0,D12/D19)</f>
        <v>18713.978408675051</v>
      </c>
      <c r="E33" s="744">
        <f>IF(E19=0,0,E12/E19)</f>
        <v>20805.606535293664</v>
      </c>
    </row>
    <row r="34" spans="1:5" ht="26.1" customHeight="1" x14ac:dyDescent="0.25">
      <c r="A34" s="742">
        <v>2</v>
      </c>
      <c r="B34" s="743" t="s">
        <v>948</v>
      </c>
      <c r="C34" s="744">
        <f>IF(C20=0,0,C12/C20)</f>
        <v>70109.018547369982</v>
      </c>
      <c r="D34" s="744">
        <f>IF(D20=0,0,D12/D20)</f>
        <v>74584.405081753284</v>
      </c>
      <c r="E34" s="744">
        <f>IF(E20=0,0,E12/E20)</f>
        <v>86915.550928531229</v>
      </c>
    </row>
    <row r="35" spans="1:5" ht="26.1" customHeight="1" x14ac:dyDescent="0.25">
      <c r="A35" s="742">
        <v>3</v>
      </c>
      <c r="B35" s="743" t="s">
        <v>949</v>
      </c>
      <c r="C35" s="744">
        <f>IF(C22=0,0,C12/C22)</f>
        <v>8046.4727953189713</v>
      </c>
      <c r="D35" s="744">
        <f>IF(D22=0,0,D12/D22)</f>
        <v>8137.6545388008244</v>
      </c>
      <c r="E35" s="744">
        <f>IF(E22=0,0,E12/E22)</f>
        <v>8363.8842275421448</v>
      </c>
    </row>
    <row r="36" spans="1:5" ht="26.1" customHeight="1" x14ac:dyDescent="0.25">
      <c r="A36" s="742">
        <v>4</v>
      </c>
      <c r="B36" s="743" t="s">
        <v>950</v>
      </c>
      <c r="C36" s="744">
        <f>IF(C23=0,0,C12/C23)</f>
        <v>31422.971659618666</v>
      </c>
      <c r="D36" s="744">
        <f>IF(D23=0,0,D12/D23)</f>
        <v>32432.554387042292</v>
      </c>
      <c r="E36" s="744">
        <f>IF(E23=0,0,E12/E23)</f>
        <v>34940.178470938175</v>
      </c>
    </row>
    <row r="37" spans="1:5" ht="26.1" customHeight="1" x14ac:dyDescent="0.25">
      <c r="A37" s="742">
        <v>5</v>
      </c>
      <c r="B37" s="743" t="s">
        <v>951</v>
      </c>
      <c r="C37" s="744">
        <f>IF(C29=0,0,C12/C29)</f>
        <v>7135.226924772639</v>
      </c>
      <c r="D37" s="744">
        <f>IF(D29=0,0,D12/D29)</f>
        <v>7768.2009983496009</v>
      </c>
      <c r="E37" s="744">
        <f>IF(E29=0,0,E12/E29)</f>
        <v>7537.6733441601455</v>
      </c>
    </row>
    <row r="38" spans="1:5" ht="26.1" customHeight="1" x14ac:dyDescent="0.25">
      <c r="A38" s="742">
        <v>6</v>
      </c>
      <c r="B38" s="743" t="s">
        <v>952</v>
      </c>
      <c r="C38" s="744">
        <f>IF(C30=0,0,C12/C30)</f>
        <v>27864.387184967887</v>
      </c>
      <c r="D38" s="744">
        <f>IF(D30=0,0,D12/D30)</f>
        <v>30960.10037869908</v>
      </c>
      <c r="E38" s="744">
        <f>IF(E30=0,0,E12/E30)</f>
        <v>31488.677357981978</v>
      </c>
    </row>
    <row r="39" spans="1:5" ht="26.1" customHeight="1" x14ac:dyDescent="0.25">
      <c r="A39" s="742">
        <v>7</v>
      </c>
      <c r="B39" s="743" t="s">
        <v>953</v>
      </c>
      <c r="C39" s="744">
        <f>IF(C22=0,0,C10/C22)</f>
        <v>3606.4416796301825</v>
      </c>
      <c r="D39" s="744">
        <f>IF(D22=0,0,D10/D22)</f>
        <v>3538.6073418877118</v>
      </c>
      <c r="E39" s="744">
        <f>IF(E22=0,0,E10/E22)</f>
        <v>3362.2936804587066</v>
      </c>
    </row>
    <row r="40" spans="1:5" ht="26.1" customHeight="1" x14ac:dyDescent="0.25">
      <c r="A40" s="742">
        <v>8</v>
      </c>
      <c r="B40" s="743" t="s">
        <v>954</v>
      </c>
      <c r="C40" s="744">
        <f>IF(C23=0,0,C10/C23)</f>
        <v>14083.824996837566</v>
      </c>
      <c r="D40" s="744">
        <f>IF(D23=0,0,D10/D23)</f>
        <v>14103.090088544415</v>
      </c>
      <c r="E40" s="744">
        <f>IF(E23=0,0,E10/E23)</f>
        <v>14046.002798565498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955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956</v>
      </c>
      <c r="C43" s="744">
        <f>IF(C19=0,0,C13/C19)</f>
        <v>5642.5016148029945</v>
      </c>
      <c r="D43" s="744">
        <f>IF(D19=0,0,D13/D19)</f>
        <v>5861.9387892678978</v>
      </c>
      <c r="E43" s="744">
        <f>IF(E19=0,0,E13/E19)</f>
        <v>6023.0544222923563</v>
      </c>
    </row>
    <row r="44" spans="1:5" ht="26.1" customHeight="1" x14ac:dyDescent="0.25">
      <c r="A44" s="742">
        <v>2</v>
      </c>
      <c r="B44" s="743" t="s">
        <v>957</v>
      </c>
      <c r="C44" s="744">
        <f>IF(C20=0,0,C13/C20)</f>
        <v>22035.017434527785</v>
      </c>
      <c r="D44" s="744">
        <f>IF(D20=0,0,D13/D20)</f>
        <v>23362.70822138635</v>
      </c>
      <c r="E44" s="744">
        <f>IF(E20=0,0,E13/E20)</f>
        <v>25161.347375190933</v>
      </c>
    </row>
    <row r="45" spans="1:5" ht="26.1" customHeight="1" x14ac:dyDescent="0.25">
      <c r="A45" s="742">
        <v>3</v>
      </c>
      <c r="B45" s="743" t="s">
        <v>958</v>
      </c>
      <c r="C45" s="744">
        <f>IF(C22=0,0,C13/C22)</f>
        <v>2528.9780402718002</v>
      </c>
      <c r="D45" s="744">
        <f>IF(D22=0,0,D13/D22)</f>
        <v>2549.0268158343915</v>
      </c>
      <c r="E45" s="744">
        <f>IF(E22=0,0,E13/E22)</f>
        <v>2421.2766784175828</v>
      </c>
    </row>
    <row r="46" spans="1:5" ht="26.1" customHeight="1" x14ac:dyDescent="0.25">
      <c r="A46" s="742">
        <v>4</v>
      </c>
      <c r="B46" s="743" t="s">
        <v>959</v>
      </c>
      <c r="C46" s="744">
        <f>IF(C23=0,0,C13/C23)</f>
        <v>9876.1292442931244</v>
      </c>
      <c r="D46" s="744">
        <f>IF(D23=0,0,D13/D23)</f>
        <v>10159.125144032068</v>
      </c>
      <c r="E46" s="744">
        <f>IF(E23=0,0,E13/E23)</f>
        <v>10114.898409622259</v>
      </c>
    </row>
    <row r="47" spans="1:5" ht="26.1" customHeight="1" x14ac:dyDescent="0.25">
      <c r="A47" s="742">
        <v>5</v>
      </c>
      <c r="B47" s="743" t="s">
        <v>960</v>
      </c>
      <c r="C47" s="744">
        <f>IF(C29=0,0,C13/C29)</f>
        <v>2242.5766747889411</v>
      </c>
      <c r="D47" s="744">
        <f>IF(D29=0,0,D13/D29)</f>
        <v>2433.2997378016712</v>
      </c>
      <c r="E47" s="744">
        <f>IF(E29=0,0,E13/E29)</f>
        <v>2182.0953257154429</v>
      </c>
    </row>
    <row r="48" spans="1:5" ht="26.1" customHeight="1" x14ac:dyDescent="0.25">
      <c r="A48" s="742">
        <v>6</v>
      </c>
      <c r="B48" s="743" t="s">
        <v>961</v>
      </c>
      <c r="C48" s="744">
        <f>IF(C30=0,0,C13/C30)</f>
        <v>8757.6786859218246</v>
      </c>
      <c r="D48" s="744">
        <f>IF(D30=0,0,D13/D30)</f>
        <v>9697.8958384067682</v>
      </c>
      <c r="E48" s="744">
        <f>IF(E30=0,0,E13/E30)</f>
        <v>9115.7168185125247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962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963</v>
      </c>
      <c r="C51" s="744">
        <f>IF(C19=0,0,C16/C19)</f>
        <v>5811.8659523538126</v>
      </c>
      <c r="D51" s="744">
        <f>IF(D19=0,0,D16/D19)</f>
        <v>6020.1275063079029</v>
      </c>
      <c r="E51" s="744">
        <f>IF(E19=0,0,E16/E19)</f>
        <v>5985.2782695712413</v>
      </c>
    </row>
    <row r="52" spans="1:6" ht="26.1" customHeight="1" x14ac:dyDescent="0.25">
      <c r="A52" s="742">
        <v>2</v>
      </c>
      <c r="B52" s="743" t="s">
        <v>964</v>
      </c>
      <c r="C52" s="744">
        <f>IF(C20=0,0,C16/C20)</f>
        <v>22696.416648119295</v>
      </c>
      <c r="D52" s="744">
        <f>IF(D20=0,0,D16/D20)</f>
        <v>23993.168035618331</v>
      </c>
      <c r="E52" s="744">
        <f>IF(E20=0,0,E16/E20)</f>
        <v>25003.53726183777</v>
      </c>
    </row>
    <row r="53" spans="1:6" ht="26.1" customHeight="1" x14ac:dyDescent="0.25">
      <c r="A53" s="742">
        <v>3</v>
      </c>
      <c r="B53" s="743" t="s">
        <v>965</v>
      </c>
      <c r="C53" s="744">
        <f>IF(C22=0,0,C16/C22)</f>
        <v>2604.8874009971064</v>
      </c>
      <c r="D53" s="744">
        <f>IF(D22=0,0,D16/D22)</f>
        <v>2617.8141737705819</v>
      </c>
      <c r="E53" s="744">
        <f>IF(E22=0,0,E16/E22)</f>
        <v>2406.0906098266296</v>
      </c>
    </row>
    <row r="54" spans="1:6" ht="26.1" customHeight="1" x14ac:dyDescent="0.25">
      <c r="A54" s="742">
        <v>4</v>
      </c>
      <c r="B54" s="743" t="s">
        <v>966</v>
      </c>
      <c r="C54" s="744">
        <f>IF(C23=0,0,C16/C23)</f>
        <v>10172.569405273809</v>
      </c>
      <c r="D54" s="744">
        <f>IF(D23=0,0,D16/D23)</f>
        <v>10433.276586166794</v>
      </c>
      <c r="E54" s="744">
        <f>IF(E23=0,0,E16/E23)</f>
        <v>10051.458513468204</v>
      </c>
    </row>
    <row r="55" spans="1:6" ht="26.1" customHeight="1" x14ac:dyDescent="0.25">
      <c r="A55" s="742">
        <v>5</v>
      </c>
      <c r="B55" s="743" t="s">
        <v>967</v>
      </c>
      <c r="C55" s="744">
        <f>IF(C29=0,0,C16/C29)</f>
        <v>2309.8894624248569</v>
      </c>
      <c r="D55" s="744">
        <f>IF(D29=0,0,D16/D29)</f>
        <v>2498.9641156695093</v>
      </c>
      <c r="E55" s="744">
        <f>IF(E29=0,0,E16/E29)</f>
        <v>2168.4093849125234</v>
      </c>
    </row>
    <row r="56" spans="1:6" ht="26.1" customHeight="1" x14ac:dyDescent="0.25">
      <c r="A56" s="742">
        <v>6</v>
      </c>
      <c r="B56" s="743" t="s">
        <v>968</v>
      </c>
      <c r="C56" s="744">
        <f>IF(C30=0,0,C16/C30)</f>
        <v>9020.547631361349</v>
      </c>
      <c r="D56" s="744">
        <f>IF(D30=0,0,D16/D30)</f>
        <v>9959.6006694899261</v>
      </c>
      <c r="E56" s="744">
        <f>IF(E30=0,0,E16/E30)</f>
        <v>9058.5437155393811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969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970</v>
      </c>
      <c r="C59" s="752">
        <v>31538096</v>
      </c>
      <c r="D59" s="752">
        <v>38516535</v>
      </c>
      <c r="E59" s="752">
        <v>39074720</v>
      </c>
    </row>
    <row r="60" spans="1:6" ht="26.1" customHeight="1" x14ac:dyDescent="0.25">
      <c r="A60" s="742">
        <v>2</v>
      </c>
      <c r="B60" s="743" t="s">
        <v>971</v>
      </c>
      <c r="C60" s="752">
        <v>8830667</v>
      </c>
      <c r="D60" s="752">
        <v>11554960</v>
      </c>
      <c r="E60" s="752">
        <v>14296983</v>
      </c>
    </row>
    <row r="61" spans="1:6" ht="26.1" customHeight="1" x14ac:dyDescent="0.25">
      <c r="A61" s="753">
        <v>3</v>
      </c>
      <c r="B61" s="754" t="s">
        <v>972</v>
      </c>
      <c r="C61" s="755">
        <f>C59+C60</f>
        <v>40368763</v>
      </c>
      <c r="D61" s="755">
        <f>D59+D60</f>
        <v>50071495</v>
      </c>
      <c r="E61" s="755">
        <f>E59+E60</f>
        <v>53371703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973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974</v>
      </c>
      <c r="C64" s="744">
        <v>17349745</v>
      </c>
      <c r="D64" s="744">
        <v>9013899</v>
      </c>
      <c r="E64" s="752">
        <v>6590578</v>
      </c>
      <c r="F64" s="756"/>
    </row>
    <row r="65" spans="1:6" ht="26.1" customHeight="1" x14ac:dyDescent="0.25">
      <c r="A65" s="742">
        <v>2</v>
      </c>
      <c r="B65" s="743" t="s">
        <v>975</v>
      </c>
      <c r="C65" s="752">
        <v>4857929</v>
      </c>
      <c r="D65" s="752">
        <v>2704170</v>
      </c>
      <c r="E65" s="752">
        <v>2450740</v>
      </c>
      <c r="F65" s="756"/>
    </row>
    <row r="66" spans="1:6" ht="26.1" customHeight="1" x14ac:dyDescent="0.25">
      <c r="A66" s="753">
        <v>3</v>
      </c>
      <c r="B66" s="754" t="s">
        <v>976</v>
      </c>
      <c r="C66" s="757">
        <f>C64+C65</f>
        <v>22207674</v>
      </c>
      <c r="D66" s="757">
        <f>D64+D65</f>
        <v>11718069</v>
      </c>
      <c r="E66" s="757">
        <f>E64+E65</f>
        <v>9041318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977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978</v>
      </c>
      <c r="C69" s="752">
        <v>77070980</v>
      </c>
      <c r="D69" s="752">
        <v>67271694</v>
      </c>
      <c r="E69" s="752">
        <v>65784702</v>
      </c>
    </row>
    <row r="70" spans="1:6" ht="26.1" customHeight="1" x14ac:dyDescent="0.25">
      <c r="A70" s="742">
        <v>2</v>
      </c>
      <c r="B70" s="743" t="s">
        <v>979</v>
      </c>
      <c r="C70" s="752">
        <v>24661908</v>
      </c>
      <c r="D70" s="752">
        <v>24163937</v>
      </c>
      <c r="E70" s="752">
        <v>24098277</v>
      </c>
    </row>
    <row r="71" spans="1:6" ht="26.1" customHeight="1" x14ac:dyDescent="0.25">
      <c r="A71" s="753">
        <v>3</v>
      </c>
      <c r="B71" s="754" t="s">
        <v>980</v>
      </c>
      <c r="C71" s="755">
        <f>C69+C70</f>
        <v>101732888</v>
      </c>
      <c r="D71" s="755">
        <f>D69+D70</f>
        <v>91435631</v>
      </c>
      <c r="E71" s="755">
        <f>E69+E70</f>
        <v>89882979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981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982</v>
      </c>
      <c r="C75" s="744">
        <f t="shared" ref="C75:E76" si="0">+C59+C64+C69</f>
        <v>125958821</v>
      </c>
      <c r="D75" s="744">
        <f t="shared" si="0"/>
        <v>114802128</v>
      </c>
      <c r="E75" s="744">
        <f t="shared" si="0"/>
        <v>111450000</v>
      </c>
    </row>
    <row r="76" spans="1:6" ht="26.1" customHeight="1" x14ac:dyDescent="0.25">
      <c r="A76" s="742">
        <v>2</v>
      </c>
      <c r="B76" s="743" t="s">
        <v>983</v>
      </c>
      <c r="C76" s="744">
        <f t="shared" si="0"/>
        <v>38350504</v>
      </c>
      <c r="D76" s="744">
        <f t="shared" si="0"/>
        <v>38423067</v>
      </c>
      <c r="E76" s="744">
        <f t="shared" si="0"/>
        <v>40846000</v>
      </c>
    </row>
    <row r="77" spans="1:6" ht="26.1" customHeight="1" x14ac:dyDescent="0.25">
      <c r="A77" s="753">
        <v>3</v>
      </c>
      <c r="B77" s="754" t="s">
        <v>981</v>
      </c>
      <c r="C77" s="757">
        <f>C75+C76</f>
        <v>164309325</v>
      </c>
      <c r="D77" s="757">
        <f>D75+D76</f>
        <v>153225195</v>
      </c>
      <c r="E77" s="757">
        <f>E75+E76</f>
        <v>152296000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984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361.7</v>
      </c>
      <c r="D80" s="749">
        <v>430.3</v>
      </c>
      <c r="E80" s="749">
        <v>361.4</v>
      </c>
    </row>
    <row r="81" spans="1:5" ht="26.1" customHeight="1" x14ac:dyDescent="0.25">
      <c r="A81" s="742">
        <v>2</v>
      </c>
      <c r="B81" s="743" t="s">
        <v>617</v>
      </c>
      <c r="C81" s="749">
        <v>61.7</v>
      </c>
      <c r="D81" s="749">
        <v>47.3</v>
      </c>
      <c r="E81" s="749">
        <v>33.5</v>
      </c>
    </row>
    <row r="82" spans="1:5" ht="26.1" customHeight="1" x14ac:dyDescent="0.25">
      <c r="A82" s="742">
        <v>3</v>
      </c>
      <c r="B82" s="743" t="s">
        <v>985</v>
      </c>
      <c r="C82" s="749">
        <v>1189.5999999999999</v>
      </c>
      <c r="D82" s="749">
        <v>1011.7</v>
      </c>
      <c r="E82" s="749">
        <v>1070.2</v>
      </c>
    </row>
    <row r="83" spans="1:5" ht="26.1" customHeight="1" x14ac:dyDescent="0.25">
      <c r="A83" s="753">
        <v>4</v>
      </c>
      <c r="B83" s="754" t="s">
        <v>984</v>
      </c>
      <c r="C83" s="759">
        <f>C80+C81+C82</f>
        <v>1613</v>
      </c>
      <c r="D83" s="759">
        <f>D80+D81+D82</f>
        <v>1489.3000000000002</v>
      </c>
      <c r="E83" s="759">
        <f>E80+E81+E82</f>
        <v>1465.1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986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987</v>
      </c>
      <c r="C86" s="752">
        <f>IF(C80=0,0,C59/C80)</f>
        <v>87194.072435720213</v>
      </c>
      <c r="D86" s="752">
        <f>IF(D80=0,0,D59/D80)</f>
        <v>89510.887752730647</v>
      </c>
      <c r="E86" s="752">
        <f>IF(E80=0,0,E59/E80)</f>
        <v>108120.42058660764</v>
      </c>
    </row>
    <row r="87" spans="1:5" ht="26.1" customHeight="1" x14ac:dyDescent="0.25">
      <c r="A87" s="742">
        <v>2</v>
      </c>
      <c r="B87" s="743" t="s">
        <v>988</v>
      </c>
      <c r="C87" s="752">
        <f>IF(C80=0,0,C60/C80)</f>
        <v>24414.340613768316</v>
      </c>
      <c r="D87" s="752">
        <f>IF(D80=0,0,D60/D80)</f>
        <v>26853.26516383918</v>
      </c>
      <c r="E87" s="752">
        <f>IF(E80=0,0,E60/E80)</f>
        <v>39559.997232982845</v>
      </c>
    </row>
    <row r="88" spans="1:5" ht="26.1" customHeight="1" x14ac:dyDescent="0.25">
      <c r="A88" s="753">
        <v>3</v>
      </c>
      <c r="B88" s="754" t="s">
        <v>989</v>
      </c>
      <c r="C88" s="755">
        <f>+C86+C87</f>
        <v>111608.41304948853</v>
      </c>
      <c r="D88" s="755">
        <f>+D86+D87</f>
        <v>116364.15291656983</v>
      </c>
      <c r="E88" s="755">
        <f>+E86+E87</f>
        <v>147680.41781959048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990</v>
      </c>
    </row>
    <row r="91" spans="1:5" ht="26.1" customHeight="1" x14ac:dyDescent="0.25">
      <c r="A91" s="742">
        <v>1</v>
      </c>
      <c r="B91" s="743" t="s">
        <v>991</v>
      </c>
      <c r="C91" s="744">
        <f>IF(C81=0,0,C64/C81)</f>
        <v>281195.21880064829</v>
      </c>
      <c r="D91" s="744">
        <f>IF(D81=0,0,D64/D81)</f>
        <v>190568.68921775901</v>
      </c>
      <c r="E91" s="744">
        <f>IF(E81=0,0,E64/E81)</f>
        <v>196733.67164179104</v>
      </c>
    </row>
    <row r="92" spans="1:5" ht="26.1" customHeight="1" x14ac:dyDescent="0.25">
      <c r="A92" s="742">
        <v>2</v>
      </c>
      <c r="B92" s="743" t="s">
        <v>992</v>
      </c>
      <c r="C92" s="744">
        <f>IF(C81=0,0,C65/C81)</f>
        <v>78734.667747163694</v>
      </c>
      <c r="D92" s="744">
        <f>IF(D81=0,0,D65/D81)</f>
        <v>57170.613107822413</v>
      </c>
      <c r="E92" s="744">
        <f>IF(E81=0,0,E65/E81)</f>
        <v>73156.417910447766</v>
      </c>
    </row>
    <row r="93" spans="1:5" ht="26.1" customHeight="1" x14ac:dyDescent="0.25">
      <c r="A93" s="753">
        <v>3</v>
      </c>
      <c r="B93" s="754" t="s">
        <v>993</v>
      </c>
      <c r="C93" s="757">
        <f>+C91+C92</f>
        <v>359929.88654781197</v>
      </c>
      <c r="D93" s="757">
        <f>+D91+D92</f>
        <v>247739.30232558143</v>
      </c>
      <c r="E93" s="757">
        <f>+E91+E92</f>
        <v>269890.08955223882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994</v>
      </c>
      <c r="B95" s="745" t="s">
        <v>995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996</v>
      </c>
      <c r="C96" s="752">
        <f>IF(C82=0,0,C69/C82)</f>
        <v>64787.306657700072</v>
      </c>
      <c r="D96" s="752">
        <f>IF(D82=0,0,D69/D82)</f>
        <v>66493.717505189285</v>
      </c>
      <c r="E96" s="752">
        <f>IF(E82=0,0,E69/E82)</f>
        <v>61469.540272846192</v>
      </c>
    </row>
    <row r="97" spans="1:5" ht="26.1" customHeight="1" x14ac:dyDescent="0.25">
      <c r="A97" s="742">
        <v>2</v>
      </c>
      <c r="B97" s="743" t="s">
        <v>997</v>
      </c>
      <c r="C97" s="752">
        <f>IF(C82=0,0,C70/C82)</f>
        <v>20731.260928043041</v>
      </c>
      <c r="D97" s="752">
        <f>IF(D82=0,0,D70/D82)</f>
        <v>23884.488484728674</v>
      </c>
      <c r="E97" s="752">
        <f>IF(E82=0,0,E70/E82)</f>
        <v>22517.54531863203</v>
      </c>
    </row>
    <row r="98" spans="1:5" ht="26.1" customHeight="1" x14ac:dyDescent="0.25">
      <c r="A98" s="753">
        <v>3</v>
      </c>
      <c r="B98" s="754" t="s">
        <v>998</v>
      </c>
      <c r="C98" s="757">
        <f>+C96+C97</f>
        <v>85518.56758574312</v>
      </c>
      <c r="D98" s="757">
        <f>+D96+D97</f>
        <v>90378.205989917959</v>
      </c>
      <c r="E98" s="757">
        <f>+E96+E97</f>
        <v>83987.085591478215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999</v>
      </c>
      <c r="B100" s="745" t="s">
        <v>1000</v>
      </c>
    </row>
    <row r="101" spans="1:5" ht="26.1" customHeight="1" x14ac:dyDescent="0.25">
      <c r="A101" s="742">
        <v>1</v>
      </c>
      <c r="B101" s="743" t="s">
        <v>1001</v>
      </c>
      <c r="C101" s="744">
        <f>IF(C83=0,0,C75/C83)</f>
        <v>78089.783632982027</v>
      </c>
      <c r="D101" s="744">
        <f>IF(D83=0,0,D75/D83)</f>
        <v>77084.622305781231</v>
      </c>
      <c r="E101" s="744">
        <f>IF(E83=0,0,E75/E83)</f>
        <v>76069.892840079177</v>
      </c>
    </row>
    <row r="102" spans="1:5" ht="26.1" customHeight="1" x14ac:dyDescent="0.25">
      <c r="A102" s="742">
        <v>2</v>
      </c>
      <c r="B102" s="743" t="s">
        <v>1002</v>
      </c>
      <c r="C102" s="761">
        <f>IF(C83=0,0,C76/C83)</f>
        <v>23775.885926844388</v>
      </c>
      <c r="D102" s="761">
        <f>IF(D83=0,0,D76/D83)</f>
        <v>25799.413818572481</v>
      </c>
      <c r="E102" s="761">
        <f>IF(E83=0,0,E76/E83)</f>
        <v>27879.325643300799</v>
      </c>
    </row>
    <row r="103" spans="1:5" ht="26.1" customHeight="1" x14ac:dyDescent="0.25">
      <c r="A103" s="753">
        <v>3</v>
      </c>
      <c r="B103" s="754" t="s">
        <v>1000</v>
      </c>
      <c r="C103" s="757">
        <f>+C101+C102</f>
        <v>101865.66955982642</v>
      </c>
      <c r="D103" s="757">
        <f>+D101+D102</f>
        <v>102884.0361243537</v>
      </c>
      <c r="E103" s="757">
        <f>+E101+E102</f>
        <v>103949.21848337998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1003</v>
      </c>
      <c r="B107" s="736" t="s">
        <v>1004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1005</v>
      </c>
      <c r="C108" s="744">
        <f>IF(C19=0,0,C77/C19)</f>
        <v>3121.4963524450018</v>
      </c>
      <c r="D108" s="744">
        <f>IF(D19=0,0,D77/D19)</f>
        <v>2951.2354821934168</v>
      </c>
      <c r="E108" s="744">
        <f>IF(E19=0,0,E77/E19)</f>
        <v>2930.7982449388037</v>
      </c>
    </row>
    <row r="109" spans="1:5" ht="26.1" customHeight="1" x14ac:dyDescent="0.25">
      <c r="A109" s="742">
        <v>2</v>
      </c>
      <c r="B109" s="743" t="s">
        <v>1006</v>
      </c>
      <c r="C109" s="744">
        <f>IF(C20=0,0,C77/C20)</f>
        <v>12190.023369686178</v>
      </c>
      <c r="D109" s="744">
        <f>IF(D20=0,0,D77/D20)</f>
        <v>11762.124433868121</v>
      </c>
      <c r="E109" s="744">
        <f>IF(E20=0,0,E77/E20)</f>
        <v>12243.427928290055</v>
      </c>
    </row>
    <row r="110" spans="1:5" ht="26.1" customHeight="1" x14ac:dyDescent="0.25">
      <c r="A110" s="742">
        <v>3</v>
      </c>
      <c r="B110" s="743" t="s">
        <v>1007</v>
      </c>
      <c r="C110" s="744">
        <f>IF(C22=0,0,C77/C22)</f>
        <v>1399.0595425638273</v>
      </c>
      <c r="D110" s="744">
        <f>IF(D22=0,0,D77/D22)</f>
        <v>1283.3259872528429</v>
      </c>
      <c r="E110" s="744">
        <f>IF(E22=0,0,E77/E22)</f>
        <v>1178.1851768353586</v>
      </c>
    </row>
    <row r="111" spans="1:5" ht="26.1" customHeight="1" x14ac:dyDescent="0.25">
      <c r="A111" s="742">
        <v>4</v>
      </c>
      <c r="B111" s="743" t="s">
        <v>1008</v>
      </c>
      <c r="C111" s="744">
        <f>IF(C23=0,0,C77/C23)</f>
        <v>5463.5875214388861</v>
      </c>
      <c r="D111" s="744">
        <f>IF(D23=0,0,D77/D23)</f>
        <v>5114.6850335595564</v>
      </c>
      <c r="E111" s="744">
        <f>IF(E23=0,0,E77/E23)</f>
        <v>4921.8759167997887</v>
      </c>
    </row>
    <row r="112" spans="1:5" ht="26.1" customHeight="1" x14ac:dyDescent="0.25">
      <c r="A112" s="742">
        <v>5</v>
      </c>
      <c r="B112" s="743" t="s">
        <v>1009</v>
      </c>
      <c r="C112" s="744">
        <f>IF(C29=0,0,C77/C29)</f>
        <v>1240.6190353702414</v>
      </c>
      <c r="D112" s="744">
        <f>IF(D29=0,0,D77/D29)</f>
        <v>1225.0623527764778</v>
      </c>
      <c r="E112" s="744">
        <f>IF(E29=0,0,E77/E29)</f>
        <v>1061.8003262972284</v>
      </c>
    </row>
    <row r="113" spans="1:7" ht="25.5" customHeight="1" x14ac:dyDescent="0.25">
      <c r="A113" s="742">
        <v>6</v>
      </c>
      <c r="B113" s="743" t="s">
        <v>1010</v>
      </c>
      <c r="C113" s="744">
        <f>IF(C30=0,0,C77/C30)</f>
        <v>4844.8478955277669</v>
      </c>
      <c r="D113" s="744">
        <f>IF(D30=0,0,D77/D30)</f>
        <v>4882.4758036233943</v>
      </c>
      <c r="E113" s="744">
        <f>IF(E30=0,0,E77/E30)</f>
        <v>4435.6774785520684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971611000</v>
      </c>
      <c r="D12" s="76">
        <v>1081143000</v>
      </c>
      <c r="E12" s="76">
        <f t="shared" ref="E12:E21" si="0">D12-C12</f>
        <v>109532000</v>
      </c>
      <c r="F12" s="77">
        <f t="shared" ref="F12:F21" si="1">IF(C12=0,0,E12/C12)</f>
        <v>0.11273235893788769</v>
      </c>
    </row>
    <row r="13" spans="1:8" ht="23.1" customHeight="1" x14ac:dyDescent="0.2">
      <c r="A13" s="74">
        <v>2</v>
      </c>
      <c r="B13" s="75" t="s">
        <v>72</v>
      </c>
      <c r="C13" s="76">
        <v>623587000</v>
      </c>
      <c r="D13" s="76">
        <v>715144000</v>
      </c>
      <c r="E13" s="76">
        <f t="shared" si="0"/>
        <v>91557000</v>
      </c>
      <c r="F13" s="77">
        <f t="shared" si="1"/>
        <v>0.14682313774982481</v>
      </c>
    </row>
    <row r="14" spans="1:8" ht="23.1" customHeight="1" x14ac:dyDescent="0.2">
      <c r="A14" s="74">
        <v>3</v>
      </c>
      <c r="B14" s="75" t="s">
        <v>73</v>
      </c>
      <c r="C14" s="76">
        <v>21876000</v>
      </c>
      <c r="D14" s="76">
        <v>15851000</v>
      </c>
      <c r="E14" s="76">
        <f t="shared" si="0"/>
        <v>-6025000</v>
      </c>
      <c r="F14" s="77">
        <f t="shared" si="1"/>
        <v>-0.27541598098372644</v>
      </c>
    </row>
    <row r="15" spans="1:8" ht="23.1" customHeight="1" x14ac:dyDescent="0.2">
      <c r="A15" s="74">
        <v>4</v>
      </c>
      <c r="B15" s="75" t="s">
        <v>74</v>
      </c>
      <c r="C15" s="76">
        <v>21802000</v>
      </c>
      <c r="D15" s="76">
        <v>22450000</v>
      </c>
      <c r="E15" s="76">
        <f t="shared" si="0"/>
        <v>648000</v>
      </c>
      <c r="F15" s="77">
        <f t="shared" si="1"/>
        <v>2.9722043849188147E-2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304346000</v>
      </c>
      <c r="D16" s="79">
        <f>D12-D13-D14-D15</f>
        <v>327698000</v>
      </c>
      <c r="E16" s="79">
        <f t="shared" si="0"/>
        <v>23352000</v>
      </c>
      <c r="F16" s="80">
        <f t="shared" si="1"/>
        <v>7.6728460370762225E-2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14716000</v>
      </c>
      <c r="E17" s="76">
        <f t="shared" si="0"/>
        <v>14716000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304346000</v>
      </c>
      <c r="D18" s="79">
        <f>D16-D17</f>
        <v>312982000</v>
      </c>
      <c r="E18" s="79">
        <f t="shared" si="0"/>
        <v>8636000</v>
      </c>
      <c r="F18" s="80">
        <f t="shared" si="1"/>
        <v>2.8375598825021522E-2</v>
      </c>
    </row>
    <row r="19" spans="1:7" ht="23.1" customHeight="1" x14ac:dyDescent="0.2">
      <c r="A19" s="74">
        <v>6</v>
      </c>
      <c r="B19" s="75" t="s">
        <v>78</v>
      </c>
      <c r="C19" s="76">
        <v>16382000</v>
      </c>
      <c r="D19" s="76">
        <v>16176000</v>
      </c>
      <c r="E19" s="76">
        <f t="shared" si="0"/>
        <v>-206000</v>
      </c>
      <c r="F19" s="77">
        <f t="shared" si="1"/>
        <v>-1.2574777194481749E-2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3760000</v>
      </c>
      <c r="D20" s="76">
        <v>3621000</v>
      </c>
      <c r="E20" s="76">
        <f t="shared" si="0"/>
        <v>-139000</v>
      </c>
      <c r="F20" s="77">
        <f t="shared" si="1"/>
        <v>-3.6968085106382977E-2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324488000</v>
      </c>
      <c r="D21" s="79">
        <f>SUM(D18:D20)</f>
        <v>332779000</v>
      </c>
      <c r="E21" s="79">
        <f t="shared" si="0"/>
        <v>8291000</v>
      </c>
      <c r="F21" s="80">
        <f t="shared" si="1"/>
        <v>2.5551021917605582E-2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114802128</v>
      </c>
      <c r="D24" s="76">
        <v>111450000</v>
      </c>
      <c r="E24" s="76">
        <f t="shared" ref="E24:E33" si="2">D24-C24</f>
        <v>-3352128</v>
      </c>
      <c r="F24" s="77">
        <f t="shared" ref="F24:F33" si="3">IF(C24=0,0,E24/C24)</f>
        <v>-2.9199180001262693E-2</v>
      </c>
    </row>
    <row r="25" spans="1:7" ht="23.1" customHeight="1" x14ac:dyDescent="0.2">
      <c r="A25" s="74">
        <v>2</v>
      </c>
      <c r="B25" s="75" t="s">
        <v>83</v>
      </c>
      <c r="C25" s="76">
        <v>38423067</v>
      </c>
      <c r="D25" s="76">
        <v>40846000</v>
      </c>
      <c r="E25" s="76">
        <f t="shared" si="2"/>
        <v>2422933</v>
      </c>
      <c r="F25" s="77">
        <f t="shared" si="3"/>
        <v>6.305933360291098E-2</v>
      </c>
    </row>
    <row r="26" spans="1:7" ht="23.1" customHeight="1" x14ac:dyDescent="0.2">
      <c r="A26" s="74">
        <v>3</v>
      </c>
      <c r="B26" s="75" t="s">
        <v>84</v>
      </c>
      <c r="C26" s="76">
        <v>8372980</v>
      </c>
      <c r="D26" s="76">
        <v>8762000</v>
      </c>
      <c r="E26" s="76">
        <f t="shared" si="2"/>
        <v>389020</v>
      </c>
      <c r="F26" s="77">
        <f t="shared" si="3"/>
        <v>4.646135545528593E-2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38635786</v>
      </c>
      <c r="D27" s="76">
        <v>44914321</v>
      </c>
      <c r="E27" s="76">
        <f t="shared" si="2"/>
        <v>6278535</v>
      </c>
      <c r="F27" s="77">
        <f t="shared" si="3"/>
        <v>0.16250568837916227</v>
      </c>
    </row>
    <row r="28" spans="1:7" ht="23.1" customHeight="1" x14ac:dyDescent="0.2">
      <c r="A28" s="74">
        <v>5</v>
      </c>
      <c r="B28" s="75" t="s">
        <v>86</v>
      </c>
      <c r="C28" s="76">
        <v>18406037</v>
      </c>
      <c r="D28" s="76">
        <v>21233000</v>
      </c>
      <c r="E28" s="76">
        <f t="shared" si="2"/>
        <v>2826963</v>
      </c>
      <c r="F28" s="77">
        <f t="shared" si="3"/>
        <v>0.15358890129363534</v>
      </c>
    </row>
    <row r="29" spans="1:7" ht="23.1" customHeight="1" x14ac:dyDescent="0.2">
      <c r="A29" s="74">
        <v>6</v>
      </c>
      <c r="B29" s="75" t="s">
        <v>87</v>
      </c>
      <c r="C29" s="76">
        <v>14042325</v>
      </c>
      <c r="D29" s="76">
        <v>0</v>
      </c>
      <c r="E29" s="76">
        <f t="shared" si="2"/>
        <v>-14042325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357587</v>
      </c>
      <c r="D30" s="76">
        <v>469000</v>
      </c>
      <c r="E30" s="76">
        <f t="shared" si="2"/>
        <v>111413</v>
      </c>
      <c r="F30" s="77">
        <f t="shared" si="3"/>
        <v>0.31156893287507653</v>
      </c>
    </row>
    <row r="31" spans="1:7" ht="23.1" customHeight="1" x14ac:dyDescent="0.2">
      <c r="A31" s="74">
        <v>8</v>
      </c>
      <c r="B31" s="75" t="s">
        <v>89</v>
      </c>
      <c r="C31" s="76">
        <v>-1785660</v>
      </c>
      <c r="D31" s="76">
        <v>-981253</v>
      </c>
      <c r="E31" s="76">
        <f t="shared" si="2"/>
        <v>804407</v>
      </c>
      <c r="F31" s="77">
        <f t="shared" si="3"/>
        <v>-0.4504816146410851</v>
      </c>
    </row>
    <row r="32" spans="1:7" ht="23.1" customHeight="1" x14ac:dyDescent="0.2">
      <c r="A32" s="74">
        <v>9</v>
      </c>
      <c r="B32" s="75" t="s">
        <v>90</v>
      </c>
      <c r="C32" s="76">
        <v>81304750</v>
      </c>
      <c r="D32" s="76">
        <v>84325932</v>
      </c>
      <c r="E32" s="76">
        <f t="shared" si="2"/>
        <v>3021182</v>
      </c>
      <c r="F32" s="77">
        <f t="shared" si="3"/>
        <v>3.7158739188054818E-2</v>
      </c>
    </row>
    <row r="33" spans="1:6" ht="23.1" customHeight="1" x14ac:dyDescent="0.25">
      <c r="A33" s="71"/>
      <c r="B33" s="78" t="s">
        <v>91</v>
      </c>
      <c r="C33" s="79">
        <f>SUM(C24:C32)</f>
        <v>312559000</v>
      </c>
      <c r="D33" s="79">
        <f>SUM(D24:D32)</f>
        <v>311019000</v>
      </c>
      <c r="E33" s="79">
        <f t="shared" si="2"/>
        <v>-1540000</v>
      </c>
      <c r="F33" s="80">
        <f t="shared" si="3"/>
        <v>-4.9270697692275697E-3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11929000</v>
      </c>
      <c r="D35" s="79">
        <f>+D21-D33</f>
        <v>21760000</v>
      </c>
      <c r="E35" s="79">
        <f>D35-C35</f>
        <v>9831000</v>
      </c>
      <c r="F35" s="80">
        <f>IF(C35=0,0,E35/C35)</f>
        <v>0.82412607930254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237000</v>
      </c>
      <c r="D38" s="76">
        <v>304000</v>
      </c>
      <c r="E38" s="76">
        <f>D38-C38</f>
        <v>67000</v>
      </c>
      <c r="F38" s="77">
        <f>IF(C38=0,0,E38/C38)</f>
        <v>0.28270042194092826</v>
      </c>
    </row>
    <row r="39" spans="1:6" ht="23.1" customHeight="1" x14ac:dyDescent="0.2">
      <c r="A39" s="85">
        <v>2</v>
      </c>
      <c r="B39" s="75" t="s">
        <v>95</v>
      </c>
      <c r="C39" s="76">
        <v>1780000</v>
      </c>
      <c r="D39" s="76">
        <v>3284000</v>
      </c>
      <c r="E39" s="76">
        <f>D39-C39</f>
        <v>1504000</v>
      </c>
      <c r="F39" s="77">
        <f>IF(C39=0,0,E39/C39)</f>
        <v>0.84494382022471914</v>
      </c>
    </row>
    <row r="40" spans="1:6" ht="23.1" customHeight="1" x14ac:dyDescent="0.2">
      <c r="A40" s="85">
        <v>3</v>
      </c>
      <c r="B40" s="75" t="s">
        <v>96</v>
      </c>
      <c r="C40" s="76">
        <v>-4240000</v>
      </c>
      <c r="D40" s="76">
        <v>-3448000</v>
      </c>
      <c r="E40" s="76">
        <f>D40-C40</f>
        <v>792000</v>
      </c>
      <c r="F40" s="77">
        <f>IF(C40=0,0,E40/C40)</f>
        <v>-0.18679245283018867</v>
      </c>
    </row>
    <row r="41" spans="1:6" ht="23.1" customHeight="1" x14ac:dyDescent="0.25">
      <c r="A41" s="83"/>
      <c r="B41" s="78" t="s">
        <v>97</v>
      </c>
      <c r="C41" s="79">
        <f>SUM(C38:C40)</f>
        <v>-2223000</v>
      </c>
      <c r="D41" s="79">
        <f>SUM(D38:D40)</f>
        <v>140000</v>
      </c>
      <c r="E41" s="79">
        <f>D41-C41</f>
        <v>2363000</v>
      </c>
      <c r="F41" s="80">
        <f>IF(C41=0,0,E41/C41)</f>
        <v>-1.0629779577147997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9706000</v>
      </c>
      <c r="D43" s="79">
        <f>D35+D41</f>
        <v>21900000</v>
      </c>
      <c r="E43" s="79">
        <f>D43-C43</f>
        <v>12194000</v>
      </c>
      <c r="F43" s="80">
        <f>IF(C43=0,0,E43/C43)</f>
        <v>1.2563362868328869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7990000</v>
      </c>
      <c r="D46" s="76">
        <v>5019000</v>
      </c>
      <c r="E46" s="76">
        <f>D46-C46</f>
        <v>-2971000</v>
      </c>
      <c r="F46" s="77">
        <f>IF(C46=0,0,E46/C46)</f>
        <v>-0.37183979974968712</v>
      </c>
    </row>
    <row r="47" spans="1:6" ht="23.1" customHeight="1" x14ac:dyDescent="0.2">
      <c r="A47" s="85"/>
      <c r="B47" s="75" t="s">
        <v>101</v>
      </c>
      <c r="C47" s="76">
        <v>-1713000</v>
      </c>
      <c r="D47" s="76">
        <v>1011000</v>
      </c>
      <c r="E47" s="76">
        <f>D47-C47</f>
        <v>2724000</v>
      </c>
      <c r="F47" s="77">
        <f>IF(C47=0,0,E47/C47)</f>
        <v>-1.5901926444833625</v>
      </c>
    </row>
    <row r="48" spans="1:6" ht="23.1" customHeight="1" x14ac:dyDescent="0.25">
      <c r="A48" s="83"/>
      <c r="B48" s="78" t="s">
        <v>102</v>
      </c>
      <c r="C48" s="79">
        <f>SUM(C46:C47)</f>
        <v>6277000</v>
      </c>
      <c r="D48" s="79">
        <f>SUM(D46:D47)</f>
        <v>6030000</v>
      </c>
      <c r="E48" s="79">
        <f>D48-C48</f>
        <v>-247000</v>
      </c>
      <c r="F48" s="80">
        <f>IF(C48=0,0,E48/C48)</f>
        <v>-3.9350007965588657E-2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15983000</v>
      </c>
      <c r="D50" s="79">
        <f>D43+D48</f>
        <v>27930000</v>
      </c>
      <c r="E50" s="79">
        <f>D50-C50</f>
        <v>11947000</v>
      </c>
      <c r="F50" s="80">
        <f>IF(C50=0,0,E50/C50)</f>
        <v>0.74748169930551212</v>
      </c>
    </row>
    <row r="51" spans="1:6" ht="23.1" customHeight="1" x14ac:dyDescent="0.2">
      <c r="A51" s="85"/>
      <c r="B51" s="75" t="s">
        <v>104</v>
      </c>
      <c r="C51" s="76">
        <v>2360000</v>
      </c>
      <c r="D51" s="76">
        <v>2430000</v>
      </c>
      <c r="E51" s="76">
        <f>D51-C51</f>
        <v>70000</v>
      </c>
      <c r="F51" s="77">
        <f>IF(C51=0,0,E51/C51)</f>
        <v>2.9661016949152543E-2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192021956</v>
      </c>
      <c r="D14" s="113">
        <v>206829289</v>
      </c>
      <c r="E14" s="113">
        <f t="shared" ref="E14:E25" si="0">D14-C14</f>
        <v>14807333</v>
      </c>
      <c r="F14" s="114">
        <f t="shared" ref="F14:F25" si="1">IF(C14=0,0,E14/C14)</f>
        <v>7.7112707882217385E-2</v>
      </c>
    </row>
    <row r="15" spans="1:6" x14ac:dyDescent="0.2">
      <c r="A15" s="115">
        <v>2</v>
      </c>
      <c r="B15" s="116" t="s">
        <v>114</v>
      </c>
      <c r="C15" s="113">
        <v>21174964</v>
      </c>
      <c r="D15" s="113">
        <v>24951439</v>
      </c>
      <c r="E15" s="113">
        <f t="shared" si="0"/>
        <v>3776475</v>
      </c>
      <c r="F15" s="114">
        <f t="shared" si="1"/>
        <v>0.17834623001011951</v>
      </c>
    </row>
    <row r="16" spans="1:6" x14ac:dyDescent="0.2">
      <c r="A16" s="115">
        <v>3</v>
      </c>
      <c r="B16" s="116" t="s">
        <v>115</v>
      </c>
      <c r="C16" s="113">
        <v>10947058</v>
      </c>
      <c r="D16" s="113">
        <v>11003309</v>
      </c>
      <c r="E16" s="113">
        <f t="shared" si="0"/>
        <v>56251</v>
      </c>
      <c r="F16" s="114">
        <f t="shared" si="1"/>
        <v>5.1384582049350614E-3</v>
      </c>
    </row>
    <row r="17" spans="1:6" x14ac:dyDescent="0.2">
      <c r="A17" s="115">
        <v>4</v>
      </c>
      <c r="B17" s="116" t="s">
        <v>116</v>
      </c>
      <c r="C17" s="113">
        <v>806776</v>
      </c>
      <c r="D17" s="113">
        <v>0</v>
      </c>
      <c r="E17" s="113">
        <f t="shared" si="0"/>
        <v>-806776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93179</v>
      </c>
      <c r="D18" s="113">
        <v>330425</v>
      </c>
      <c r="E18" s="113">
        <f t="shared" si="0"/>
        <v>237246</v>
      </c>
      <c r="F18" s="114">
        <f t="shared" si="1"/>
        <v>2.5461316391032316</v>
      </c>
    </row>
    <row r="19" spans="1:6" x14ac:dyDescent="0.2">
      <c r="A19" s="115">
        <v>6</v>
      </c>
      <c r="B19" s="116" t="s">
        <v>118</v>
      </c>
      <c r="C19" s="113">
        <v>63494501</v>
      </c>
      <c r="D19" s="113">
        <v>67616810</v>
      </c>
      <c r="E19" s="113">
        <f t="shared" si="0"/>
        <v>4122309</v>
      </c>
      <c r="F19" s="114">
        <f t="shared" si="1"/>
        <v>6.4923874273773718E-2</v>
      </c>
    </row>
    <row r="20" spans="1:6" x14ac:dyDescent="0.2">
      <c r="A20" s="115">
        <v>7</v>
      </c>
      <c r="B20" s="116" t="s">
        <v>119</v>
      </c>
      <c r="C20" s="113">
        <v>109827008</v>
      </c>
      <c r="D20" s="113">
        <v>101930621</v>
      </c>
      <c r="E20" s="113">
        <f t="shared" si="0"/>
        <v>-7896387</v>
      </c>
      <c r="F20" s="114">
        <f t="shared" si="1"/>
        <v>-7.1898407721350283E-2</v>
      </c>
    </row>
    <row r="21" spans="1:6" x14ac:dyDescent="0.2">
      <c r="A21" s="115">
        <v>8</v>
      </c>
      <c r="B21" s="116" t="s">
        <v>120</v>
      </c>
      <c r="C21" s="113">
        <v>2031904</v>
      </c>
      <c r="D21" s="113">
        <v>2781728</v>
      </c>
      <c r="E21" s="113">
        <f t="shared" si="0"/>
        <v>749824</v>
      </c>
      <c r="F21" s="114">
        <f t="shared" si="1"/>
        <v>0.36902530828228103</v>
      </c>
    </row>
    <row r="22" spans="1:6" x14ac:dyDescent="0.2">
      <c r="A22" s="115">
        <v>9</v>
      </c>
      <c r="B22" s="116" t="s">
        <v>121</v>
      </c>
      <c r="C22" s="113">
        <v>11328527</v>
      </c>
      <c r="D22" s="113">
        <v>6676345</v>
      </c>
      <c r="E22" s="113">
        <f t="shared" si="0"/>
        <v>-4652182</v>
      </c>
      <c r="F22" s="114">
        <f t="shared" si="1"/>
        <v>-0.41066080347427342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10773013</v>
      </c>
      <c r="D24" s="113">
        <v>12500914</v>
      </c>
      <c r="E24" s="113">
        <f t="shared" si="0"/>
        <v>1727901</v>
      </c>
      <c r="F24" s="114">
        <f t="shared" si="1"/>
        <v>0.16039161931764123</v>
      </c>
    </row>
    <row r="25" spans="1:6" ht="15.75" x14ac:dyDescent="0.25">
      <c r="A25" s="117"/>
      <c r="B25" s="118" t="s">
        <v>124</v>
      </c>
      <c r="C25" s="119">
        <f>SUM(C14:C24)</f>
        <v>422498886</v>
      </c>
      <c r="D25" s="119">
        <f>SUM(D14:D24)</f>
        <v>434620880</v>
      </c>
      <c r="E25" s="119">
        <f t="shared" si="0"/>
        <v>12121994</v>
      </c>
      <c r="F25" s="120">
        <f t="shared" si="1"/>
        <v>2.8691185708830485E-2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147232824</v>
      </c>
      <c r="D27" s="113">
        <v>187819676</v>
      </c>
      <c r="E27" s="113">
        <f t="shared" ref="E27:E38" si="2">D27-C27</f>
        <v>40586852</v>
      </c>
      <c r="F27" s="114">
        <f t="shared" ref="F27:F38" si="3">IF(C27=0,0,E27/C27)</f>
        <v>0.27566442656835816</v>
      </c>
    </row>
    <row r="28" spans="1:6" x14ac:dyDescent="0.2">
      <c r="A28" s="115">
        <v>2</v>
      </c>
      <c r="B28" s="116" t="s">
        <v>114</v>
      </c>
      <c r="C28" s="113">
        <v>11914167</v>
      </c>
      <c r="D28" s="113">
        <v>17839831</v>
      </c>
      <c r="E28" s="113">
        <f t="shared" si="2"/>
        <v>5925664</v>
      </c>
      <c r="F28" s="114">
        <f t="shared" si="3"/>
        <v>0.49736284542595383</v>
      </c>
    </row>
    <row r="29" spans="1:6" x14ac:dyDescent="0.2">
      <c r="A29" s="115">
        <v>3</v>
      </c>
      <c r="B29" s="116" t="s">
        <v>115</v>
      </c>
      <c r="C29" s="113">
        <v>16835183</v>
      </c>
      <c r="D29" s="113">
        <v>23648312</v>
      </c>
      <c r="E29" s="113">
        <f t="shared" si="2"/>
        <v>6813129</v>
      </c>
      <c r="F29" s="114">
        <f t="shared" si="3"/>
        <v>0.40469586817084197</v>
      </c>
    </row>
    <row r="30" spans="1:6" x14ac:dyDescent="0.2">
      <c r="A30" s="115">
        <v>4</v>
      </c>
      <c r="B30" s="116" t="s">
        <v>116</v>
      </c>
      <c r="C30" s="113">
        <v>3015655</v>
      </c>
      <c r="D30" s="113">
        <v>0</v>
      </c>
      <c r="E30" s="113">
        <f t="shared" si="2"/>
        <v>-3015655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456236</v>
      </c>
      <c r="D31" s="113">
        <v>438848</v>
      </c>
      <c r="E31" s="113">
        <f t="shared" si="2"/>
        <v>-17388</v>
      </c>
      <c r="F31" s="114">
        <f t="shared" si="3"/>
        <v>-3.8111854391148441E-2</v>
      </c>
    </row>
    <row r="32" spans="1:6" x14ac:dyDescent="0.2">
      <c r="A32" s="115">
        <v>6</v>
      </c>
      <c r="B32" s="116" t="s">
        <v>118</v>
      </c>
      <c r="C32" s="113">
        <v>124364850</v>
      </c>
      <c r="D32" s="113">
        <v>146170493</v>
      </c>
      <c r="E32" s="113">
        <f t="shared" si="2"/>
        <v>21805643</v>
      </c>
      <c r="F32" s="114">
        <f t="shared" si="3"/>
        <v>0.17533606159618254</v>
      </c>
    </row>
    <row r="33" spans="1:6" x14ac:dyDescent="0.2">
      <c r="A33" s="115">
        <v>7</v>
      </c>
      <c r="B33" s="116" t="s">
        <v>119</v>
      </c>
      <c r="C33" s="113">
        <v>198823012</v>
      </c>
      <c r="D33" s="113">
        <v>225836922</v>
      </c>
      <c r="E33" s="113">
        <f t="shared" si="2"/>
        <v>27013910</v>
      </c>
      <c r="F33" s="114">
        <f t="shared" si="3"/>
        <v>0.13586913168783502</v>
      </c>
    </row>
    <row r="34" spans="1:6" x14ac:dyDescent="0.2">
      <c r="A34" s="115">
        <v>8</v>
      </c>
      <c r="B34" s="116" t="s">
        <v>120</v>
      </c>
      <c r="C34" s="113">
        <v>4288170</v>
      </c>
      <c r="D34" s="113">
        <v>5304494</v>
      </c>
      <c r="E34" s="113">
        <f t="shared" si="2"/>
        <v>1016324</v>
      </c>
      <c r="F34" s="114">
        <f t="shared" si="3"/>
        <v>0.23700646196396133</v>
      </c>
    </row>
    <row r="35" spans="1:6" x14ac:dyDescent="0.2">
      <c r="A35" s="115">
        <v>9</v>
      </c>
      <c r="B35" s="116" t="s">
        <v>121</v>
      </c>
      <c r="C35" s="113">
        <v>32051536</v>
      </c>
      <c r="D35" s="113">
        <v>27139820</v>
      </c>
      <c r="E35" s="113">
        <f t="shared" si="2"/>
        <v>-4911716</v>
      </c>
      <c r="F35" s="114">
        <f t="shared" si="3"/>
        <v>-0.15324432501456403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10130526</v>
      </c>
      <c r="D37" s="113">
        <v>12323262</v>
      </c>
      <c r="E37" s="113">
        <f t="shared" si="2"/>
        <v>2192736</v>
      </c>
      <c r="F37" s="114">
        <f t="shared" si="3"/>
        <v>0.21644838579951328</v>
      </c>
    </row>
    <row r="38" spans="1:6" ht="15.75" x14ac:dyDescent="0.25">
      <c r="A38" s="117"/>
      <c r="B38" s="118" t="s">
        <v>126</v>
      </c>
      <c r="C38" s="119">
        <f>SUM(C27:C37)</f>
        <v>549112159</v>
      </c>
      <c r="D38" s="119">
        <f>SUM(D27:D37)</f>
        <v>646521658</v>
      </c>
      <c r="E38" s="119">
        <f t="shared" si="2"/>
        <v>97409499</v>
      </c>
      <c r="F38" s="120">
        <f t="shared" si="3"/>
        <v>0.17739454026549792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339254780</v>
      </c>
      <c r="D41" s="119">
        <f t="shared" si="4"/>
        <v>394648965</v>
      </c>
      <c r="E41" s="123">
        <f t="shared" ref="E41:E52" si="5">D41-C41</f>
        <v>55394185</v>
      </c>
      <c r="F41" s="124">
        <f t="shared" ref="F41:F52" si="6">IF(C41=0,0,E41/C41)</f>
        <v>0.16328195876856916</v>
      </c>
    </row>
    <row r="42" spans="1:6" ht="15.75" x14ac:dyDescent="0.25">
      <c r="A42" s="121">
        <v>2</v>
      </c>
      <c r="B42" s="122" t="s">
        <v>114</v>
      </c>
      <c r="C42" s="119">
        <f t="shared" si="4"/>
        <v>33089131</v>
      </c>
      <c r="D42" s="119">
        <f t="shared" si="4"/>
        <v>42791270</v>
      </c>
      <c r="E42" s="123">
        <f t="shared" si="5"/>
        <v>9702139</v>
      </c>
      <c r="F42" s="124">
        <f t="shared" si="6"/>
        <v>0.29321226356775582</v>
      </c>
    </row>
    <row r="43" spans="1:6" ht="15.75" x14ac:dyDescent="0.25">
      <c r="A43" s="121">
        <v>3</v>
      </c>
      <c r="B43" s="122" t="s">
        <v>115</v>
      </c>
      <c r="C43" s="119">
        <f t="shared" si="4"/>
        <v>27782241</v>
      </c>
      <c r="D43" s="119">
        <f t="shared" si="4"/>
        <v>34651621</v>
      </c>
      <c r="E43" s="123">
        <f t="shared" si="5"/>
        <v>6869380</v>
      </c>
      <c r="F43" s="124">
        <f t="shared" si="6"/>
        <v>0.2472579515813717</v>
      </c>
    </row>
    <row r="44" spans="1:6" ht="15.75" x14ac:dyDescent="0.25">
      <c r="A44" s="121">
        <v>4</v>
      </c>
      <c r="B44" s="122" t="s">
        <v>116</v>
      </c>
      <c r="C44" s="119">
        <f t="shared" si="4"/>
        <v>3822431</v>
      </c>
      <c r="D44" s="119">
        <f t="shared" si="4"/>
        <v>0</v>
      </c>
      <c r="E44" s="123">
        <f t="shared" si="5"/>
        <v>-3822431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549415</v>
      </c>
      <c r="D45" s="119">
        <f t="shared" si="4"/>
        <v>769273</v>
      </c>
      <c r="E45" s="123">
        <f t="shared" si="5"/>
        <v>219858</v>
      </c>
      <c r="F45" s="124">
        <f t="shared" si="6"/>
        <v>0.40016745083406896</v>
      </c>
    </row>
    <row r="46" spans="1:6" ht="15.75" x14ac:dyDescent="0.25">
      <c r="A46" s="121">
        <v>6</v>
      </c>
      <c r="B46" s="122" t="s">
        <v>118</v>
      </c>
      <c r="C46" s="119">
        <f t="shared" si="4"/>
        <v>187859351</v>
      </c>
      <c r="D46" s="119">
        <f t="shared" si="4"/>
        <v>213787303</v>
      </c>
      <c r="E46" s="123">
        <f t="shared" si="5"/>
        <v>25927952</v>
      </c>
      <c r="F46" s="124">
        <f t="shared" si="6"/>
        <v>0.13801789403605466</v>
      </c>
    </row>
    <row r="47" spans="1:6" ht="15.75" x14ac:dyDescent="0.25">
      <c r="A47" s="121">
        <v>7</v>
      </c>
      <c r="B47" s="122" t="s">
        <v>119</v>
      </c>
      <c r="C47" s="119">
        <f t="shared" si="4"/>
        <v>308650020</v>
      </c>
      <c r="D47" s="119">
        <f t="shared" si="4"/>
        <v>327767543</v>
      </c>
      <c r="E47" s="123">
        <f t="shared" si="5"/>
        <v>19117523</v>
      </c>
      <c r="F47" s="124">
        <f t="shared" si="6"/>
        <v>6.1939160088180137E-2</v>
      </c>
    </row>
    <row r="48" spans="1:6" ht="15.75" x14ac:dyDescent="0.25">
      <c r="A48" s="121">
        <v>8</v>
      </c>
      <c r="B48" s="122" t="s">
        <v>120</v>
      </c>
      <c r="C48" s="119">
        <f t="shared" si="4"/>
        <v>6320074</v>
      </c>
      <c r="D48" s="119">
        <f t="shared" si="4"/>
        <v>8086222</v>
      </c>
      <c r="E48" s="123">
        <f t="shared" si="5"/>
        <v>1766148</v>
      </c>
      <c r="F48" s="124">
        <f t="shared" si="6"/>
        <v>0.27945052542106313</v>
      </c>
    </row>
    <row r="49" spans="1:6" ht="15.75" x14ac:dyDescent="0.25">
      <c r="A49" s="121">
        <v>9</v>
      </c>
      <c r="B49" s="122" t="s">
        <v>121</v>
      </c>
      <c r="C49" s="119">
        <f t="shared" si="4"/>
        <v>43380063</v>
      </c>
      <c r="D49" s="119">
        <f t="shared" si="4"/>
        <v>33816165</v>
      </c>
      <c r="E49" s="123">
        <f t="shared" si="5"/>
        <v>-9563898</v>
      </c>
      <c r="F49" s="124">
        <f t="shared" si="6"/>
        <v>-0.22046759129879548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20903539</v>
      </c>
      <c r="D51" s="119">
        <f t="shared" si="4"/>
        <v>24824176</v>
      </c>
      <c r="E51" s="123">
        <f t="shared" si="5"/>
        <v>3920637</v>
      </c>
      <c r="F51" s="124">
        <f t="shared" si="6"/>
        <v>0.18755852776891033</v>
      </c>
    </row>
    <row r="52" spans="1:6" ht="18.75" customHeight="1" thickBot="1" x14ac:dyDescent="0.3">
      <c r="A52" s="125"/>
      <c r="B52" s="126" t="s">
        <v>128</v>
      </c>
      <c r="C52" s="127">
        <f>SUM(C41:C51)</f>
        <v>971611045</v>
      </c>
      <c r="D52" s="128">
        <f>SUM(D41:D51)</f>
        <v>1081142538</v>
      </c>
      <c r="E52" s="127">
        <f t="shared" si="5"/>
        <v>109531493</v>
      </c>
      <c r="F52" s="129">
        <f t="shared" si="6"/>
        <v>0.11273183190296071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41914288</v>
      </c>
      <c r="D57" s="113">
        <v>50875595</v>
      </c>
      <c r="E57" s="113">
        <f t="shared" ref="E57:E68" si="7">D57-C57</f>
        <v>8961307</v>
      </c>
      <c r="F57" s="114">
        <f t="shared" ref="F57:F68" si="8">IF(C57=0,0,E57/C57)</f>
        <v>0.21380076884522051</v>
      </c>
    </row>
    <row r="58" spans="1:6" x14ac:dyDescent="0.2">
      <c r="A58" s="115">
        <v>2</v>
      </c>
      <c r="B58" s="116" t="s">
        <v>114</v>
      </c>
      <c r="C58" s="113">
        <v>4763710</v>
      </c>
      <c r="D58" s="113">
        <v>6569366</v>
      </c>
      <c r="E58" s="113">
        <f t="shared" si="7"/>
        <v>1805656</v>
      </c>
      <c r="F58" s="114">
        <f t="shared" si="8"/>
        <v>0.37904406439518779</v>
      </c>
    </row>
    <row r="59" spans="1:6" x14ac:dyDescent="0.2">
      <c r="A59" s="115">
        <v>3</v>
      </c>
      <c r="B59" s="116" t="s">
        <v>115</v>
      </c>
      <c r="C59" s="113">
        <v>1081141</v>
      </c>
      <c r="D59" s="113">
        <v>2509474</v>
      </c>
      <c r="E59" s="113">
        <f t="shared" si="7"/>
        <v>1428333</v>
      </c>
      <c r="F59" s="114">
        <f t="shared" si="8"/>
        <v>1.3211348011036488</v>
      </c>
    </row>
    <row r="60" spans="1:6" x14ac:dyDescent="0.2">
      <c r="A60" s="115">
        <v>4</v>
      </c>
      <c r="B60" s="116" t="s">
        <v>116</v>
      </c>
      <c r="C60" s="113">
        <v>102979</v>
      </c>
      <c r="D60" s="113">
        <v>0</v>
      </c>
      <c r="E60" s="113">
        <f t="shared" si="7"/>
        <v>-102979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60268</v>
      </c>
      <c r="D61" s="113">
        <v>112174</v>
      </c>
      <c r="E61" s="113">
        <f t="shared" si="7"/>
        <v>51906</v>
      </c>
      <c r="F61" s="114">
        <f t="shared" si="8"/>
        <v>0.86125306962235348</v>
      </c>
    </row>
    <row r="62" spans="1:6" x14ac:dyDescent="0.2">
      <c r="A62" s="115">
        <v>6</v>
      </c>
      <c r="B62" s="116" t="s">
        <v>118</v>
      </c>
      <c r="C62" s="113">
        <v>26767618</v>
      </c>
      <c r="D62" s="113">
        <v>31088947</v>
      </c>
      <c r="E62" s="113">
        <f t="shared" si="7"/>
        <v>4321329</v>
      </c>
      <c r="F62" s="114">
        <f t="shared" si="8"/>
        <v>0.16143868311330503</v>
      </c>
    </row>
    <row r="63" spans="1:6" x14ac:dyDescent="0.2">
      <c r="A63" s="115">
        <v>7</v>
      </c>
      <c r="B63" s="116" t="s">
        <v>119</v>
      </c>
      <c r="C63" s="113">
        <v>45384957</v>
      </c>
      <c r="D63" s="113">
        <v>42916594</v>
      </c>
      <c r="E63" s="113">
        <f t="shared" si="7"/>
        <v>-2468363</v>
      </c>
      <c r="F63" s="114">
        <f t="shared" si="8"/>
        <v>-5.4387249942750855E-2</v>
      </c>
    </row>
    <row r="64" spans="1:6" x14ac:dyDescent="0.2">
      <c r="A64" s="115">
        <v>8</v>
      </c>
      <c r="B64" s="116" t="s">
        <v>120</v>
      </c>
      <c r="C64" s="113">
        <v>1192310</v>
      </c>
      <c r="D64" s="113">
        <v>2757562</v>
      </c>
      <c r="E64" s="113">
        <f t="shared" si="7"/>
        <v>1565252</v>
      </c>
      <c r="F64" s="114">
        <f t="shared" si="8"/>
        <v>1.3127894591171758</v>
      </c>
    </row>
    <row r="65" spans="1:6" x14ac:dyDescent="0.2">
      <c r="A65" s="115">
        <v>9</v>
      </c>
      <c r="B65" s="116" t="s">
        <v>121</v>
      </c>
      <c r="C65" s="113">
        <v>3467346</v>
      </c>
      <c r="D65" s="113">
        <v>3888925</v>
      </c>
      <c r="E65" s="113">
        <f t="shared" si="7"/>
        <v>421579</v>
      </c>
      <c r="F65" s="114">
        <f t="shared" si="8"/>
        <v>0.12158550084127745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2521581</v>
      </c>
      <c r="D67" s="113">
        <v>2600396</v>
      </c>
      <c r="E67" s="113">
        <f t="shared" si="7"/>
        <v>78815</v>
      </c>
      <c r="F67" s="114">
        <f t="shared" si="8"/>
        <v>3.1256184116235014E-2</v>
      </c>
    </row>
    <row r="68" spans="1:6" ht="15.75" x14ac:dyDescent="0.25">
      <c r="A68" s="117"/>
      <c r="B68" s="118" t="s">
        <v>131</v>
      </c>
      <c r="C68" s="119">
        <f>SUM(C57:C67)</f>
        <v>127256198</v>
      </c>
      <c r="D68" s="119">
        <f>SUM(D57:D67)</f>
        <v>143319033</v>
      </c>
      <c r="E68" s="119">
        <f t="shared" si="7"/>
        <v>16062835</v>
      </c>
      <c r="F68" s="120">
        <f t="shared" si="8"/>
        <v>0.12622438240689857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26435744</v>
      </c>
      <c r="D70" s="113">
        <v>28173739</v>
      </c>
      <c r="E70" s="113">
        <f t="shared" ref="E70:E81" si="9">D70-C70</f>
        <v>1737995</v>
      </c>
      <c r="F70" s="114">
        <f t="shared" ref="F70:F81" si="10">IF(C70=0,0,E70/C70)</f>
        <v>6.5744130371363868E-2</v>
      </c>
    </row>
    <row r="71" spans="1:6" x14ac:dyDescent="0.2">
      <c r="A71" s="115">
        <v>2</v>
      </c>
      <c r="B71" s="116" t="s">
        <v>114</v>
      </c>
      <c r="C71" s="113">
        <v>3648411</v>
      </c>
      <c r="D71" s="113">
        <v>2787908</v>
      </c>
      <c r="E71" s="113">
        <f t="shared" si="9"/>
        <v>-860503</v>
      </c>
      <c r="F71" s="114">
        <f t="shared" si="10"/>
        <v>-0.23585692511068518</v>
      </c>
    </row>
    <row r="72" spans="1:6" x14ac:dyDescent="0.2">
      <c r="A72" s="115">
        <v>3</v>
      </c>
      <c r="B72" s="116" t="s">
        <v>115</v>
      </c>
      <c r="C72" s="113">
        <v>2419243</v>
      </c>
      <c r="D72" s="113">
        <v>4213126</v>
      </c>
      <c r="E72" s="113">
        <f t="shared" si="9"/>
        <v>1793883</v>
      </c>
      <c r="F72" s="114">
        <f t="shared" si="10"/>
        <v>0.74150591734687255</v>
      </c>
    </row>
    <row r="73" spans="1:6" x14ac:dyDescent="0.2">
      <c r="A73" s="115">
        <v>4</v>
      </c>
      <c r="B73" s="116" t="s">
        <v>116</v>
      </c>
      <c r="C73" s="113">
        <v>282069</v>
      </c>
      <c r="D73" s="113">
        <v>0</v>
      </c>
      <c r="E73" s="113">
        <f t="shared" si="9"/>
        <v>-282069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279344</v>
      </c>
      <c r="D74" s="113">
        <v>261553</v>
      </c>
      <c r="E74" s="113">
        <f t="shared" si="9"/>
        <v>-17791</v>
      </c>
      <c r="F74" s="114">
        <f t="shared" si="10"/>
        <v>-6.3688498768543447E-2</v>
      </c>
    </row>
    <row r="75" spans="1:6" x14ac:dyDescent="0.2">
      <c r="A75" s="115">
        <v>6</v>
      </c>
      <c r="B75" s="116" t="s">
        <v>118</v>
      </c>
      <c r="C75" s="113">
        <v>56564968</v>
      </c>
      <c r="D75" s="113">
        <v>63894528</v>
      </c>
      <c r="E75" s="113">
        <f t="shared" si="9"/>
        <v>7329560</v>
      </c>
      <c r="F75" s="114">
        <f t="shared" si="10"/>
        <v>0.12957772733116371</v>
      </c>
    </row>
    <row r="76" spans="1:6" x14ac:dyDescent="0.2">
      <c r="A76" s="115">
        <v>7</v>
      </c>
      <c r="B76" s="116" t="s">
        <v>119</v>
      </c>
      <c r="C76" s="113">
        <v>75587020</v>
      </c>
      <c r="D76" s="113">
        <v>76452870</v>
      </c>
      <c r="E76" s="113">
        <f t="shared" si="9"/>
        <v>865850</v>
      </c>
      <c r="F76" s="114">
        <f t="shared" si="10"/>
        <v>1.1455009074309319E-2</v>
      </c>
    </row>
    <row r="77" spans="1:6" x14ac:dyDescent="0.2">
      <c r="A77" s="115">
        <v>8</v>
      </c>
      <c r="B77" s="116" t="s">
        <v>120</v>
      </c>
      <c r="C77" s="113">
        <v>2551213</v>
      </c>
      <c r="D77" s="113">
        <v>2099142</v>
      </c>
      <c r="E77" s="113">
        <f t="shared" si="9"/>
        <v>-452071</v>
      </c>
      <c r="F77" s="114">
        <f t="shared" si="10"/>
        <v>-0.17719845422549979</v>
      </c>
    </row>
    <row r="78" spans="1:6" x14ac:dyDescent="0.2">
      <c r="A78" s="115">
        <v>9</v>
      </c>
      <c r="B78" s="116" t="s">
        <v>121</v>
      </c>
      <c r="C78" s="113">
        <v>9810082</v>
      </c>
      <c r="D78" s="113">
        <v>593497</v>
      </c>
      <c r="E78" s="113">
        <f t="shared" si="9"/>
        <v>-9216585</v>
      </c>
      <c r="F78" s="114">
        <f t="shared" si="10"/>
        <v>-0.93950132119181062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721352</v>
      </c>
      <c r="D80" s="113">
        <v>2614406</v>
      </c>
      <c r="E80" s="113">
        <f t="shared" si="9"/>
        <v>1893054</v>
      </c>
      <c r="F80" s="114">
        <f t="shared" si="10"/>
        <v>2.6243137885526067</v>
      </c>
    </row>
    <row r="81" spans="1:6" ht="15.75" x14ac:dyDescent="0.25">
      <c r="A81" s="117"/>
      <c r="B81" s="118" t="s">
        <v>133</v>
      </c>
      <c r="C81" s="119">
        <f>SUM(C70:C80)</f>
        <v>178299446</v>
      </c>
      <c r="D81" s="119">
        <f>SUM(D70:D80)</f>
        <v>181090769</v>
      </c>
      <c r="E81" s="119">
        <f t="shared" si="9"/>
        <v>2791323</v>
      </c>
      <c r="F81" s="120">
        <f t="shared" si="10"/>
        <v>1.5655253353956018E-2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68350032</v>
      </c>
      <c r="D84" s="119">
        <f t="shared" si="11"/>
        <v>79049334</v>
      </c>
      <c r="E84" s="119">
        <f t="shared" ref="E84:E95" si="12">D84-C84</f>
        <v>10699302</v>
      </c>
      <c r="F84" s="120">
        <f t="shared" ref="F84:F95" si="13">IF(C84=0,0,E84/C84)</f>
        <v>0.15653689818316399</v>
      </c>
    </row>
    <row r="85" spans="1:6" ht="15.75" x14ac:dyDescent="0.25">
      <c r="A85" s="130">
        <v>2</v>
      </c>
      <c r="B85" s="122" t="s">
        <v>114</v>
      </c>
      <c r="C85" s="119">
        <f t="shared" si="11"/>
        <v>8412121</v>
      </c>
      <c r="D85" s="119">
        <f t="shared" si="11"/>
        <v>9357274</v>
      </c>
      <c r="E85" s="119">
        <f t="shared" si="12"/>
        <v>945153</v>
      </c>
      <c r="F85" s="120">
        <f t="shared" si="13"/>
        <v>0.11235608712713477</v>
      </c>
    </row>
    <row r="86" spans="1:6" ht="15.75" x14ac:dyDescent="0.25">
      <c r="A86" s="130">
        <v>3</v>
      </c>
      <c r="B86" s="122" t="s">
        <v>115</v>
      </c>
      <c r="C86" s="119">
        <f t="shared" si="11"/>
        <v>3500384</v>
      </c>
      <c r="D86" s="119">
        <f t="shared" si="11"/>
        <v>6722600</v>
      </c>
      <c r="E86" s="119">
        <f t="shared" si="12"/>
        <v>3222216</v>
      </c>
      <c r="F86" s="120">
        <f t="shared" si="13"/>
        <v>0.92053214733012145</v>
      </c>
    </row>
    <row r="87" spans="1:6" ht="15.75" x14ac:dyDescent="0.25">
      <c r="A87" s="130">
        <v>4</v>
      </c>
      <c r="B87" s="122" t="s">
        <v>116</v>
      </c>
      <c r="C87" s="119">
        <f t="shared" si="11"/>
        <v>385048</v>
      </c>
      <c r="D87" s="119">
        <f t="shared" si="11"/>
        <v>0</v>
      </c>
      <c r="E87" s="119">
        <f t="shared" si="12"/>
        <v>-385048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339612</v>
      </c>
      <c r="D88" s="119">
        <f t="shared" si="11"/>
        <v>373727</v>
      </c>
      <c r="E88" s="119">
        <f t="shared" si="12"/>
        <v>34115</v>
      </c>
      <c r="F88" s="120">
        <f t="shared" si="13"/>
        <v>0.10045286974547425</v>
      </c>
    </row>
    <row r="89" spans="1:6" ht="15.75" x14ac:dyDescent="0.25">
      <c r="A89" s="130">
        <v>6</v>
      </c>
      <c r="B89" s="122" t="s">
        <v>118</v>
      </c>
      <c r="C89" s="119">
        <f t="shared" si="11"/>
        <v>83332586</v>
      </c>
      <c r="D89" s="119">
        <f t="shared" si="11"/>
        <v>94983475</v>
      </c>
      <c r="E89" s="119">
        <f t="shared" si="12"/>
        <v>11650889</v>
      </c>
      <c r="F89" s="120">
        <f t="shared" si="13"/>
        <v>0.13981192183331501</v>
      </c>
    </row>
    <row r="90" spans="1:6" ht="15.75" x14ac:dyDescent="0.25">
      <c r="A90" s="130">
        <v>7</v>
      </c>
      <c r="B90" s="122" t="s">
        <v>119</v>
      </c>
      <c r="C90" s="119">
        <f t="shared" si="11"/>
        <v>120971977</v>
      </c>
      <c r="D90" s="119">
        <f t="shared" si="11"/>
        <v>119369464</v>
      </c>
      <c r="E90" s="119">
        <f t="shared" si="12"/>
        <v>-1602513</v>
      </c>
      <c r="F90" s="120">
        <f t="shared" si="13"/>
        <v>-1.3246977025100614E-2</v>
      </c>
    </row>
    <row r="91" spans="1:6" ht="15.75" x14ac:dyDescent="0.25">
      <c r="A91" s="130">
        <v>8</v>
      </c>
      <c r="B91" s="122" t="s">
        <v>120</v>
      </c>
      <c r="C91" s="119">
        <f t="shared" si="11"/>
        <v>3743523</v>
      </c>
      <c r="D91" s="119">
        <f t="shared" si="11"/>
        <v>4856704</v>
      </c>
      <c r="E91" s="119">
        <f t="shared" si="12"/>
        <v>1113181</v>
      </c>
      <c r="F91" s="120">
        <f t="shared" si="13"/>
        <v>0.29736187008868387</v>
      </c>
    </row>
    <row r="92" spans="1:6" ht="15.75" x14ac:dyDescent="0.25">
      <c r="A92" s="130">
        <v>9</v>
      </c>
      <c r="B92" s="122" t="s">
        <v>121</v>
      </c>
      <c r="C92" s="119">
        <f t="shared" si="11"/>
        <v>13277428</v>
      </c>
      <c r="D92" s="119">
        <f t="shared" si="11"/>
        <v>4482422</v>
      </c>
      <c r="E92" s="119">
        <f t="shared" si="12"/>
        <v>-8795006</v>
      </c>
      <c r="F92" s="120">
        <f t="shared" si="13"/>
        <v>-0.66240283886306894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3242933</v>
      </c>
      <c r="D94" s="119">
        <f t="shared" si="11"/>
        <v>5214802</v>
      </c>
      <c r="E94" s="119">
        <f t="shared" si="12"/>
        <v>1971869</v>
      </c>
      <c r="F94" s="120">
        <f t="shared" si="13"/>
        <v>0.60805110682212671</v>
      </c>
    </row>
    <row r="95" spans="1:6" ht="18.75" customHeight="1" thickBot="1" x14ac:dyDescent="0.3">
      <c r="A95" s="131"/>
      <c r="B95" s="132" t="s">
        <v>134</v>
      </c>
      <c r="C95" s="128">
        <f>SUM(C84:C94)</f>
        <v>305555644</v>
      </c>
      <c r="D95" s="128">
        <f>SUM(D84:D94)</f>
        <v>324409802</v>
      </c>
      <c r="E95" s="128">
        <f t="shared" si="12"/>
        <v>18854158</v>
      </c>
      <c r="F95" s="129">
        <f t="shared" si="13"/>
        <v>6.1704499230261313E-2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4495</v>
      </c>
      <c r="D100" s="133">
        <v>4376</v>
      </c>
      <c r="E100" s="133">
        <f t="shared" ref="E100:E111" si="14">D100-C100</f>
        <v>-119</v>
      </c>
      <c r="F100" s="114">
        <f t="shared" ref="F100:F111" si="15">IF(C100=0,0,E100/C100)</f>
        <v>-2.6473859844271412E-2</v>
      </c>
    </row>
    <row r="101" spans="1:6" x14ac:dyDescent="0.2">
      <c r="A101" s="115">
        <v>2</v>
      </c>
      <c r="B101" s="116" t="s">
        <v>114</v>
      </c>
      <c r="C101" s="133">
        <v>489</v>
      </c>
      <c r="D101" s="133">
        <v>512</v>
      </c>
      <c r="E101" s="133">
        <f t="shared" si="14"/>
        <v>23</v>
      </c>
      <c r="F101" s="114">
        <f t="shared" si="15"/>
        <v>4.7034764826175871E-2</v>
      </c>
    </row>
    <row r="102" spans="1:6" x14ac:dyDescent="0.2">
      <c r="A102" s="115">
        <v>3</v>
      </c>
      <c r="B102" s="116" t="s">
        <v>115</v>
      </c>
      <c r="C102" s="133">
        <v>398</v>
      </c>
      <c r="D102" s="133">
        <v>370</v>
      </c>
      <c r="E102" s="133">
        <f t="shared" si="14"/>
        <v>-28</v>
      </c>
      <c r="F102" s="114">
        <f t="shared" si="15"/>
        <v>-7.0351758793969849E-2</v>
      </c>
    </row>
    <row r="103" spans="1:6" x14ac:dyDescent="0.2">
      <c r="A103" s="115">
        <v>4</v>
      </c>
      <c r="B103" s="116" t="s">
        <v>116</v>
      </c>
      <c r="C103" s="133">
        <v>27</v>
      </c>
      <c r="D103" s="133">
        <v>0</v>
      </c>
      <c r="E103" s="133">
        <f t="shared" si="14"/>
        <v>-27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4</v>
      </c>
      <c r="D104" s="133">
        <v>13</v>
      </c>
      <c r="E104" s="133">
        <f t="shared" si="14"/>
        <v>9</v>
      </c>
      <c r="F104" s="114">
        <f t="shared" si="15"/>
        <v>2.25</v>
      </c>
    </row>
    <row r="105" spans="1:6" x14ac:dyDescent="0.2">
      <c r="A105" s="115">
        <v>6</v>
      </c>
      <c r="B105" s="116" t="s">
        <v>118</v>
      </c>
      <c r="C105" s="133">
        <v>2491</v>
      </c>
      <c r="D105" s="133">
        <v>2532</v>
      </c>
      <c r="E105" s="133">
        <f t="shared" si="14"/>
        <v>41</v>
      </c>
      <c r="F105" s="114">
        <f t="shared" si="15"/>
        <v>1.6459253311922922E-2</v>
      </c>
    </row>
    <row r="106" spans="1:6" x14ac:dyDescent="0.2">
      <c r="A106" s="115">
        <v>7</v>
      </c>
      <c r="B106" s="116" t="s">
        <v>119</v>
      </c>
      <c r="C106" s="133">
        <v>4421</v>
      </c>
      <c r="D106" s="133">
        <v>3977</v>
      </c>
      <c r="E106" s="133">
        <f t="shared" si="14"/>
        <v>-444</v>
      </c>
      <c r="F106" s="114">
        <f t="shared" si="15"/>
        <v>-0.10042976702103597</v>
      </c>
    </row>
    <row r="107" spans="1:6" x14ac:dyDescent="0.2">
      <c r="A107" s="115">
        <v>8</v>
      </c>
      <c r="B107" s="116" t="s">
        <v>120</v>
      </c>
      <c r="C107" s="133">
        <v>35</v>
      </c>
      <c r="D107" s="133">
        <v>42</v>
      </c>
      <c r="E107" s="133">
        <f t="shared" si="14"/>
        <v>7</v>
      </c>
      <c r="F107" s="114">
        <f t="shared" si="15"/>
        <v>0.2</v>
      </c>
    </row>
    <row r="108" spans="1:6" x14ac:dyDescent="0.2">
      <c r="A108" s="115">
        <v>9</v>
      </c>
      <c r="B108" s="116" t="s">
        <v>121</v>
      </c>
      <c r="C108" s="133">
        <v>370</v>
      </c>
      <c r="D108" s="133">
        <v>340</v>
      </c>
      <c r="E108" s="133">
        <f t="shared" si="14"/>
        <v>-30</v>
      </c>
      <c r="F108" s="114">
        <f t="shared" si="15"/>
        <v>-8.1081081081081086E-2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297</v>
      </c>
      <c r="D110" s="133">
        <v>277</v>
      </c>
      <c r="E110" s="133">
        <f t="shared" si="14"/>
        <v>-20</v>
      </c>
      <c r="F110" s="114">
        <f t="shared" si="15"/>
        <v>-6.7340067340067339E-2</v>
      </c>
    </row>
    <row r="111" spans="1:6" ht="15.75" x14ac:dyDescent="0.25">
      <c r="A111" s="117"/>
      <c r="B111" s="118" t="s">
        <v>138</v>
      </c>
      <c r="C111" s="134">
        <f>SUM(C100:C110)</f>
        <v>13027</v>
      </c>
      <c r="D111" s="134">
        <f>SUM(D100:D110)</f>
        <v>12439</v>
      </c>
      <c r="E111" s="134">
        <f t="shared" si="14"/>
        <v>-588</v>
      </c>
      <c r="F111" s="120">
        <f t="shared" si="15"/>
        <v>-4.5137023105857065E-2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21234</v>
      </c>
      <c r="D113" s="133">
        <v>22771</v>
      </c>
      <c r="E113" s="133">
        <f t="shared" ref="E113:E124" si="16">D113-C113</f>
        <v>1537</v>
      </c>
      <c r="F113" s="114">
        <f t="shared" ref="F113:F124" si="17">IF(C113=0,0,E113/C113)</f>
        <v>7.2383912593011204E-2</v>
      </c>
    </row>
    <row r="114" spans="1:6" x14ac:dyDescent="0.2">
      <c r="A114" s="115">
        <v>2</v>
      </c>
      <c r="B114" s="116" t="s">
        <v>114</v>
      </c>
      <c r="C114" s="133">
        <v>3062</v>
      </c>
      <c r="D114" s="133">
        <v>2940</v>
      </c>
      <c r="E114" s="133">
        <f t="shared" si="16"/>
        <v>-122</v>
      </c>
      <c r="F114" s="114">
        <f t="shared" si="17"/>
        <v>-3.9843239712606136E-2</v>
      </c>
    </row>
    <row r="115" spans="1:6" x14ac:dyDescent="0.2">
      <c r="A115" s="115">
        <v>3</v>
      </c>
      <c r="B115" s="116" t="s">
        <v>115</v>
      </c>
      <c r="C115" s="133">
        <v>1859</v>
      </c>
      <c r="D115" s="133">
        <v>1381</v>
      </c>
      <c r="E115" s="133">
        <f t="shared" si="16"/>
        <v>-478</v>
      </c>
      <c r="F115" s="114">
        <f t="shared" si="17"/>
        <v>-0.25712748789671869</v>
      </c>
    </row>
    <row r="116" spans="1:6" x14ac:dyDescent="0.2">
      <c r="A116" s="115">
        <v>4</v>
      </c>
      <c r="B116" s="116" t="s">
        <v>116</v>
      </c>
      <c r="C116" s="133">
        <v>85</v>
      </c>
      <c r="D116" s="133">
        <v>0</v>
      </c>
      <c r="E116" s="133">
        <f t="shared" si="16"/>
        <v>-85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9</v>
      </c>
      <c r="D117" s="133">
        <v>54</v>
      </c>
      <c r="E117" s="133">
        <f t="shared" si="16"/>
        <v>45</v>
      </c>
      <c r="F117" s="114">
        <f t="shared" si="17"/>
        <v>5</v>
      </c>
    </row>
    <row r="118" spans="1:6" x14ac:dyDescent="0.2">
      <c r="A118" s="115">
        <v>6</v>
      </c>
      <c r="B118" s="116" t="s">
        <v>118</v>
      </c>
      <c r="C118" s="133">
        <v>8397</v>
      </c>
      <c r="D118" s="133">
        <v>8457</v>
      </c>
      <c r="E118" s="133">
        <f t="shared" si="16"/>
        <v>60</v>
      </c>
      <c r="F118" s="114">
        <f t="shared" si="17"/>
        <v>7.145409074669525E-3</v>
      </c>
    </row>
    <row r="119" spans="1:6" x14ac:dyDescent="0.2">
      <c r="A119" s="115">
        <v>7</v>
      </c>
      <c r="B119" s="116" t="s">
        <v>119</v>
      </c>
      <c r="C119" s="133">
        <v>14734</v>
      </c>
      <c r="D119" s="133">
        <v>13581</v>
      </c>
      <c r="E119" s="133">
        <f t="shared" si="16"/>
        <v>-1153</v>
      </c>
      <c r="F119" s="114">
        <f t="shared" si="17"/>
        <v>-7.8254377629971492E-2</v>
      </c>
    </row>
    <row r="120" spans="1:6" x14ac:dyDescent="0.2">
      <c r="A120" s="115">
        <v>8</v>
      </c>
      <c r="B120" s="116" t="s">
        <v>120</v>
      </c>
      <c r="C120" s="133">
        <v>110</v>
      </c>
      <c r="D120" s="133">
        <v>130</v>
      </c>
      <c r="E120" s="133">
        <f t="shared" si="16"/>
        <v>20</v>
      </c>
      <c r="F120" s="114">
        <f t="shared" si="17"/>
        <v>0.18181818181818182</v>
      </c>
    </row>
    <row r="121" spans="1:6" x14ac:dyDescent="0.2">
      <c r="A121" s="115">
        <v>9</v>
      </c>
      <c r="B121" s="116" t="s">
        <v>121</v>
      </c>
      <c r="C121" s="133">
        <v>1052</v>
      </c>
      <c r="D121" s="133">
        <v>1324</v>
      </c>
      <c r="E121" s="133">
        <f t="shared" si="16"/>
        <v>272</v>
      </c>
      <c r="F121" s="114">
        <f t="shared" si="17"/>
        <v>0.2585551330798479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1377</v>
      </c>
      <c r="D123" s="133">
        <v>1326</v>
      </c>
      <c r="E123" s="133">
        <f t="shared" si="16"/>
        <v>-51</v>
      </c>
      <c r="F123" s="114">
        <f t="shared" si="17"/>
        <v>-3.7037037037037035E-2</v>
      </c>
    </row>
    <row r="124" spans="1:6" ht="15.75" x14ac:dyDescent="0.25">
      <c r="A124" s="117"/>
      <c r="B124" s="118" t="s">
        <v>140</v>
      </c>
      <c r="C124" s="134">
        <f>SUM(C113:C123)</f>
        <v>51919</v>
      </c>
      <c r="D124" s="134">
        <f>SUM(D113:D123)</f>
        <v>51964</v>
      </c>
      <c r="E124" s="134">
        <f t="shared" si="16"/>
        <v>45</v>
      </c>
      <c r="F124" s="120">
        <f t="shared" si="17"/>
        <v>8.6673472139293896E-4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99490</v>
      </c>
      <c r="D126" s="133">
        <v>75054</v>
      </c>
      <c r="E126" s="133">
        <f t="shared" ref="E126:E137" si="18">D126-C126</f>
        <v>-24436</v>
      </c>
      <c r="F126" s="114">
        <f t="shared" ref="F126:F137" si="19">IF(C126=0,0,E126/C126)</f>
        <v>-0.24561262438436024</v>
      </c>
    </row>
    <row r="127" spans="1:6" x14ac:dyDescent="0.2">
      <c r="A127" s="115">
        <v>2</v>
      </c>
      <c r="B127" s="116" t="s">
        <v>114</v>
      </c>
      <c r="C127" s="133">
        <v>7762</v>
      </c>
      <c r="D127" s="133">
        <v>6538</v>
      </c>
      <c r="E127" s="133">
        <f t="shared" si="18"/>
        <v>-1224</v>
      </c>
      <c r="F127" s="114">
        <f t="shared" si="19"/>
        <v>-0.15769131667096109</v>
      </c>
    </row>
    <row r="128" spans="1:6" x14ac:dyDescent="0.2">
      <c r="A128" s="115">
        <v>3</v>
      </c>
      <c r="B128" s="116" t="s">
        <v>115</v>
      </c>
      <c r="C128" s="133">
        <v>16749</v>
      </c>
      <c r="D128" s="133">
        <v>18071</v>
      </c>
      <c r="E128" s="133">
        <f t="shared" si="18"/>
        <v>1322</v>
      </c>
      <c r="F128" s="114">
        <f t="shared" si="19"/>
        <v>7.893008537823154E-2</v>
      </c>
    </row>
    <row r="129" spans="1:6" x14ac:dyDescent="0.2">
      <c r="A129" s="115">
        <v>4</v>
      </c>
      <c r="B129" s="116" t="s">
        <v>116</v>
      </c>
      <c r="C129" s="133">
        <v>3673</v>
      </c>
      <c r="D129" s="133">
        <v>0</v>
      </c>
      <c r="E129" s="133">
        <f t="shared" si="18"/>
        <v>-3673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255</v>
      </c>
      <c r="D130" s="133">
        <v>200</v>
      </c>
      <c r="E130" s="133">
        <f t="shared" si="18"/>
        <v>-55</v>
      </c>
      <c r="F130" s="114">
        <f t="shared" si="19"/>
        <v>-0.21568627450980393</v>
      </c>
    </row>
    <row r="131" spans="1:6" x14ac:dyDescent="0.2">
      <c r="A131" s="115">
        <v>6</v>
      </c>
      <c r="B131" s="116" t="s">
        <v>118</v>
      </c>
      <c r="C131" s="133">
        <v>80845</v>
      </c>
      <c r="D131" s="133">
        <v>63955</v>
      </c>
      <c r="E131" s="133">
        <f t="shared" si="18"/>
        <v>-16890</v>
      </c>
      <c r="F131" s="114">
        <f t="shared" si="19"/>
        <v>-0.20891830045148124</v>
      </c>
    </row>
    <row r="132" spans="1:6" x14ac:dyDescent="0.2">
      <c r="A132" s="115">
        <v>7</v>
      </c>
      <c r="B132" s="116" t="s">
        <v>119</v>
      </c>
      <c r="C132" s="133">
        <v>148534</v>
      </c>
      <c r="D132" s="133">
        <v>107774</v>
      </c>
      <c r="E132" s="133">
        <f t="shared" si="18"/>
        <v>-40760</v>
      </c>
      <c r="F132" s="114">
        <f t="shared" si="19"/>
        <v>-0.27441528538920384</v>
      </c>
    </row>
    <row r="133" spans="1:6" x14ac:dyDescent="0.2">
      <c r="A133" s="115">
        <v>8</v>
      </c>
      <c r="B133" s="116" t="s">
        <v>120</v>
      </c>
      <c r="C133" s="133">
        <v>4322</v>
      </c>
      <c r="D133" s="133">
        <v>2632</v>
      </c>
      <c r="E133" s="133">
        <f t="shared" si="18"/>
        <v>-1690</v>
      </c>
      <c r="F133" s="114">
        <f t="shared" si="19"/>
        <v>-0.39102267468764462</v>
      </c>
    </row>
    <row r="134" spans="1:6" x14ac:dyDescent="0.2">
      <c r="A134" s="115">
        <v>9</v>
      </c>
      <c r="B134" s="116" t="s">
        <v>121</v>
      </c>
      <c r="C134" s="133">
        <v>24611</v>
      </c>
      <c r="D134" s="133">
        <v>18429</v>
      </c>
      <c r="E134" s="133">
        <f t="shared" si="18"/>
        <v>-6182</v>
      </c>
      <c r="F134" s="114">
        <f t="shared" si="19"/>
        <v>-0.25118849295030676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4027</v>
      </c>
      <c r="D136" s="133">
        <v>3977</v>
      </c>
      <c r="E136" s="133">
        <f t="shared" si="18"/>
        <v>-50</v>
      </c>
      <c r="F136" s="114">
        <f t="shared" si="19"/>
        <v>-1.2416190712689347E-2</v>
      </c>
    </row>
    <row r="137" spans="1:6" ht="15.75" x14ac:dyDescent="0.25">
      <c r="A137" s="117"/>
      <c r="B137" s="118" t="s">
        <v>142</v>
      </c>
      <c r="C137" s="134">
        <f>SUM(C126:C136)</f>
        <v>390268</v>
      </c>
      <c r="D137" s="134">
        <f>SUM(D126:D136)</f>
        <v>296630</v>
      </c>
      <c r="E137" s="134">
        <f t="shared" si="18"/>
        <v>-93638</v>
      </c>
      <c r="F137" s="120">
        <f t="shared" si="19"/>
        <v>-0.23993255916447159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20356092</v>
      </c>
      <c r="D142" s="113">
        <v>23425796</v>
      </c>
      <c r="E142" s="113">
        <f t="shared" ref="E142:E153" si="20">D142-C142</f>
        <v>3069704</v>
      </c>
      <c r="F142" s="114">
        <f t="shared" ref="F142:F153" si="21">IF(C142=0,0,E142/C142)</f>
        <v>0.15080026166122654</v>
      </c>
    </row>
    <row r="143" spans="1:6" x14ac:dyDescent="0.2">
      <c r="A143" s="115">
        <v>2</v>
      </c>
      <c r="B143" s="116" t="s">
        <v>114</v>
      </c>
      <c r="C143" s="113">
        <v>2471833</v>
      </c>
      <c r="D143" s="113">
        <v>2982791</v>
      </c>
      <c r="E143" s="113">
        <f t="shared" si="20"/>
        <v>510958</v>
      </c>
      <c r="F143" s="114">
        <f t="shared" si="21"/>
        <v>0.20671218484420267</v>
      </c>
    </row>
    <row r="144" spans="1:6" x14ac:dyDescent="0.2">
      <c r="A144" s="115">
        <v>3</v>
      </c>
      <c r="B144" s="116" t="s">
        <v>115</v>
      </c>
      <c r="C144" s="113">
        <v>6427671</v>
      </c>
      <c r="D144" s="113">
        <v>10096234</v>
      </c>
      <c r="E144" s="113">
        <f t="shared" si="20"/>
        <v>3668563</v>
      </c>
      <c r="F144" s="114">
        <f t="shared" si="21"/>
        <v>0.57074529794695461</v>
      </c>
    </row>
    <row r="145" spans="1:6" x14ac:dyDescent="0.2">
      <c r="A145" s="115">
        <v>4</v>
      </c>
      <c r="B145" s="116" t="s">
        <v>116</v>
      </c>
      <c r="C145" s="113">
        <v>860064</v>
      </c>
      <c r="D145" s="113">
        <v>0</v>
      </c>
      <c r="E145" s="113">
        <f t="shared" si="20"/>
        <v>-860064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217512</v>
      </c>
      <c r="D146" s="113">
        <v>238335</v>
      </c>
      <c r="E146" s="113">
        <f t="shared" si="20"/>
        <v>20823</v>
      </c>
      <c r="F146" s="114">
        <f t="shared" si="21"/>
        <v>9.5732649233145756E-2</v>
      </c>
    </row>
    <row r="147" spans="1:6" x14ac:dyDescent="0.2">
      <c r="A147" s="115">
        <v>6</v>
      </c>
      <c r="B147" s="116" t="s">
        <v>118</v>
      </c>
      <c r="C147" s="113">
        <v>24168953</v>
      </c>
      <c r="D147" s="113">
        <v>28524745</v>
      </c>
      <c r="E147" s="113">
        <f t="shared" si="20"/>
        <v>4355792</v>
      </c>
      <c r="F147" s="114">
        <f t="shared" si="21"/>
        <v>0.18022261866287712</v>
      </c>
    </row>
    <row r="148" spans="1:6" x14ac:dyDescent="0.2">
      <c r="A148" s="115">
        <v>7</v>
      </c>
      <c r="B148" s="116" t="s">
        <v>119</v>
      </c>
      <c r="C148" s="113">
        <v>36414309</v>
      </c>
      <c r="D148" s="113">
        <v>39970077</v>
      </c>
      <c r="E148" s="113">
        <f t="shared" si="20"/>
        <v>3555768</v>
      </c>
      <c r="F148" s="114">
        <f t="shared" si="21"/>
        <v>9.7647548385443761E-2</v>
      </c>
    </row>
    <row r="149" spans="1:6" x14ac:dyDescent="0.2">
      <c r="A149" s="115">
        <v>8</v>
      </c>
      <c r="B149" s="116" t="s">
        <v>120</v>
      </c>
      <c r="C149" s="113">
        <v>2485572</v>
      </c>
      <c r="D149" s="113">
        <v>2430909</v>
      </c>
      <c r="E149" s="113">
        <f t="shared" si="20"/>
        <v>-54663</v>
      </c>
      <c r="F149" s="114">
        <f t="shared" si="21"/>
        <v>-2.1992120928301412E-2</v>
      </c>
    </row>
    <row r="150" spans="1:6" x14ac:dyDescent="0.2">
      <c r="A150" s="115">
        <v>9</v>
      </c>
      <c r="B150" s="116" t="s">
        <v>121</v>
      </c>
      <c r="C150" s="113">
        <v>12654693</v>
      </c>
      <c r="D150" s="113">
        <v>14953253</v>
      </c>
      <c r="E150" s="113">
        <f t="shared" si="20"/>
        <v>2298560</v>
      </c>
      <c r="F150" s="114">
        <f t="shared" si="21"/>
        <v>0.18163696266673557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5161198</v>
      </c>
      <c r="D152" s="113">
        <v>9598187</v>
      </c>
      <c r="E152" s="113">
        <f t="shared" si="20"/>
        <v>4436989</v>
      </c>
      <c r="F152" s="114">
        <f t="shared" si="21"/>
        <v>0.85968199631170905</v>
      </c>
    </row>
    <row r="153" spans="1:6" ht="33.75" customHeight="1" x14ac:dyDescent="0.25">
      <c r="A153" s="117"/>
      <c r="B153" s="118" t="s">
        <v>146</v>
      </c>
      <c r="C153" s="119">
        <f>SUM(C142:C152)</f>
        <v>111217897</v>
      </c>
      <c r="D153" s="119">
        <f>SUM(D142:D152)</f>
        <v>132220327</v>
      </c>
      <c r="E153" s="119">
        <f t="shared" si="20"/>
        <v>21002430</v>
      </c>
      <c r="F153" s="120">
        <f t="shared" si="21"/>
        <v>0.18884038060888708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3897597</v>
      </c>
      <c r="D155" s="113">
        <v>3228129</v>
      </c>
      <c r="E155" s="113">
        <f t="shared" ref="E155:E166" si="22">D155-C155</f>
        <v>-669468</v>
      </c>
      <c r="F155" s="114">
        <f t="shared" ref="F155:F166" si="23">IF(C155=0,0,E155/C155)</f>
        <v>-0.17176429476931557</v>
      </c>
    </row>
    <row r="156" spans="1:6" x14ac:dyDescent="0.2">
      <c r="A156" s="115">
        <v>2</v>
      </c>
      <c r="B156" s="116" t="s">
        <v>114</v>
      </c>
      <c r="C156" s="113">
        <v>676498</v>
      </c>
      <c r="D156" s="113">
        <v>483885</v>
      </c>
      <c r="E156" s="113">
        <f t="shared" si="22"/>
        <v>-192613</v>
      </c>
      <c r="F156" s="114">
        <f t="shared" si="23"/>
        <v>-0.28472072349068289</v>
      </c>
    </row>
    <row r="157" spans="1:6" x14ac:dyDescent="0.2">
      <c r="A157" s="115">
        <v>3</v>
      </c>
      <c r="B157" s="116" t="s">
        <v>115</v>
      </c>
      <c r="C157" s="113">
        <v>1065121</v>
      </c>
      <c r="D157" s="113">
        <v>1265732</v>
      </c>
      <c r="E157" s="113">
        <f t="shared" si="22"/>
        <v>200611</v>
      </c>
      <c r="F157" s="114">
        <f t="shared" si="23"/>
        <v>0.18834573724487641</v>
      </c>
    </row>
    <row r="158" spans="1:6" x14ac:dyDescent="0.2">
      <c r="A158" s="115">
        <v>4</v>
      </c>
      <c r="B158" s="116" t="s">
        <v>116</v>
      </c>
      <c r="C158" s="113">
        <v>128226</v>
      </c>
      <c r="D158" s="113">
        <v>0</v>
      </c>
      <c r="E158" s="113">
        <f t="shared" si="22"/>
        <v>-128226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130915</v>
      </c>
      <c r="D159" s="113">
        <v>131235</v>
      </c>
      <c r="E159" s="113">
        <f t="shared" si="22"/>
        <v>320</v>
      </c>
      <c r="F159" s="114">
        <f t="shared" si="23"/>
        <v>2.4443341099186495E-3</v>
      </c>
    </row>
    <row r="160" spans="1:6" x14ac:dyDescent="0.2">
      <c r="A160" s="115">
        <v>6</v>
      </c>
      <c r="B160" s="116" t="s">
        <v>118</v>
      </c>
      <c r="C160" s="113">
        <v>9979944</v>
      </c>
      <c r="D160" s="113">
        <v>11933928</v>
      </c>
      <c r="E160" s="113">
        <f t="shared" si="22"/>
        <v>1953984</v>
      </c>
      <c r="F160" s="114">
        <f t="shared" si="23"/>
        <v>0.19579107858721451</v>
      </c>
    </row>
    <row r="161" spans="1:6" x14ac:dyDescent="0.2">
      <c r="A161" s="115">
        <v>7</v>
      </c>
      <c r="B161" s="116" t="s">
        <v>119</v>
      </c>
      <c r="C161" s="113">
        <v>14625997</v>
      </c>
      <c r="D161" s="113">
        <v>14141829</v>
      </c>
      <c r="E161" s="113">
        <f t="shared" si="22"/>
        <v>-484168</v>
      </c>
      <c r="F161" s="114">
        <f t="shared" si="23"/>
        <v>-3.3103247593993079E-2</v>
      </c>
    </row>
    <row r="162" spans="1:6" x14ac:dyDescent="0.2">
      <c r="A162" s="115">
        <v>8</v>
      </c>
      <c r="B162" s="116" t="s">
        <v>120</v>
      </c>
      <c r="C162" s="113">
        <v>1639651</v>
      </c>
      <c r="D162" s="113">
        <v>760704</v>
      </c>
      <c r="E162" s="113">
        <f t="shared" si="22"/>
        <v>-878947</v>
      </c>
      <c r="F162" s="114">
        <f t="shared" si="23"/>
        <v>-0.5360573683058163</v>
      </c>
    </row>
    <row r="163" spans="1:6" x14ac:dyDescent="0.2">
      <c r="A163" s="115">
        <v>9</v>
      </c>
      <c r="B163" s="116" t="s">
        <v>121</v>
      </c>
      <c r="C163" s="113">
        <v>8605521</v>
      </c>
      <c r="D163" s="113">
        <v>11912879</v>
      </c>
      <c r="E163" s="113">
        <f t="shared" si="22"/>
        <v>3307358</v>
      </c>
      <c r="F163" s="114">
        <f t="shared" si="23"/>
        <v>0.38432978084650538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798310</v>
      </c>
      <c r="D165" s="113">
        <v>1900203</v>
      </c>
      <c r="E165" s="113">
        <f t="shared" si="22"/>
        <v>1101893</v>
      </c>
      <c r="F165" s="114">
        <f t="shared" si="23"/>
        <v>1.3802820959276472</v>
      </c>
    </row>
    <row r="166" spans="1:6" ht="33.75" customHeight="1" x14ac:dyDescent="0.25">
      <c r="A166" s="117"/>
      <c r="B166" s="118" t="s">
        <v>148</v>
      </c>
      <c r="C166" s="119">
        <f>SUM(C155:C165)</f>
        <v>41547780</v>
      </c>
      <c r="D166" s="119">
        <f>SUM(D155:D165)</f>
        <v>45758524</v>
      </c>
      <c r="E166" s="119">
        <f t="shared" si="22"/>
        <v>4210744</v>
      </c>
      <c r="F166" s="120">
        <f t="shared" si="23"/>
        <v>0.10134702744647248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5272</v>
      </c>
      <c r="D168" s="133">
        <v>5153</v>
      </c>
      <c r="E168" s="133">
        <f t="shared" ref="E168:E179" si="24">D168-C168</f>
        <v>-119</v>
      </c>
      <c r="F168" s="114">
        <f t="shared" ref="F168:F179" si="25">IF(C168=0,0,E168/C168)</f>
        <v>-2.2572078907435508E-2</v>
      </c>
    </row>
    <row r="169" spans="1:6" x14ac:dyDescent="0.2">
      <c r="A169" s="115">
        <v>2</v>
      </c>
      <c r="B169" s="116" t="s">
        <v>114</v>
      </c>
      <c r="C169" s="133">
        <v>616</v>
      </c>
      <c r="D169" s="133">
        <v>643</v>
      </c>
      <c r="E169" s="133">
        <f t="shared" si="24"/>
        <v>27</v>
      </c>
      <c r="F169" s="114">
        <f t="shared" si="25"/>
        <v>4.3831168831168832E-2</v>
      </c>
    </row>
    <row r="170" spans="1:6" x14ac:dyDescent="0.2">
      <c r="A170" s="115">
        <v>3</v>
      </c>
      <c r="B170" s="116" t="s">
        <v>115</v>
      </c>
      <c r="C170" s="133">
        <v>3562</v>
      </c>
      <c r="D170" s="133">
        <v>3184</v>
      </c>
      <c r="E170" s="133">
        <f t="shared" si="24"/>
        <v>-378</v>
      </c>
      <c r="F170" s="114">
        <f t="shared" si="25"/>
        <v>-0.10612015721504772</v>
      </c>
    </row>
    <row r="171" spans="1:6" x14ac:dyDescent="0.2">
      <c r="A171" s="115">
        <v>4</v>
      </c>
      <c r="B171" s="116" t="s">
        <v>116</v>
      </c>
      <c r="C171" s="133">
        <v>794</v>
      </c>
      <c r="D171" s="133">
        <v>0</v>
      </c>
      <c r="E171" s="133">
        <f t="shared" si="24"/>
        <v>-794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64</v>
      </c>
      <c r="D172" s="133">
        <v>73</v>
      </c>
      <c r="E172" s="133">
        <f t="shared" si="24"/>
        <v>9</v>
      </c>
      <c r="F172" s="114">
        <f t="shared" si="25"/>
        <v>0.140625</v>
      </c>
    </row>
    <row r="173" spans="1:6" x14ac:dyDescent="0.2">
      <c r="A173" s="115">
        <v>6</v>
      </c>
      <c r="B173" s="116" t="s">
        <v>118</v>
      </c>
      <c r="C173" s="133">
        <v>7640</v>
      </c>
      <c r="D173" s="133">
        <v>7417</v>
      </c>
      <c r="E173" s="133">
        <f t="shared" si="24"/>
        <v>-223</v>
      </c>
      <c r="F173" s="114">
        <f t="shared" si="25"/>
        <v>-2.9188481675392671E-2</v>
      </c>
    </row>
    <row r="174" spans="1:6" x14ac:dyDescent="0.2">
      <c r="A174" s="115">
        <v>7</v>
      </c>
      <c r="B174" s="116" t="s">
        <v>119</v>
      </c>
      <c r="C174" s="133">
        <v>11272</v>
      </c>
      <c r="D174" s="133">
        <v>10620</v>
      </c>
      <c r="E174" s="133">
        <f t="shared" si="24"/>
        <v>-652</v>
      </c>
      <c r="F174" s="114">
        <f t="shared" si="25"/>
        <v>-5.7842441447835347E-2</v>
      </c>
    </row>
    <row r="175" spans="1:6" x14ac:dyDescent="0.2">
      <c r="A175" s="115">
        <v>8</v>
      </c>
      <c r="B175" s="116" t="s">
        <v>120</v>
      </c>
      <c r="C175" s="133">
        <v>894</v>
      </c>
      <c r="D175" s="133">
        <v>789</v>
      </c>
      <c r="E175" s="133">
        <f t="shared" si="24"/>
        <v>-105</v>
      </c>
      <c r="F175" s="114">
        <f t="shared" si="25"/>
        <v>-0.1174496644295302</v>
      </c>
    </row>
    <row r="176" spans="1:6" x14ac:dyDescent="0.2">
      <c r="A176" s="115">
        <v>9</v>
      </c>
      <c r="B176" s="116" t="s">
        <v>121</v>
      </c>
      <c r="C176" s="133">
        <v>3987</v>
      </c>
      <c r="D176" s="133">
        <v>3883</v>
      </c>
      <c r="E176" s="133">
        <f t="shared" si="24"/>
        <v>-104</v>
      </c>
      <c r="F176" s="114">
        <f t="shared" si="25"/>
        <v>-2.6084775520441434E-2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1823</v>
      </c>
      <c r="D178" s="133">
        <v>3163</v>
      </c>
      <c r="E178" s="133">
        <f t="shared" si="24"/>
        <v>1340</v>
      </c>
      <c r="F178" s="114">
        <f t="shared" si="25"/>
        <v>0.73505211190345587</v>
      </c>
    </row>
    <row r="179" spans="1:6" ht="33.75" customHeight="1" x14ac:dyDescent="0.25">
      <c r="A179" s="117"/>
      <c r="B179" s="118" t="s">
        <v>150</v>
      </c>
      <c r="C179" s="134">
        <f>SUM(C168:C178)</f>
        <v>35924</v>
      </c>
      <c r="D179" s="134">
        <f>SUM(D168:D178)</f>
        <v>34925</v>
      </c>
      <c r="E179" s="134">
        <f t="shared" si="24"/>
        <v>-999</v>
      </c>
      <c r="F179" s="120">
        <f t="shared" si="25"/>
        <v>-2.7808707270905245E-2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38516535</v>
      </c>
      <c r="D15" s="157">
        <v>39074720</v>
      </c>
      <c r="E15" s="157">
        <f>+D15-C15</f>
        <v>558185</v>
      </c>
      <c r="F15" s="161">
        <f>IF(C15=0,0,E15/C15)</f>
        <v>1.4492087618992726E-2</v>
      </c>
    </row>
    <row r="16" spans="1:6" ht="15" customHeight="1" x14ac:dyDescent="0.2">
      <c r="A16" s="147">
        <v>2</v>
      </c>
      <c r="B16" s="160" t="s">
        <v>157</v>
      </c>
      <c r="C16" s="157">
        <v>9013899</v>
      </c>
      <c r="D16" s="157">
        <v>6590578</v>
      </c>
      <c r="E16" s="157">
        <f>+D16-C16</f>
        <v>-2423321</v>
      </c>
      <c r="F16" s="161">
        <f>IF(C16=0,0,E16/C16)</f>
        <v>-0.26884270613637895</v>
      </c>
    </row>
    <row r="17" spans="1:6" ht="15" customHeight="1" x14ac:dyDescent="0.2">
      <c r="A17" s="147">
        <v>3</v>
      </c>
      <c r="B17" s="160" t="s">
        <v>158</v>
      </c>
      <c r="C17" s="157">
        <v>67271694</v>
      </c>
      <c r="D17" s="157">
        <v>65784702</v>
      </c>
      <c r="E17" s="157">
        <f>+D17-C17</f>
        <v>-1486992</v>
      </c>
      <c r="F17" s="161">
        <f>IF(C17=0,0,E17/C17)</f>
        <v>-2.2104274644845424E-2</v>
      </c>
    </row>
    <row r="18" spans="1:6" ht="15.75" customHeight="1" x14ac:dyDescent="0.25">
      <c r="A18" s="147"/>
      <c r="B18" s="162" t="s">
        <v>159</v>
      </c>
      <c r="C18" s="158">
        <f>SUM(C15:C17)</f>
        <v>114802128</v>
      </c>
      <c r="D18" s="158">
        <f>SUM(D15:D17)</f>
        <v>111450000</v>
      </c>
      <c r="E18" s="158">
        <f>+D18-C18</f>
        <v>-3352128</v>
      </c>
      <c r="F18" s="159">
        <f>IF(C18=0,0,E18/C18)</f>
        <v>-2.9199180001262693E-2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11554960</v>
      </c>
      <c r="D21" s="157">
        <v>14296983</v>
      </c>
      <c r="E21" s="157">
        <f>+D21-C21</f>
        <v>2742023</v>
      </c>
      <c r="F21" s="161">
        <f>IF(C21=0,0,E21/C21)</f>
        <v>0.23730268213823327</v>
      </c>
    </row>
    <row r="22" spans="1:6" ht="15" customHeight="1" x14ac:dyDescent="0.2">
      <c r="A22" s="147">
        <v>2</v>
      </c>
      <c r="B22" s="160" t="s">
        <v>162</v>
      </c>
      <c r="C22" s="157">
        <v>2704170</v>
      </c>
      <c r="D22" s="157">
        <v>2450740</v>
      </c>
      <c r="E22" s="157">
        <f>+D22-C22</f>
        <v>-253430</v>
      </c>
      <c r="F22" s="161">
        <f>IF(C22=0,0,E22/C22)</f>
        <v>-9.3718220378156705E-2</v>
      </c>
    </row>
    <row r="23" spans="1:6" ht="15" customHeight="1" x14ac:dyDescent="0.2">
      <c r="A23" s="147">
        <v>3</v>
      </c>
      <c r="B23" s="160" t="s">
        <v>163</v>
      </c>
      <c r="C23" s="157">
        <v>24163937</v>
      </c>
      <c r="D23" s="157">
        <v>24098277</v>
      </c>
      <c r="E23" s="157">
        <f>+D23-C23</f>
        <v>-65660</v>
      </c>
      <c r="F23" s="161">
        <f>IF(C23=0,0,E23/C23)</f>
        <v>-2.7172724378481867E-3</v>
      </c>
    </row>
    <row r="24" spans="1:6" ht="15.75" customHeight="1" x14ac:dyDescent="0.25">
      <c r="A24" s="147"/>
      <c r="B24" s="162" t="s">
        <v>164</v>
      </c>
      <c r="C24" s="158">
        <f>SUM(C21:C23)</f>
        <v>38423067</v>
      </c>
      <c r="D24" s="158">
        <f>SUM(D21:D23)</f>
        <v>40846000</v>
      </c>
      <c r="E24" s="158">
        <f>+D24-C24</f>
        <v>2422933</v>
      </c>
      <c r="F24" s="159">
        <f>IF(C24=0,0,E24/C24)</f>
        <v>6.305933360291098E-2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1529236</v>
      </c>
      <c r="D27" s="157">
        <v>1395278</v>
      </c>
      <c r="E27" s="157">
        <f>+D27-C27</f>
        <v>-133958</v>
      </c>
      <c r="F27" s="161">
        <f>IF(C27=0,0,E27/C27)</f>
        <v>-8.7597990107478499E-2</v>
      </c>
    </row>
    <row r="28" spans="1:6" ht="15" customHeight="1" x14ac:dyDescent="0.2">
      <c r="A28" s="147">
        <v>2</v>
      </c>
      <c r="B28" s="160" t="s">
        <v>167</v>
      </c>
      <c r="C28" s="157">
        <v>8372980</v>
      </c>
      <c r="D28" s="157">
        <v>8762000</v>
      </c>
      <c r="E28" s="157">
        <f>+D28-C28</f>
        <v>389020</v>
      </c>
      <c r="F28" s="161">
        <f>IF(C28=0,0,E28/C28)</f>
        <v>4.646135545528593E-2</v>
      </c>
    </row>
    <row r="29" spans="1:6" ht="15" customHeight="1" x14ac:dyDescent="0.2">
      <c r="A29" s="147">
        <v>3</v>
      </c>
      <c r="B29" s="160" t="s">
        <v>168</v>
      </c>
      <c r="C29" s="157">
        <v>174476</v>
      </c>
      <c r="D29" s="157">
        <v>302853</v>
      </c>
      <c r="E29" s="157">
        <f>+D29-C29</f>
        <v>128377</v>
      </c>
      <c r="F29" s="161">
        <f>IF(C29=0,0,E29/C29)</f>
        <v>0.73578601068341776</v>
      </c>
    </row>
    <row r="30" spans="1:6" ht="15.75" customHeight="1" x14ac:dyDescent="0.25">
      <c r="A30" s="147"/>
      <c r="B30" s="162" t="s">
        <v>169</v>
      </c>
      <c r="C30" s="158">
        <f>SUM(C27:C29)</f>
        <v>10076692</v>
      </c>
      <c r="D30" s="158">
        <f>SUM(D27:D29)</f>
        <v>10460131</v>
      </c>
      <c r="E30" s="158">
        <f>+D30-C30</f>
        <v>383439</v>
      </c>
      <c r="F30" s="159">
        <f>IF(C30=0,0,E30/C30)</f>
        <v>3.8052071056652322E-2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23717629</v>
      </c>
      <c r="D33" s="157">
        <v>24826423</v>
      </c>
      <c r="E33" s="157">
        <f>+D33-C33</f>
        <v>1108794</v>
      </c>
      <c r="F33" s="161">
        <f>IF(C33=0,0,E33/C33)</f>
        <v>4.6749782619502141E-2</v>
      </c>
    </row>
    <row r="34" spans="1:6" ht="15" customHeight="1" x14ac:dyDescent="0.2">
      <c r="A34" s="147">
        <v>2</v>
      </c>
      <c r="B34" s="160" t="s">
        <v>173</v>
      </c>
      <c r="C34" s="157">
        <v>14918157</v>
      </c>
      <c r="D34" s="157">
        <v>20087898</v>
      </c>
      <c r="E34" s="157">
        <f>+D34-C34</f>
        <v>5169741</v>
      </c>
      <c r="F34" s="161">
        <f>IF(C34=0,0,E34/C34)</f>
        <v>0.34654019259885788</v>
      </c>
    </row>
    <row r="35" spans="1:6" ht="15.75" customHeight="1" x14ac:dyDescent="0.25">
      <c r="A35" s="147"/>
      <c r="B35" s="162" t="s">
        <v>174</v>
      </c>
      <c r="C35" s="158">
        <f>SUM(C33:C34)</f>
        <v>38635786</v>
      </c>
      <c r="D35" s="158">
        <f>SUM(D33:D34)</f>
        <v>44914321</v>
      </c>
      <c r="E35" s="158">
        <f>+D35-C35</f>
        <v>6278535</v>
      </c>
      <c r="F35" s="159">
        <f>IF(C35=0,0,E35/C35)</f>
        <v>0.16250568837916227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5905693</v>
      </c>
      <c r="D38" s="157">
        <v>5574621</v>
      </c>
      <c r="E38" s="157">
        <f>+D38-C38</f>
        <v>-331072</v>
      </c>
      <c r="F38" s="161">
        <f>IF(C38=0,0,E38/C38)</f>
        <v>-5.6059805343758977E-2</v>
      </c>
    </row>
    <row r="39" spans="1:6" ht="15" customHeight="1" x14ac:dyDescent="0.2">
      <c r="A39" s="147">
        <v>2</v>
      </c>
      <c r="B39" s="160" t="s">
        <v>178</v>
      </c>
      <c r="C39" s="157">
        <v>12500344</v>
      </c>
      <c r="D39" s="157">
        <v>15658379</v>
      </c>
      <c r="E39" s="157">
        <f>+D39-C39</f>
        <v>3158035</v>
      </c>
      <c r="F39" s="161">
        <f>IF(C39=0,0,E39/C39)</f>
        <v>0.25263584746147788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18406037</v>
      </c>
      <c r="D41" s="158">
        <f>SUM(D38:D40)</f>
        <v>21233000</v>
      </c>
      <c r="E41" s="158">
        <f>+D41-C41</f>
        <v>2826963</v>
      </c>
      <c r="F41" s="159">
        <f>IF(C41=0,0,E41/C41)</f>
        <v>0.15358890129363534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14042325</v>
      </c>
      <c r="D44" s="157">
        <v>0</v>
      </c>
      <c r="E44" s="157">
        <f>+D44-C44</f>
        <v>-14042325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357587</v>
      </c>
      <c r="D47" s="157">
        <v>469000</v>
      </c>
      <c r="E47" s="157">
        <f>+D47-C47</f>
        <v>111413</v>
      </c>
      <c r="F47" s="161">
        <f>IF(C47=0,0,E47/C47)</f>
        <v>0.31156893287507653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-1785660</v>
      </c>
      <c r="D50" s="157">
        <v>-981253</v>
      </c>
      <c r="E50" s="157">
        <f>+D50-C50</f>
        <v>804407</v>
      </c>
      <c r="F50" s="161">
        <f>IF(C50=0,0,E50/C50)</f>
        <v>-0.4504816146410851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85991</v>
      </c>
      <c r="D53" s="157">
        <v>121509</v>
      </c>
      <c r="E53" s="157">
        <f t="shared" ref="E53:E59" si="0">+D53-C53</f>
        <v>35518</v>
      </c>
      <c r="F53" s="161">
        <f t="shared" ref="F53:F59" si="1">IF(C53=0,0,E53/C53)</f>
        <v>0.41304322545382655</v>
      </c>
    </row>
    <row r="54" spans="1:6" ht="15" customHeight="1" x14ac:dyDescent="0.2">
      <c r="A54" s="147">
        <v>2</v>
      </c>
      <c r="B54" s="160" t="s">
        <v>189</v>
      </c>
      <c r="C54" s="157">
        <v>439575</v>
      </c>
      <c r="D54" s="157">
        <v>349096</v>
      </c>
      <c r="E54" s="157">
        <f t="shared" si="0"/>
        <v>-90479</v>
      </c>
      <c r="F54" s="161">
        <f t="shared" si="1"/>
        <v>-0.20583290678496274</v>
      </c>
    </row>
    <row r="55" spans="1:6" ht="15" customHeight="1" x14ac:dyDescent="0.2">
      <c r="A55" s="147">
        <v>3</v>
      </c>
      <c r="B55" s="160" t="s">
        <v>190</v>
      </c>
      <c r="C55" s="157">
        <v>43552</v>
      </c>
      <c r="D55" s="157">
        <v>56225</v>
      </c>
      <c r="E55" s="157">
        <f t="shared" si="0"/>
        <v>12673</v>
      </c>
      <c r="F55" s="161">
        <f t="shared" si="1"/>
        <v>0.29098548861131524</v>
      </c>
    </row>
    <row r="56" spans="1:6" ht="15" customHeight="1" x14ac:dyDescent="0.2">
      <c r="A56" s="147">
        <v>4</v>
      </c>
      <c r="B56" s="160" t="s">
        <v>191</v>
      </c>
      <c r="C56" s="157">
        <v>1701249</v>
      </c>
      <c r="D56" s="157">
        <v>1853170</v>
      </c>
      <c r="E56" s="157">
        <f t="shared" si="0"/>
        <v>151921</v>
      </c>
      <c r="F56" s="161">
        <f t="shared" si="1"/>
        <v>8.929968511370176E-2</v>
      </c>
    </row>
    <row r="57" spans="1:6" ht="15" customHeight="1" x14ac:dyDescent="0.2">
      <c r="A57" s="147">
        <v>5</v>
      </c>
      <c r="B57" s="160" t="s">
        <v>192</v>
      </c>
      <c r="C57" s="157">
        <v>234214</v>
      </c>
      <c r="D57" s="157">
        <v>2366</v>
      </c>
      <c r="E57" s="157">
        <f t="shared" si="0"/>
        <v>-231848</v>
      </c>
      <c r="F57" s="161">
        <f t="shared" si="1"/>
        <v>-0.98989812735361682</v>
      </c>
    </row>
    <row r="58" spans="1:6" ht="15" customHeight="1" x14ac:dyDescent="0.2">
      <c r="A58" s="147">
        <v>6</v>
      </c>
      <c r="B58" s="160" t="s">
        <v>193</v>
      </c>
      <c r="C58" s="157">
        <v>32595</v>
      </c>
      <c r="D58" s="157">
        <v>35542</v>
      </c>
      <c r="E58" s="157">
        <f t="shared" si="0"/>
        <v>2947</v>
      </c>
      <c r="F58" s="161">
        <f t="shared" si="1"/>
        <v>9.0412639975456358E-2</v>
      </c>
    </row>
    <row r="59" spans="1:6" ht="15.75" customHeight="1" x14ac:dyDescent="0.25">
      <c r="A59" s="147"/>
      <c r="B59" s="162" t="s">
        <v>194</v>
      </c>
      <c r="C59" s="158">
        <f>SUM(C53:C58)</f>
        <v>2537176</v>
      </c>
      <c r="D59" s="158">
        <f>SUM(D53:D58)</f>
        <v>2417908</v>
      </c>
      <c r="E59" s="158">
        <f t="shared" si="0"/>
        <v>-119268</v>
      </c>
      <c r="F59" s="159">
        <f t="shared" si="1"/>
        <v>-4.700816971309834E-2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267875</v>
      </c>
      <c r="D62" s="157">
        <v>358254</v>
      </c>
      <c r="E62" s="157">
        <f t="shared" ref="E62:E90" si="2">+D62-C62</f>
        <v>90379</v>
      </c>
      <c r="F62" s="161">
        <f t="shared" ref="F62:F90" si="3">IF(C62=0,0,E62/C62)</f>
        <v>0.33739244050396638</v>
      </c>
    </row>
    <row r="63" spans="1:6" ht="15" customHeight="1" x14ac:dyDescent="0.2">
      <c r="A63" s="147">
        <v>2</v>
      </c>
      <c r="B63" s="160" t="s">
        <v>198</v>
      </c>
      <c r="C63" s="157">
        <v>227119</v>
      </c>
      <c r="D63" s="157">
        <v>-6451</v>
      </c>
      <c r="E63" s="157">
        <f t="shared" si="2"/>
        <v>-233570</v>
      </c>
      <c r="F63" s="161">
        <f t="shared" si="3"/>
        <v>-1.0284036122032942</v>
      </c>
    </row>
    <row r="64" spans="1:6" ht="15" customHeight="1" x14ac:dyDescent="0.2">
      <c r="A64" s="147">
        <v>3</v>
      </c>
      <c r="B64" s="160" t="s">
        <v>199</v>
      </c>
      <c r="C64" s="157">
        <v>2193568</v>
      </c>
      <c r="D64" s="157">
        <v>1538469</v>
      </c>
      <c r="E64" s="157">
        <f t="shared" si="2"/>
        <v>-655099</v>
      </c>
      <c r="F64" s="161">
        <f t="shared" si="3"/>
        <v>-0.29864540328815886</v>
      </c>
    </row>
    <row r="65" spans="1:6" ht="15" customHeight="1" x14ac:dyDescent="0.2">
      <c r="A65" s="147">
        <v>4</v>
      </c>
      <c r="B65" s="160" t="s">
        <v>200</v>
      </c>
      <c r="C65" s="157">
        <v>413421</v>
      </c>
      <c r="D65" s="157">
        <v>445312</v>
      </c>
      <c r="E65" s="157">
        <f t="shared" si="2"/>
        <v>31891</v>
      </c>
      <c r="F65" s="161">
        <f t="shared" si="3"/>
        <v>7.7139284167954694E-2</v>
      </c>
    </row>
    <row r="66" spans="1:6" ht="15" customHeight="1" x14ac:dyDescent="0.2">
      <c r="A66" s="147">
        <v>5</v>
      </c>
      <c r="B66" s="160" t="s">
        <v>201</v>
      </c>
      <c r="C66" s="157">
        <v>1180653</v>
      </c>
      <c r="D66" s="157">
        <v>1649021</v>
      </c>
      <c r="E66" s="157">
        <f t="shared" si="2"/>
        <v>468368</v>
      </c>
      <c r="F66" s="161">
        <f t="shared" si="3"/>
        <v>0.39670250276753627</v>
      </c>
    </row>
    <row r="67" spans="1:6" ht="15" customHeight="1" x14ac:dyDescent="0.2">
      <c r="A67" s="147">
        <v>6</v>
      </c>
      <c r="B67" s="160" t="s">
        <v>202</v>
      </c>
      <c r="C67" s="157">
        <v>5469985</v>
      </c>
      <c r="D67" s="157">
        <v>6048748</v>
      </c>
      <c r="E67" s="157">
        <f t="shared" si="2"/>
        <v>578763</v>
      </c>
      <c r="F67" s="161">
        <f t="shared" si="3"/>
        <v>0.10580705431550544</v>
      </c>
    </row>
    <row r="68" spans="1:6" ht="15" customHeight="1" x14ac:dyDescent="0.2">
      <c r="A68" s="147">
        <v>7</v>
      </c>
      <c r="B68" s="160" t="s">
        <v>203</v>
      </c>
      <c r="C68" s="157">
        <v>1033578</v>
      </c>
      <c r="D68" s="157">
        <v>933969</v>
      </c>
      <c r="E68" s="157">
        <f t="shared" si="2"/>
        <v>-99609</v>
      </c>
      <c r="F68" s="161">
        <f t="shared" si="3"/>
        <v>-9.6372987815143127E-2</v>
      </c>
    </row>
    <row r="69" spans="1:6" ht="15" customHeight="1" x14ac:dyDescent="0.2">
      <c r="A69" s="147">
        <v>8</v>
      </c>
      <c r="B69" s="160" t="s">
        <v>204</v>
      </c>
      <c r="C69" s="157">
        <v>488499</v>
      </c>
      <c r="D69" s="157">
        <v>520609</v>
      </c>
      <c r="E69" s="157">
        <f t="shared" si="2"/>
        <v>32110</v>
      </c>
      <c r="F69" s="161">
        <f t="shared" si="3"/>
        <v>6.5731966697987101E-2</v>
      </c>
    </row>
    <row r="70" spans="1:6" ht="15" customHeight="1" x14ac:dyDescent="0.2">
      <c r="A70" s="147">
        <v>9</v>
      </c>
      <c r="B70" s="160" t="s">
        <v>205</v>
      </c>
      <c r="C70" s="157">
        <v>176660</v>
      </c>
      <c r="D70" s="157">
        <v>149113</v>
      </c>
      <c r="E70" s="157">
        <f t="shared" si="2"/>
        <v>-27547</v>
      </c>
      <c r="F70" s="161">
        <f t="shared" si="3"/>
        <v>-0.15593229933205027</v>
      </c>
    </row>
    <row r="71" spans="1:6" ht="15" customHeight="1" x14ac:dyDescent="0.2">
      <c r="A71" s="147">
        <v>10</v>
      </c>
      <c r="B71" s="160" t="s">
        <v>206</v>
      </c>
      <c r="C71" s="157">
        <v>338610</v>
      </c>
      <c r="D71" s="157">
        <v>248818</v>
      </c>
      <c r="E71" s="157">
        <f t="shared" si="2"/>
        <v>-89792</v>
      </c>
      <c r="F71" s="161">
        <f t="shared" si="3"/>
        <v>-0.26517822864061902</v>
      </c>
    </row>
    <row r="72" spans="1:6" ht="15" customHeight="1" x14ac:dyDescent="0.2">
      <c r="A72" s="147">
        <v>11</v>
      </c>
      <c r="B72" s="160" t="s">
        <v>207</v>
      </c>
      <c r="C72" s="157">
        <v>140512</v>
      </c>
      <c r="D72" s="157">
        <v>168875</v>
      </c>
      <c r="E72" s="157">
        <f t="shared" si="2"/>
        <v>28363</v>
      </c>
      <c r="F72" s="161">
        <f t="shared" si="3"/>
        <v>0.2018546458665452</v>
      </c>
    </row>
    <row r="73" spans="1:6" ht="15" customHeight="1" x14ac:dyDescent="0.2">
      <c r="A73" s="147">
        <v>12</v>
      </c>
      <c r="B73" s="160" t="s">
        <v>208</v>
      </c>
      <c r="C73" s="157">
        <v>2853587</v>
      </c>
      <c r="D73" s="157">
        <v>2578416</v>
      </c>
      <c r="E73" s="157">
        <f t="shared" si="2"/>
        <v>-275171</v>
      </c>
      <c r="F73" s="161">
        <f t="shared" si="3"/>
        <v>-9.6429861784483886E-2</v>
      </c>
    </row>
    <row r="74" spans="1:6" ht="15" customHeight="1" x14ac:dyDescent="0.2">
      <c r="A74" s="147">
        <v>13</v>
      </c>
      <c r="B74" s="160" t="s">
        <v>209</v>
      </c>
      <c r="C74" s="157">
        <v>309820</v>
      </c>
      <c r="D74" s="157">
        <v>320291</v>
      </c>
      <c r="E74" s="157">
        <f t="shared" si="2"/>
        <v>10471</v>
      </c>
      <c r="F74" s="161">
        <f t="shared" si="3"/>
        <v>3.3797043444580725E-2</v>
      </c>
    </row>
    <row r="75" spans="1:6" ht="15" customHeight="1" x14ac:dyDescent="0.2">
      <c r="A75" s="147">
        <v>14</v>
      </c>
      <c r="B75" s="160" t="s">
        <v>210</v>
      </c>
      <c r="C75" s="157">
        <v>410567</v>
      </c>
      <c r="D75" s="157">
        <v>277792</v>
      </c>
      <c r="E75" s="157">
        <f t="shared" si="2"/>
        <v>-132775</v>
      </c>
      <c r="F75" s="161">
        <f t="shared" si="3"/>
        <v>-0.32339423285359026</v>
      </c>
    </row>
    <row r="76" spans="1:6" ht="15" customHeight="1" x14ac:dyDescent="0.2">
      <c r="A76" s="147">
        <v>15</v>
      </c>
      <c r="B76" s="160" t="s">
        <v>211</v>
      </c>
      <c r="C76" s="157">
        <v>1816908</v>
      </c>
      <c r="D76" s="157">
        <v>0</v>
      </c>
      <c r="E76" s="157">
        <f t="shared" si="2"/>
        <v>-1816908</v>
      </c>
      <c r="F76" s="161">
        <f t="shared" si="3"/>
        <v>-1</v>
      </c>
    </row>
    <row r="77" spans="1:6" ht="15" customHeight="1" x14ac:dyDescent="0.2">
      <c r="A77" s="147">
        <v>16</v>
      </c>
      <c r="B77" s="160" t="s">
        <v>212</v>
      </c>
      <c r="C77" s="157">
        <v>34462716</v>
      </c>
      <c r="D77" s="157">
        <v>41000242</v>
      </c>
      <c r="E77" s="157">
        <f t="shared" si="2"/>
        <v>6537526</v>
      </c>
      <c r="F77" s="161">
        <f t="shared" si="3"/>
        <v>0.18969851360525386</v>
      </c>
    </row>
    <row r="78" spans="1:6" ht="15" customHeight="1" x14ac:dyDescent="0.2">
      <c r="A78" s="147">
        <v>17</v>
      </c>
      <c r="B78" s="160" t="s">
        <v>213</v>
      </c>
      <c r="C78" s="157">
        <v>381122</v>
      </c>
      <c r="D78" s="157">
        <v>0</v>
      </c>
      <c r="E78" s="157">
        <f t="shared" si="2"/>
        <v>-381122</v>
      </c>
      <c r="F78" s="161">
        <f t="shared" si="3"/>
        <v>-1</v>
      </c>
    </row>
    <row r="79" spans="1:6" ht="15" customHeight="1" x14ac:dyDescent="0.2">
      <c r="A79" s="147">
        <v>18</v>
      </c>
      <c r="B79" s="160" t="s">
        <v>214</v>
      </c>
      <c r="C79" s="157">
        <v>130474</v>
      </c>
      <c r="D79" s="157">
        <v>109955</v>
      </c>
      <c r="E79" s="157">
        <f t="shared" si="2"/>
        <v>-20519</v>
      </c>
      <c r="F79" s="161">
        <f t="shared" si="3"/>
        <v>-0.15726504897527477</v>
      </c>
    </row>
    <row r="80" spans="1:6" ht="15" customHeight="1" x14ac:dyDescent="0.2">
      <c r="A80" s="147">
        <v>19</v>
      </c>
      <c r="B80" s="160" t="s">
        <v>215</v>
      </c>
      <c r="C80" s="157">
        <v>2515460</v>
      </c>
      <c r="D80" s="157">
        <v>2228629</v>
      </c>
      <c r="E80" s="157">
        <f t="shared" si="2"/>
        <v>-286831</v>
      </c>
      <c r="F80" s="161">
        <f t="shared" si="3"/>
        <v>-0.11402725545228308</v>
      </c>
    </row>
    <row r="81" spans="1:6" ht="15" customHeight="1" x14ac:dyDescent="0.2">
      <c r="A81" s="147">
        <v>20</v>
      </c>
      <c r="B81" s="160" t="s">
        <v>216</v>
      </c>
      <c r="C81" s="157">
        <v>1034677</v>
      </c>
      <c r="D81" s="157">
        <v>1385070</v>
      </c>
      <c r="E81" s="157">
        <f t="shared" si="2"/>
        <v>350393</v>
      </c>
      <c r="F81" s="161">
        <f t="shared" si="3"/>
        <v>0.33864964621809512</v>
      </c>
    </row>
    <row r="82" spans="1:6" ht="15" customHeight="1" x14ac:dyDescent="0.2">
      <c r="A82" s="147">
        <v>21</v>
      </c>
      <c r="B82" s="160" t="s">
        <v>217</v>
      </c>
      <c r="C82" s="157">
        <v>157436</v>
      </c>
      <c r="D82" s="157">
        <v>399657</v>
      </c>
      <c r="E82" s="157">
        <f t="shared" si="2"/>
        <v>242221</v>
      </c>
      <c r="F82" s="161">
        <f t="shared" si="3"/>
        <v>1.5385362941131635</v>
      </c>
    </row>
    <row r="83" spans="1:6" ht="15" customHeight="1" x14ac:dyDescent="0.2">
      <c r="A83" s="147">
        <v>22</v>
      </c>
      <c r="B83" s="160" t="s">
        <v>218</v>
      </c>
      <c r="C83" s="157">
        <v>1028512</v>
      </c>
      <c r="D83" s="157">
        <v>704988</v>
      </c>
      <c r="E83" s="157">
        <f t="shared" si="2"/>
        <v>-323524</v>
      </c>
      <c r="F83" s="161">
        <f t="shared" si="3"/>
        <v>-0.31455539653402198</v>
      </c>
    </row>
    <row r="84" spans="1:6" ht="15" customHeight="1" x14ac:dyDescent="0.2">
      <c r="A84" s="147">
        <v>23</v>
      </c>
      <c r="B84" s="160" t="s">
        <v>219</v>
      </c>
      <c r="C84" s="157">
        <v>1194413</v>
      </c>
      <c r="D84" s="157">
        <v>1183583</v>
      </c>
      <c r="E84" s="157">
        <f t="shared" si="2"/>
        <v>-10830</v>
      </c>
      <c r="F84" s="161">
        <f t="shared" si="3"/>
        <v>-9.067215443904245E-3</v>
      </c>
    </row>
    <row r="85" spans="1:6" ht="15" customHeight="1" x14ac:dyDescent="0.2">
      <c r="A85" s="147">
        <v>24</v>
      </c>
      <c r="B85" s="160" t="s">
        <v>220</v>
      </c>
      <c r="C85" s="157">
        <v>4388834</v>
      </c>
      <c r="D85" s="157">
        <v>2947697</v>
      </c>
      <c r="E85" s="157">
        <f t="shared" si="2"/>
        <v>-1441137</v>
      </c>
      <c r="F85" s="161">
        <f t="shared" si="3"/>
        <v>-0.3283644357476268</v>
      </c>
    </row>
    <row r="86" spans="1:6" ht="15" customHeight="1" x14ac:dyDescent="0.2">
      <c r="A86" s="147">
        <v>25</v>
      </c>
      <c r="B86" s="160" t="s">
        <v>221</v>
      </c>
      <c r="C86" s="157">
        <v>225342</v>
      </c>
      <c r="D86" s="157">
        <v>195377</v>
      </c>
      <c r="E86" s="157">
        <f t="shared" si="2"/>
        <v>-29965</v>
      </c>
      <c r="F86" s="161">
        <f t="shared" si="3"/>
        <v>-0.13297565478250836</v>
      </c>
    </row>
    <row r="87" spans="1:6" ht="15" customHeight="1" x14ac:dyDescent="0.2">
      <c r="A87" s="147">
        <v>26</v>
      </c>
      <c r="B87" s="160" t="s">
        <v>222</v>
      </c>
      <c r="C87" s="157">
        <v>904147</v>
      </c>
      <c r="D87" s="157">
        <v>980816</v>
      </c>
      <c r="E87" s="157">
        <f t="shared" si="2"/>
        <v>76669</v>
      </c>
      <c r="F87" s="161">
        <f t="shared" si="3"/>
        <v>8.4797051806841148E-2</v>
      </c>
    </row>
    <row r="88" spans="1:6" ht="15" customHeight="1" x14ac:dyDescent="0.2">
      <c r="A88" s="147">
        <v>27</v>
      </c>
      <c r="B88" s="160" t="s">
        <v>223</v>
      </c>
      <c r="C88" s="157">
        <v>5940215</v>
      </c>
      <c r="D88" s="157">
        <v>6179031</v>
      </c>
      <c r="E88" s="157">
        <f t="shared" si="2"/>
        <v>238816</v>
      </c>
      <c r="F88" s="161">
        <f t="shared" si="3"/>
        <v>4.020325863626148E-2</v>
      </c>
    </row>
    <row r="89" spans="1:6" ht="15" customHeight="1" x14ac:dyDescent="0.2">
      <c r="A89" s="147">
        <v>28</v>
      </c>
      <c r="B89" s="160" t="s">
        <v>224</v>
      </c>
      <c r="C89" s="157">
        <v>6869929</v>
      </c>
      <c r="D89" s="157">
        <v>7597134</v>
      </c>
      <c r="E89" s="157">
        <f t="shared" si="2"/>
        <v>727205</v>
      </c>
      <c r="F89" s="161">
        <f t="shared" si="3"/>
        <v>0.10585335015834953</v>
      </c>
    </row>
    <row r="90" spans="1:6" ht="15.75" customHeight="1" x14ac:dyDescent="0.25">
      <c r="A90" s="147"/>
      <c r="B90" s="162" t="s">
        <v>225</v>
      </c>
      <c r="C90" s="158">
        <f>SUM(C62:C89)</f>
        <v>76554639</v>
      </c>
      <c r="D90" s="158">
        <f>SUM(D62:D89)</f>
        <v>80143415</v>
      </c>
      <c r="E90" s="158">
        <f t="shared" si="2"/>
        <v>3588776</v>
      </c>
      <c r="F90" s="159">
        <f t="shared" si="3"/>
        <v>4.6878622208642376E-2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509223</v>
      </c>
      <c r="D93" s="157">
        <v>66478</v>
      </c>
      <c r="E93" s="157">
        <f>+D93-C93</f>
        <v>-442745</v>
      </c>
      <c r="F93" s="161">
        <f>IF(C93=0,0,E93/C93)</f>
        <v>-0.86945208680676245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312559000</v>
      </c>
      <c r="D95" s="158">
        <f>+D93+D90+D59+D50+D47+D44+D41+D35+D30+D24+D18</f>
        <v>311019000</v>
      </c>
      <c r="E95" s="158">
        <f>+D95-C95</f>
        <v>-1540000</v>
      </c>
      <c r="F95" s="159">
        <f>IF(C95=0,0,E95/C95)</f>
        <v>-4.9270697692275697E-3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88223372</v>
      </c>
      <c r="D103" s="157">
        <v>81439033</v>
      </c>
      <c r="E103" s="157">
        <f t="shared" ref="E103:E121" si="4">D103-C103</f>
        <v>-6784339</v>
      </c>
      <c r="F103" s="161">
        <f t="shared" ref="F103:F121" si="5">IF(C103=0,0,E103/C103)</f>
        <v>-7.6899565797598393E-2</v>
      </c>
    </row>
    <row r="104" spans="1:6" ht="15" customHeight="1" x14ac:dyDescent="0.2">
      <c r="A104" s="147">
        <v>2</v>
      </c>
      <c r="B104" s="169" t="s">
        <v>234</v>
      </c>
      <c r="C104" s="157">
        <v>6167832</v>
      </c>
      <c r="D104" s="157">
        <v>6993380</v>
      </c>
      <c r="E104" s="157">
        <f t="shared" si="4"/>
        <v>825548</v>
      </c>
      <c r="F104" s="161">
        <f t="shared" si="5"/>
        <v>0.1338473551160278</v>
      </c>
    </row>
    <row r="105" spans="1:6" ht="15" customHeight="1" x14ac:dyDescent="0.2">
      <c r="A105" s="147">
        <v>3</v>
      </c>
      <c r="B105" s="169" t="s">
        <v>235</v>
      </c>
      <c r="C105" s="157">
        <v>7356128</v>
      </c>
      <c r="D105" s="157">
        <v>7242717</v>
      </c>
      <c r="E105" s="157">
        <f t="shared" si="4"/>
        <v>-113411</v>
      </c>
      <c r="F105" s="161">
        <f t="shared" si="5"/>
        <v>-1.5417214056090377E-2</v>
      </c>
    </row>
    <row r="106" spans="1:6" ht="15" customHeight="1" x14ac:dyDescent="0.2">
      <c r="A106" s="147">
        <v>4</v>
      </c>
      <c r="B106" s="169" t="s">
        <v>236</v>
      </c>
      <c r="C106" s="157">
        <v>3042294</v>
      </c>
      <c r="D106" s="157">
        <v>3114554</v>
      </c>
      <c r="E106" s="157">
        <f t="shared" si="4"/>
        <v>72260</v>
      </c>
      <c r="F106" s="161">
        <f t="shared" si="5"/>
        <v>2.3751813598554248E-2</v>
      </c>
    </row>
    <row r="107" spans="1:6" ht="15" customHeight="1" x14ac:dyDescent="0.2">
      <c r="A107" s="147">
        <v>5</v>
      </c>
      <c r="B107" s="169" t="s">
        <v>237</v>
      </c>
      <c r="C107" s="157">
        <v>16383300</v>
      </c>
      <c r="D107" s="157">
        <v>19279222</v>
      </c>
      <c r="E107" s="157">
        <f t="shared" si="4"/>
        <v>2895922</v>
      </c>
      <c r="F107" s="161">
        <f t="shared" si="5"/>
        <v>0.17676060378556213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1854733</v>
      </c>
      <c r="D109" s="157">
        <v>1624418</v>
      </c>
      <c r="E109" s="157">
        <f t="shared" si="4"/>
        <v>-230315</v>
      </c>
      <c r="F109" s="161">
        <f t="shared" si="5"/>
        <v>-0.12417690309063353</v>
      </c>
    </row>
    <row r="110" spans="1:6" ht="15" customHeight="1" x14ac:dyDescent="0.2">
      <c r="A110" s="147">
        <v>8</v>
      </c>
      <c r="B110" s="169" t="s">
        <v>240</v>
      </c>
      <c r="C110" s="157">
        <v>4315151</v>
      </c>
      <c r="D110" s="157">
        <v>3582495</v>
      </c>
      <c r="E110" s="157">
        <f t="shared" si="4"/>
        <v>-732656</v>
      </c>
      <c r="F110" s="161">
        <f t="shared" si="5"/>
        <v>-0.16978687420208471</v>
      </c>
    </row>
    <row r="111" spans="1:6" ht="15" customHeight="1" x14ac:dyDescent="0.2">
      <c r="A111" s="147">
        <v>9</v>
      </c>
      <c r="B111" s="169" t="s">
        <v>241</v>
      </c>
      <c r="C111" s="157">
        <v>0</v>
      </c>
      <c r="D111" s="157">
        <v>0</v>
      </c>
      <c r="E111" s="157">
        <f t="shared" si="4"/>
        <v>0</v>
      </c>
      <c r="F111" s="161">
        <f t="shared" si="5"/>
        <v>0</v>
      </c>
    </row>
    <row r="112" spans="1:6" ht="15" customHeight="1" x14ac:dyDescent="0.2">
      <c r="A112" s="147">
        <v>10</v>
      </c>
      <c r="B112" s="169" t="s">
        <v>242</v>
      </c>
      <c r="C112" s="157">
        <v>5212677</v>
      </c>
      <c r="D112" s="157">
        <v>4927350</v>
      </c>
      <c r="E112" s="157">
        <f t="shared" si="4"/>
        <v>-285327</v>
      </c>
      <c r="F112" s="161">
        <f t="shared" si="5"/>
        <v>-5.4737134105949783E-2</v>
      </c>
    </row>
    <row r="113" spans="1:6" ht="15" customHeight="1" x14ac:dyDescent="0.2">
      <c r="A113" s="147">
        <v>11</v>
      </c>
      <c r="B113" s="169" t="s">
        <v>243</v>
      </c>
      <c r="C113" s="157">
        <v>2616607</v>
      </c>
      <c r="D113" s="157">
        <v>2511957</v>
      </c>
      <c r="E113" s="157">
        <f t="shared" si="4"/>
        <v>-104650</v>
      </c>
      <c r="F113" s="161">
        <f t="shared" si="5"/>
        <v>-3.9994542550715488E-2</v>
      </c>
    </row>
    <row r="114" spans="1:6" ht="15" customHeight="1" x14ac:dyDescent="0.2">
      <c r="A114" s="147">
        <v>12</v>
      </c>
      <c r="B114" s="169" t="s">
        <v>244</v>
      </c>
      <c r="C114" s="157">
        <v>1359351</v>
      </c>
      <c r="D114" s="157">
        <v>193497</v>
      </c>
      <c r="E114" s="157">
        <f t="shared" si="4"/>
        <v>-1165854</v>
      </c>
      <c r="F114" s="161">
        <f t="shared" si="5"/>
        <v>-0.857654866182465</v>
      </c>
    </row>
    <row r="115" spans="1:6" ht="15" customHeight="1" x14ac:dyDescent="0.2">
      <c r="A115" s="147">
        <v>13</v>
      </c>
      <c r="B115" s="169" t="s">
        <v>245</v>
      </c>
      <c r="C115" s="157">
        <v>3529890</v>
      </c>
      <c r="D115" s="157">
        <v>3492855</v>
      </c>
      <c r="E115" s="157">
        <f t="shared" si="4"/>
        <v>-37035</v>
      </c>
      <c r="F115" s="161">
        <f t="shared" si="5"/>
        <v>-1.0491828357257591E-2</v>
      </c>
    </row>
    <row r="116" spans="1:6" ht="15" customHeight="1" x14ac:dyDescent="0.2">
      <c r="A116" s="147">
        <v>14</v>
      </c>
      <c r="B116" s="169" t="s">
        <v>246</v>
      </c>
      <c r="C116" s="157">
        <v>1765268</v>
      </c>
      <c r="D116" s="157">
        <v>1978577</v>
      </c>
      <c r="E116" s="157">
        <f t="shared" si="4"/>
        <v>213309</v>
      </c>
      <c r="F116" s="161">
        <f t="shared" si="5"/>
        <v>0.12083660951198345</v>
      </c>
    </row>
    <row r="117" spans="1:6" ht="15" customHeight="1" x14ac:dyDescent="0.2">
      <c r="A117" s="147">
        <v>15</v>
      </c>
      <c r="B117" s="169" t="s">
        <v>203</v>
      </c>
      <c r="C117" s="157">
        <v>3467005</v>
      </c>
      <c r="D117" s="157">
        <v>2751609</v>
      </c>
      <c r="E117" s="157">
        <f t="shared" si="4"/>
        <v>-715396</v>
      </c>
      <c r="F117" s="161">
        <f t="shared" si="5"/>
        <v>-0.20634409237944565</v>
      </c>
    </row>
    <row r="118" spans="1:6" ht="15" customHeight="1" x14ac:dyDescent="0.2">
      <c r="A118" s="147">
        <v>16</v>
      </c>
      <c r="B118" s="169" t="s">
        <v>247</v>
      </c>
      <c r="C118" s="157">
        <v>1059936</v>
      </c>
      <c r="D118" s="157">
        <v>1521109</v>
      </c>
      <c r="E118" s="157">
        <f t="shared" si="4"/>
        <v>461173</v>
      </c>
      <c r="F118" s="161">
        <f t="shared" si="5"/>
        <v>0.43509513781964193</v>
      </c>
    </row>
    <row r="119" spans="1:6" ht="15" customHeight="1" x14ac:dyDescent="0.2">
      <c r="A119" s="147">
        <v>17</v>
      </c>
      <c r="B119" s="169" t="s">
        <v>248</v>
      </c>
      <c r="C119" s="157">
        <v>17833882</v>
      </c>
      <c r="D119" s="157">
        <v>23491669</v>
      </c>
      <c r="E119" s="157">
        <f t="shared" si="4"/>
        <v>5657787</v>
      </c>
      <c r="F119" s="161">
        <f t="shared" si="5"/>
        <v>0.31724932350679452</v>
      </c>
    </row>
    <row r="120" spans="1:6" ht="15" customHeight="1" x14ac:dyDescent="0.2">
      <c r="A120" s="147">
        <v>18</v>
      </c>
      <c r="B120" s="169" t="s">
        <v>249</v>
      </c>
      <c r="C120" s="157">
        <v>959253</v>
      </c>
      <c r="D120" s="157">
        <v>1173090</v>
      </c>
      <c r="E120" s="157">
        <f t="shared" si="4"/>
        <v>213837</v>
      </c>
      <c r="F120" s="161">
        <f t="shared" si="5"/>
        <v>0.22292033488558285</v>
      </c>
    </row>
    <row r="121" spans="1:6" ht="15.75" customHeight="1" x14ac:dyDescent="0.25">
      <c r="A121" s="147"/>
      <c r="B121" s="165" t="s">
        <v>250</v>
      </c>
      <c r="C121" s="158">
        <f>SUM(C103:C120)</f>
        <v>165146679</v>
      </c>
      <c r="D121" s="158">
        <f>SUM(D103:D120)</f>
        <v>165317532</v>
      </c>
      <c r="E121" s="158">
        <f t="shared" si="4"/>
        <v>170853</v>
      </c>
      <c r="F121" s="159">
        <f t="shared" si="5"/>
        <v>1.0345530472338472E-3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1613270</v>
      </c>
      <c r="D124" s="157">
        <v>1598182</v>
      </c>
      <c r="E124" s="157">
        <f t="shared" ref="E124:E130" si="6">D124-C124</f>
        <v>-15088</v>
      </c>
      <c r="F124" s="161">
        <f t="shared" ref="F124:F130" si="7">IF(C124=0,0,E124/C124)</f>
        <v>-9.3524332566774313E-3</v>
      </c>
    </row>
    <row r="125" spans="1:6" ht="15" customHeight="1" x14ac:dyDescent="0.2">
      <c r="A125" s="147">
        <v>2</v>
      </c>
      <c r="B125" s="169" t="s">
        <v>253</v>
      </c>
      <c r="C125" s="157">
        <v>2378431</v>
      </c>
      <c r="D125" s="157">
        <v>2409432</v>
      </c>
      <c r="E125" s="157">
        <f t="shared" si="6"/>
        <v>31001</v>
      </c>
      <c r="F125" s="161">
        <f t="shared" si="7"/>
        <v>1.30342229814529E-2</v>
      </c>
    </row>
    <row r="126" spans="1:6" ht="15" customHeight="1" x14ac:dyDescent="0.2">
      <c r="A126" s="147">
        <v>3</v>
      </c>
      <c r="B126" s="169" t="s">
        <v>254</v>
      </c>
      <c r="C126" s="157">
        <v>2395090</v>
      </c>
      <c r="D126" s="157">
        <v>2221067</v>
      </c>
      <c r="E126" s="157">
        <f t="shared" si="6"/>
        <v>-174023</v>
      </c>
      <c r="F126" s="161">
        <f t="shared" si="7"/>
        <v>-7.2658229962130866E-2</v>
      </c>
    </row>
    <row r="127" spans="1:6" ht="15" customHeight="1" x14ac:dyDescent="0.2">
      <c r="A127" s="147">
        <v>4</v>
      </c>
      <c r="B127" s="169" t="s">
        <v>255</v>
      </c>
      <c r="C127" s="157">
        <v>2577000</v>
      </c>
      <c r="D127" s="157">
        <v>2188075</v>
      </c>
      <c r="E127" s="157">
        <f t="shared" si="6"/>
        <v>-388925</v>
      </c>
      <c r="F127" s="161">
        <f t="shared" si="7"/>
        <v>-0.15092161428017073</v>
      </c>
    </row>
    <row r="128" spans="1:6" ht="15" customHeight="1" x14ac:dyDescent="0.2">
      <c r="A128" s="147">
        <v>5</v>
      </c>
      <c r="B128" s="169" t="s">
        <v>256</v>
      </c>
      <c r="C128" s="157">
        <v>2603345</v>
      </c>
      <c r="D128" s="157">
        <v>2633967</v>
      </c>
      <c r="E128" s="157">
        <f t="shared" si="6"/>
        <v>30622</v>
      </c>
      <c r="F128" s="161">
        <f t="shared" si="7"/>
        <v>1.1762559322717504E-2</v>
      </c>
    </row>
    <row r="129" spans="1:6" ht="15" customHeight="1" x14ac:dyDescent="0.2">
      <c r="A129" s="147">
        <v>6</v>
      </c>
      <c r="B129" s="169" t="s">
        <v>257</v>
      </c>
      <c r="C129" s="157">
        <v>2209943</v>
      </c>
      <c r="D129" s="157">
        <v>2677418</v>
      </c>
      <c r="E129" s="157">
        <f t="shared" si="6"/>
        <v>467475</v>
      </c>
      <c r="F129" s="161">
        <f t="shared" si="7"/>
        <v>0.21153260513958957</v>
      </c>
    </row>
    <row r="130" spans="1:6" ht="15.75" customHeight="1" x14ac:dyDescent="0.25">
      <c r="A130" s="147"/>
      <c r="B130" s="165" t="s">
        <v>258</v>
      </c>
      <c r="C130" s="158">
        <f>SUM(C124:C129)</f>
        <v>13777079</v>
      </c>
      <c r="D130" s="158">
        <f>SUM(D124:D129)</f>
        <v>13728141</v>
      </c>
      <c r="E130" s="158">
        <f t="shared" si="6"/>
        <v>-48938</v>
      </c>
      <c r="F130" s="159">
        <f t="shared" si="7"/>
        <v>-3.5521317690056071E-3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19919481</v>
      </c>
      <c r="D133" s="157">
        <v>19755979</v>
      </c>
      <c r="E133" s="157">
        <f t="shared" ref="E133:E167" si="8">D133-C133</f>
        <v>-163502</v>
      </c>
      <c r="F133" s="161">
        <f t="shared" ref="F133:F167" si="9">IF(C133=0,0,E133/C133)</f>
        <v>-8.2081455837127483E-3</v>
      </c>
    </row>
    <row r="134" spans="1:6" ht="15" customHeight="1" x14ac:dyDescent="0.2">
      <c r="A134" s="147">
        <v>2</v>
      </c>
      <c r="B134" s="169" t="s">
        <v>261</v>
      </c>
      <c r="C134" s="157">
        <v>1241702</v>
      </c>
      <c r="D134" s="157">
        <v>1228454</v>
      </c>
      <c r="E134" s="157">
        <f t="shared" si="8"/>
        <v>-13248</v>
      </c>
      <c r="F134" s="161">
        <f t="shared" si="9"/>
        <v>-1.0669226593820417E-2</v>
      </c>
    </row>
    <row r="135" spans="1:6" ht="15" customHeight="1" x14ac:dyDescent="0.2">
      <c r="A135" s="147">
        <v>3</v>
      </c>
      <c r="B135" s="169" t="s">
        <v>262</v>
      </c>
      <c r="C135" s="157">
        <v>1091195</v>
      </c>
      <c r="D135" s="157">
        <v>986784</v>
      </c>
      <c r="E135" s="157">
        <f t="shared" si="8"/>
        <v>-104411</v>
      </c>
      <c r="F135" s="161">
        <f t="shared" si="9"/>
        <v>-9.5685005888040173E-2</v>
      </c>
    </row>
    <row r="136" spans="1:6" ht="15" customHeight="1" x14ac:dyDescent="0.2">
      <c r="A136" s="147">
        <v>4</v>
      </c>
      <c r="B136" s="169" t="s">
        <v>263</v>
      </c>
      <c r="C136" s="157">
        <v>5619630</v>
      </c>
      <c r="D136" s="157">
        <v>5779515</v>
      </c>
      <c r="E136" s="157">
        <f t="shared" si="8"/>
        <v>159885</v>
      </c>
      <c r="F136" s="161">
        <f t="shared" si="9"/>
        <v>2.8451161375393042E-2</v>
      </c>
    </row>
    <row r="137" spans="1:6" ht="15" customHeight="1" x14ac:dyDescent="0.2">
      <c r="A137" s="147">
        <v>5</v>
      </c>
      <c r="B137" s="169" t="s">
        <v>264</v>
      </c>
      <c r="C137" s="157">
        <v>5608511</v>
      </c>
      <c r="D137" s="157">
        <v>5504007</v>
      </c>
      <c r="E137" s="157">
        <f t="shared" si="8"/>
        <v>-104504</v>
      </c>
      <c r="F137" s="161">
        <f t="shared" si="9"/>
        <v>-1.8633109572219791E-2</v>
      </c>
    </row>
    <row r="138" spans="1:6" ht="15" customHeight="1" x14ac:dyDescent="0.2">
      <c r="A138" s="147">
        <v>6</v>
      </c>
      <c r="B138" s="169" t="s">
        <v>265</v>
      </c>
      <c r="C138" s="157">
        <v>2055992</v>
      </c>
      <c r="D138" s="157">
        <v>2267066</v>
      </c>
      <c r="E138" s="157">
        <f t="shared" si="8"/>
        <v>211074</v>
      </c>
      <c r="F138" s="161">
        <f t="shared" si="9"/>
        <v>0.10266285082821335</v>
      </c>
    </row>
    <row r="139" spans="1:6" ht="15" customHeight="1" x14ac:dyDescent="0.2">
      <c r="A139" s="147">
        <v>7</v>
      </c>
      <c r="B139" s="169" t="s">
        <v>266</v>
      </c>
      <c r="C139" s="157">
        <v>4015445</v>
      </c>
      <c r="D139" s="157">
        <v>4756539</v>
      </c>
      <c r="E139" s="157">
        <f t="shared" si="8"/>
        <v>741094</v>
      </c>
      <c r="F139" s="161">
        <f t="shared" si="9"/>
        <v>0.18456086436248037</v>
      </c>
    </row>
    <row r="140" spans="1:6" ht="15" customHeight="1" x14ac:dyDescent="0.2">
      <c r="A140" s="147">
        <v>8</v>
      </c>
      <c r="B140" s="169" t="s">
        <v>267</v>
      </c>
      <c r="C140" s="157">
        <v>709783</v>
      </c>
      <c r="D140" s="157">
        <v>765936</v>
      </c>
      <c r="E140" s="157">
        <f t="shared" si="8"/>
        <v>56153</v>
      </c>
      <c r="F140" s="161">
        <f t="shared" si="9"/>
        <v>7.9112911974504888E-2</v>
      </c>
    </row>
    <row r="141" spans="1:6" ht="15" customHeight="1" x14ac:dyDescent="0.2">
      <c r="A141" s="147">
        <v>9</v>
      </c>
      <c r="B141" s="169" t="s">
        <v>268</v>
      </c>
      <c r="C141" s="157">
        <v>1584534</v>
      </c>
      <c r="D141" s="157">
        <v>1493265</v>
      </c>
      <c r="E141" s="157">
        <f t="shared" si="8"/>
        <v>-91269</v>
      </c>
      <c r="F141" s="161">
        <f t="shared" si="9"/>
        <v>-5.759990003370076E-2</v>
      </c>
    </row>
    <row r="142" spans="1:6" ht="15" customHeight="1" x14ac:dyDescent="0.2">
      <c r="A142" s="147">
        <v>10</v>
      </c>
      <c r="B142" s="169" t="s">
        <v>269</v>
      </c>
      <c r="C142" s="157">
        <v>17193063</v>
      </c>
      <c r="D142" s="157">
        <v>16901912</v>
      </c>
      <c r="E142" s="157">
        <f t="shared" si="8"/>
        <v>-291151</v>
      </c>
      <c r="F142" s="161">
        <f t="shared" si="9"/>
        <v>-1.6934213525536434E-2</v>
      </c>
    </row>
    <row r="143" spans="1:6" ht="15" customHeight="1" x14ac:dyDescent="0.2">
      <c r="A143" s="147">
        <v>11</v>
      </c>
      <c r="B143" s="169" t="s">
        <v>270</v>
      </c>
      <c r="C143" s="157">
        <v>1283998</v>
      </c>
      <c r="D143" s="157">
        <v>1351222</v>
      </c>
      <c r="E143" s="157">
        <f t="shared" si="8"/>
        <v>67224</v>
      </c>
      <c r="F143" s="161">
        <f t="shared" si="9"/>
        <v>5.2355221737105509E-2</v>
      </c>
    </row>
    <row r="144" spans="1:6" ht="15" customHeight="1" x14ac:dyDescent="0.2">
      <c r="A144" s="147">
        <v>12</v>
      </c>
      <c r="B144" s="169" t="s">
        <v>271</v>
      </c>
      <c r="C144" s="157">
        <v>2015761</v>
      </c>
      <c r="D144" s="157">
        <v>2042992</v>
      </c>
      <c r="E144" s="157">
        <f t="shared" si="8"/>
        <v>27231</v>
      </c>
      <c r="F144" s="161">
        <f t="shared" si="9"/>
        <v>1.3509041994561856E-2</v>
      </c>
    </row>
    <row r="145" spans="1:6" ht="15" customHeight="1" x14ac:dyDescent="0.2">
      <c r="A145" s="147">
        <v>13</v>
      </c>
      <c r="B145" s="169" t="s">
        <v>272</v>
      </c>
      <c r="C145" s="157">
        <v>997957</v>
      </c>
      <c r="D145" s="157">
        <v>938876</v>
      </c>
      <c r="E145" s="157">
        <f t="shared" si="8"/>
        <v>-59081</v>
      </c>
      <c r="F145" s="161">
        <f t="shared" si="9"/>
        <v>-5.9201949582998063E-2</v>
      </c>
    </row>
    <row r="146" spans="1:6" ht="15" customHeight="1" x14ac:dyDescent="0.2">
      <c r="A146" s="147">
        <v>14</v>
      </c>
      <c r="B146" s="169" t="s">
        <v>273</v>
      </c>
      <c r="C146" s="157">
        <v>425332</v>
      </c>
      <c r="D146" s="157">
        <v>416186</v>
      </c>
      <c r="E146" s="157">
        <f t="shared" si="8"/>
        <v>-9146</v>
      </c>
      <c r="F146" s="161">
        <f t="shared" si="9"/>
        <v>-2.1503202204395624E-2</v>
      </c>
    </row>
    <row r="147" spans="1:6" ht="15" customHeight="1" x14ac:dyDescent="0.2">
      <c r="A147" s="147">
        <v>15</v>
      </c>
      <c r="B147" s="169" t="s">
        <v>274</v>
      </c>
      <c r="C147" s="157">
        <v>1717253</v>
      </c>
      <c r="D147" s="157">
        <v>1980717</v>
      </c>
      <c r="E147" s="157">
        <f t="shared" si="8"/>
        <v>263464</v>
      </c>
      <c r="F147" s="161">
        <f t="shared" si="9"/>
        <v>0.15342177302936724</v>
      </c>
    </row>
    <row r="148" spans="1:6" ht="15" customHeight="1" x14ac:dyDescent="0.2">
      <c r="A148" s="147">
        <v>16</v>
      </c>
      <c r="B148" s="169" t="s">
        <v>275</v>
      </c>
      <c r="C148" s="157">
        <v>161517</v>
      </c>
      <c r="D148" s="157">
        <v>233518</v>
      </c>
      <c r="E148" s="157">
        <f t="shared" si="8"/>
        <v>72001</v>
      </c>
      <c r="F148" s="161">
        <f t="shared" si="9"/>
        <v>0.44577970120792237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2181524</v>
      </c>
      <c r="D150" s="157">
        <v>2079063</v>
      </c>
      <c r="E150" s="157">
        <f t="shared" si="8"/>
        <v>-102461</v>
      </c>
      <c r="F150" s="161">
        <f t="shared" si="9"/>
        <v>-4.6967624468032439E-2</v>
      </c>
    </row>
    <row r="151" spans="1:6" ht="15" customHeight="1" x14ac:dyDescent="0.2">
      <c r="A151" s="147">
        <v>19</v>
      </c>
      <c r="B151" s="169" t="s">
        <v>278</v>
      </c>
      <c r="C151" s="157">
        <v>453716</v>
      </c>
      <c r="D151" s="157">
        <v>473522</v>
      </c>
      <c r="E151" s="157">
        <f t="shared" si="8"/>
        <v>19806</v>
      </c>
      <c r="F151" s="161">
        <f t="shared" si="9"/>
        <v>4.3652857734794451E-2</v>
      </c>
    </row>
    <row r="152" spans="1:6" ht="15" customHeight="1" x14ac:dyDescent="0.2">
      <c r="A152" s="147">
        <v>20</v>
      </c>
      <c r="B152" s="169" t="s">
        <v>279</v>
      </c>
      <c r="C152" s="157">
        <v>3395423</v>
      </c>
      <c r="D152" s="157">
        <v>3416998</v>
      </c>
      <c r="E152" s="157">
        <f t="shared" si="8"/>
        <v>21575</v>
      </c>
      <c r="F152" s="161">
        <f t="shared" si="9"/>
        <v>6.3541420317880862E-3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376610</v>
      </c>
      <c r="D155" s="157">
        <v>433703</v>
      </c>
      <c r="E155" s="157">
        <f t="shared" si="8"/>
        <v>57093</v>
      </c>
      <c r="F155" s="161">
        <f t="shared" si="9"/>
        <v>0.15159714293300763</v>
      </c>
    </row>
    <row r="156" spans="1:6" ht="15" customHeight="1" x14ac:dyDescent="0.2">
      <c r="A156" s="147">
        <v>24</v>
      </c>
      <c r="B156" s="169" t="s">
        <v>283</v>
      </c>
      <c r="C156" s="157">
        <v>12808108</v>
      </c>
      <c r="D156" s="157">
        <v>13326617</v>
      </c>
      <c r="E156" s="157">
        <f t="shared" si="8"/>
        <v>518509</v>
      </c>
      <c r="F156" s="161">
        <f t="shared" si="9"/>
        <v>4.0482872255605588E-2</v>
      </c>
    </row>
    <row r="157" spans="1:6" ht="15" customHeight="1" x14ac:dyDescent="0.2">
      <c r="A157" s="147">
        <v>25</v>
      </c>
      <c r="B157" s="169" t="s">
        <v>284</v>
      </c>
      <c r="C157" s="157">
        <v>1246865</v>
      </c>
      <c r="D157" s="157">
        <v>965335</v>
      </c>
      <c r="E157" s="157">
        <f t="shared" si="8"/>
        <v>-281530</v>
      </c>
      <c r="F157" s="161">
        <f t="shared" si="9"/>
        <v>-0.22579028202732454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482294</v>
      </c>
      <c r="D159" s="157">
        <v>423546</v>
      </c>
      <c r="E159" s="157">
        <f t="shared" si="8"/>
        <v>-58748</v>
      </c>
      <c r="F159" s="161">
        <f t="shared" si="9"/>
        <v>-0.12180951867533081</v>
      </c>
    </row>
    <row r="160" spans="1:6" ht="15" customHeight="1" x14ac:dyDescent="0.2">
      <c r="A160" s="147">
        <v>28</v>
      </c>
      <c r="B160" s="169" t="s">
        <v>287</v>
      </c>
      <c r="C160" s="157">
        <v>2111781</v>
      </c>
      <c r="D160" s="157">
        <v>1968680</v>
      </c>
      <c r="E160" s="157">
        <f t="shared" si="8"/>
        <v>-143101</v>
      </c>
      <c r="F160" s="161">
        <f t="shared" si="9"/>
        <v>-6.776318188296987E-2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95466</v>
      </c>
      <c r="D162" s="157">
        <v>19707</v>
      </c>
      <c r="E162" s="157">
        <f t="shared" si="8"/>
        <v>-75759</v>
      </c>
      <c r="F162" s="161">
        <f t="shared" si="9"/>
        <v>-0.79357048582741496</v>
      </c>
    </row>
    <row r="163" spans="1:6" ht="15" customHeight="1" x14ac:dyDescent="0.2">
      <c r="A163" s="147">
        <v>31</v>
      </c>
      <c r="B163" s="169" t="s">
        <v>290</v>
      </c>
      <c r="C163" s="157">
        <v>968786</v>
      </c>
      <c r="D163" s="157">
        <v>732042</v>
      </c>
      <c r="E163" s="157">
        <f t="shared" si="8"/>
        <v>-236744</v>
      </c>
      <c r="F163" s="161">
        <f t="shared" si="9"/>
        <v>-0.24437182205358046</v>
      </c>
    </row>
    <row r="164" spans="1:6" ht="15" customHeight="1" x14ac:dyDescent="0.2">
      <c r="A164" s="147">
        <v>32</v>
      </c>
      <c r="B164" s="169" t="s">
        <v>291</v>
      </c>
      <c r="C164" s="157">
        <v>3199260</v>
      </c>
      <c r="D164" s="157">
        <v>3159326</v>
      </c>
      <c r="E164" s="157">
        <f t="shared" si="8"/>
        <v>-39934</v>
      </c>
      <c r="F164" s="161">
        <f t="shared" si="9"/>
        <v>-1.2482261522977189E-2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2845949</v>
      </c>
      <c r="D166" s="157">
        <v>567261</v>
      </c>
      <c r="E166" s="157">
        <f t="shared" si="8"/>
        <v>-2278688</v>
      </c>
      <c r="F166" s="161">
        <f t="shared" si="9"/>
        <v>-0.80067773526510844</v>
      </c>
    </row>
    <row r="167" spans="1:6" ht="15.75" customHeight="1" x14ac:dyDescent="0.25">
      <c r="A167" s="147"/>
      <c r="B167" s="165" t="s">
        <v>294</v>
      </c>
      <c r="C167" s="158">
        <f>SUM(C133:C166)</f>
        <v>95806936</v>
      </c>
      <c r="D167" s="158">
        <f>SUM(D133:D166)</f>
        <v>93968768</v>
      </c>
      <c r="E167" s="158">
        <f t="shared" si="8"/>
        <v>-1838168</v>
      </c>
      <c r="F167" s="159">
        <f t="shared" si="9"/>
        <v>-1.9186168316665506E-2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15929134</v>
      </c>
      <c r="D170" s="157">
        <v>15840057</v>
      </c>
      <c r="E170" s="157">
        <f t="shared" ref="E170:E183" si="10">D170-C170</f>
        <v>-89077</v>
      </c>
      <c r="F170" s="161">
        <f t="shared" ref="F170:F183" si="11">IF(C170=0,0,E170/C170)</f>
        <v>-5.5920805236493081E-3</v>
      </c>
    </row>
    <row r="171" spans="1:6" ht="15" customHeight="1" x14ac:dyDescent="0.2">
      <c r="A171" s="147">
        <v>2</v>
      </c>
      <c r="B171" s="169" t="s">
        <v>297</v>
      </c>
      <c r="C171" s="157">
        <v>2579401</v>
      </c>
      <c r="D171" s="157">
        <v>2491824</v>
      </c>
      <c r="E171" s="157">
        <f t="shared" si="10"/>
        <v>-87577</v>
      </c>
      <c r="F171" s="161">
        <f t="shared" si="11"/>
        <v>-3.39524564036379E-2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1010021</v>
      </c>
      <c r="D173" s="157">
        <v>732015</v>
      </c>
      <c r="E173" s="157">
        <f t="shared" si="10"/>
        <v>-278006</v>
      </c>
      <c r="F173" s="161">
        <f t="shared" si="11"/>
        <v>-0.27524774237367344</v>
      </c>
    </row>
    <row r="174" spans="1:6" ht="15" customHeight="1" x14ac:dyDescent="0.2">
      <c r="A174" s="147">
        <v>5</v>
      </c>
      <c r="B174" s="169" t="s">
        <v>300</v>
      </c>
      <c r="C174" s="157">
        <v>1234020</v>
      </c>
      <c r="D174" s="157">
        <v>1131075</v>
      </c>
      <c r="E174" s="157">
        <f t="shared" si="10"/>
        <v>-102945</v>
      </c>
      <c r="F174" s="161">
        <f t="shared" si="11"/>
        <v>-8.3422472893470129E-2</v>
      </c>
    </row>
    <row r="175" spans="1:6" ht="15" customHeight="1" x14ac:dyDescent="0.2">
      <c r="A175" s="147">
        <v>6</v>
      </c>
      <c r="B175" s="169" t="s">
        <v>301</v>
      </c>
      <c r="C175" s="157">
        <v>3317357</v>
      </c>
      <c r="D175" s="157">
        <v>3613630</v>
      </c>
      <c r="E175" s="157">
        <f t="shared" si="10"/>
        <v>296273</v>
      </c>
      <c r="F175" s="161">
        <f t="shared" si="11"/>
        <v>8.9309953676978387E-2</v>
      </c>
    </row>
    <row r="176" spans="1:6" ht="15" customHeight="1" x14ac:dyDescent="0.2">
      <c r="A176" s="147">
        <v>7</v>
      </c>
      <c r="B176" s="169" t="s">
        <v>302</v>
      </c>
      <c r="C176" s="157">
        <v>1195606</v>
      </c>
      <c r="D176" s="157">
        <v>1195405</v>
      </c>
      <c r="E176" s="157">
        <f t="shared" si="10"/>
        <v>-201</v>
      </c>
      <c r="F176" s="161">
        <f t="shared" si="11"/>
        <v>-1.6811558322725044E-4</v>
      </c>
    </row>
    <row r="177" spans="1:6" ht="15" customHeight="1" x14ac:dyDescent="0.2">
      <c r="A177" s="147">
        <v>8</v>
      </c>
      <c r="B177" s="169" t="s">
        <v>303</v>
      </c>
      <c r="C177" s="157">
        <v>2488998</v>
      </c>
      <c r="D177" s="157">
        <v>2799594</v>
      </c>
      <c r="E177" s="157">
        <f t="shared" si="10"/>
        <v>310596</v>
      </c>
      <c r="F177" s="161">
        <f t="shared" si="11"/>
        <v>0.12478756511656498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5016092</v>
      </c>
      <c r="D179" s="157">
        <v>5103707</v>
      </c>
      <c r="E179" s="157">
        <f t="shared" si="10"/>
        <v>87615</v>
      </c>
      <c r="F179" s="161">
        <f t="shared" si="11"/>
        <v>1.7466784899479514E-2</v>
      </c>
    </row>
    <row r="180" spans="1:6" ht="15" customHeight="1" x14ac:dyDescent="0.2">
      <c r="A180" s="147">
        <v>11</v>
      </c>
      <c r="B180" s="169" t="s">
        <v>306</v>
      </c>
      <c r="C180" s="157">
        <v>761811</v>
      </c>
      <c r="D180" s="157">
        <v>827878</v>
      </c>
      <c r="E180" s="157">
        <f t="shared" si="10"/>
        <v>66067</v>
      </c>
      <c r="F180" s="161">
        <f t="shared" si="11"/>
        <v>8.6723609924246298E-2</v>
      </c>
    </row>
    <row r="181" spans="1:6" ht="15" customHeight="1" x14ac:dyDescent="0.2">
      <c r="A181" s="147">
        <v>12</v>
      </c>
      <c r="B181" s="169" t="s">
        <v>307</v>
      </c>
      <c r="C181" s="157">
        <v>3637986</v>
      </c>
      <c r="D181" s="157">
        <v>3755684</v>
      </c>
      <c r="E181" s="157">
        <f t="shared" si="10"/>
        <v>117698</v>
      </c>
      <c r="F181" s="161">
        <f t="shared" si="11"/>
        <v>3.2352515925020052E-2</v>
      </c>
    </row>
    <row r="182" spans="1:6" ht="15" customHeight="1" x14ac:dyDescent="0.2">
      <c r="A182" s="147">
        <v>13</v>
      </c>
      <c r="B182" s="169" t="s">
        <v>308</v>
      </c>
      <c r="C182" s="157">
        <v>657880</v>
      </c>
      <c r="D182" s="157">
        <v>513690</v>
      </c>
      <c r="E182" s="157">
        <f t="shared" si="10"/>
        <v>-144190</v>
      </c>
      <c r="F182" s="161">
        <f t="shared" si="11"/>
        <v>-0.21917370949109261</v>
      </c>
    </row>
    <row r="183" spans="1:6" ht="15.75" customHeight="1" x14ac:dyDescent="0.25">
      <c r="A183" s="147"/>
      <c r="B183" s="165" t="s">
        <v>309</v>
      </c>
      <c r="C183" s="158">
        <f>SUM(C170:C182)</f>
        <v>37828306</v>
      </c>
      <c r="D183" s="158">
        <f>SUM(D170:D182)</f>
        <v>38004559</v>
      </c>
      <c r="E183" s="158">
        <f t="shared" si="10"/>
        <v>176253</v>
      </c>
      <c r="F183" s="159">
        <f t="shared" si="11"/>
        <v>4.6592887347374212E-3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312559000</v>
      </c>
      <c r="D188" s="158">
        <f>+D186+D183+D167+D130+D121</f>
        <v>311019000</v>
      </c>
      <c r="E188" s="158">
        <f>D188-C188</f>
        <v>-1540000</v>
      </c>
      <c r="F188" s="159">
        <f>IF(C188=0,0,E188/C188)</f>
        <v>-4.9270697692275697E-3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/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297010000</v>
      </c>
      <c r="D11" s="183">
        <v>304346000</v>
      </c>
      <c r="E11" s="76">
        <v>312982000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18563000</v>
      </c>
      <c r="D12" s="185">
        <v>20142000</v>
      </c>
      <c r="E12" s="185">
        <v>19797000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315573000</v>
      </c>
      <c r="D13" s="76">
        <f>+D11+D12</f>
        <v>324488000</v>
      </c>
      <c r="E13" s="76">
        <f>+E11+E12</f>
        <v>332779000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305925000</v>
      </c>
      <c r="D14" s="185">
        <v>312559000</v>
      </c>
      <c r="E14" s="185">
        <v>311019000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9648000</v>
      </c>
      <c r="D15" s="76">
        <f>+D13-D14</f>
        <v>11929000</v>
      </c>
      <c r="E15" s="76">
        <f>+E13-E14</f>
        <v>21760000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-3626000</v>
      </c>
      <c r="D16" s="185">
        <v>4054000</v>
      </c>
      <c r="E16" s="185">
        <v>6170000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6022000</v>
      </c>
      <c r="D17" s="76">
        <f>D15+D16</f>
        <v>15983000</v>
      </c>
      <c r="E17" s="76">
        <f>E15+E16</f>
        <v>27930000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3.0928330774137914E-2</v>
      </c>
      <c r="D20" s="189">
        <f>IF(+D27=0,0,+D24/+D27)</f>
        <v>3.6308904188809957E-2</v>
      </c>
      <c r="E20" s="189">
        <f>IF(+E27=0,0,+E24/+E27)</f>
        <v>6.4198448734175351E-2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-1.1623769422369826E-2</v>
      </c>
      <c r="D21" s="189">
        <f>IF(D27=0,0,+D26/D27)</f>
        <v>1.2339366047567739E-2</v>
      </c>
      <c r="E21" s="189">
        <f>IF(E27=0,0,+E26/E27)</f>
        <v>1.8203328524350269E-2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1.9304561351768088E-2</v>
      </c>
      <c r="D22" s="189">
        <f>IF(D27=0,0,+D28/D27)</f>
        <v>4.8648270236377696E-2</v>
      </c>
      <c r="E22" s="189">
        <f>IF(E27=0,0,+E28/E27)</f>
        <v>8.2401777258525613E-2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9648000</v>
      </c>
      <c r="D24" s="76">
        <f>+D15</f>
        <v>11929000</v>
      </c>
      <c r="E24" s="76">
        <f>+E15</f>
        <v>21760000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315573000</v>
      </c>
      <c r="D25" s="76">
        <f>+D13</f>
        <v>324488000</v>
      </c>
      <c r="E25" s="76">
        <f>+E13</f>
        <v>332779000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-3626000</v>
      </c>
      <c r="D26" s="76">
        <f>+D16</f>
        <v>4054000</v>
      </c>
      <c r="E26" s="76">
        <f>+E16</f>
        <v>6170000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311947000</v>
      </c>
      <c r="D27" s="76">
        <f>+D25+D26</f>
        <v>328542000</v>
      </c>
      <c r="E27" s="76">
        <f>+E25+E26</f>
        <v>338949000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6022000</v>
      </c>
      <c r="D28" s="76">
        <f>+D17</f>
        <v>15983000</v>
      </c>
      <c r="E28" s="76">
        <f>+E17</f>
        <v>27930000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266335000</v>
      </c>
      <c r="D31" s="76">
        <v>267939000</v>
      </c>
      <c r="E31" s="76">
        <v>318845000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311302000</v>
      </c>
      <c r="D32" s="76">
        <v>319727000</v>
      </c>
      <c r="E32" s="76">
        <v>377624000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-20216000</v>
      </c>
      <c r="D33" s="76">
        <f>+D32-C32</f>
        <v>8425000</v>
      </c>
      <c r="E33" s="76">
        <f>+E32-D32</f>
        <v>57897000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0.93899999999999995</v>
      </c>
      <c r="D34" s="193">
        <f>IF(C32=0,0,+D33/C32)</f>
        <v>2.7063751598126577E-2</v>
      </c>
      <c r="E34" s="193">
        <f>IF(D32=0,0,+E33/D32)</f>
        <v>0.18108261110259691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0.31687384040798827</v>
      </c>
      <c r="D38" s="195">
        <f>IF((D40+D41)=0,0,+D39/(D40+D41))</f>
        <v>0.3137064522467507</v>
      </c>
      <c r="E38" s="195">
        <f>IF((E40+E41)=0,0,+E39/(E40+E41))</f>
        <v>0.28178924022352203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305925000</v>
      </c>
      <c r="D39" s="76">
        <v>312559000</v>
      </c>
      <c r="E39" s="196">
        <v>311019000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944999461</v>
      </c>
      <c r="D40" s="76">
        <v>971611045</v>
      </c>
      <c r="E40" s="196">
        <v>1081142538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20447859</v>
      </c>
      <c r="D41" s="76">
        <v>24731229</v>
      </c>
      <c r="E41" s="196">
        <v>22586617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1.2660138859873504</v>
      </c>
      <c r="D43" s="197">
        <f>IF(D38=0,0,IF((D46-D47)=0,0,((+D44-D45)/(D46-D47)/D38)))</f>
        <v>1.3189233955952839</v>
      </c>
      <c r="E43" s="197">
        <f>IF(E38=0,0,IF((E46-E47)=0,0,((+E44-E45)/(E46-E47)/E38)))</f>
        <v>1.4153246606102645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203271835</v>
      </c>
      <c r="D44" s="76">
        <v>221325514</v>
      </c>
      <c r="E44" s="196">
        <v>223692065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4699011</v>
      </c>
      <c r="D45" s="76">
        <v>13277428</v>
      </c>
      <c r="E45" s="196">
        <v>4482422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528332417</v>
      </c>
      <c r="D46" s="76">
        <v>546209508</v>
      </c>
      <c r="E46" s="196">
        <v>583457233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33344092</v>
      </c>
      <c r="D47" s="76">
        <v>43380063</v>
      </c>
      <c r="E47" s="76">
        <v>33816165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0.67498538219852966</v>
      </c>
      <c r="D49" s="198">
        <f>IF(D38=0,0,IF(D51=0,0,(D50/D51)/D38))</f>
        <v>0.65717258789751687</v>
      </c>
      <c r="E49" s="198">
        <f>IF(E38=0,0,IF(E51=0,0,(E50/E51)/E38))</f>
        <v>0.71720217099794681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78069609</v>
      </c>
      <c r="D50" s="199">
        <v>76762153</v>
      </c>
      <c r="E50" s="199">
        <v>88406608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365007047</v>
      </c>
      <c r="D51" s="199">
        <v>372343911</v>
      </c>
      <c r="E51" s="199">
        <v>437440235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0.69468356937436782</v>
      </c>
      <c r="D53" s="198">
        <f>IF(D38=0,0,IF(D55=0,0,(D54/D55)/D38))</f>
        <v>0.39189035402892575</v>
      </c>
      <c r="E53" s="198">
        <f>IF(E38=0,0,IF(E55=0,0,(E54/E55)/E38))</f>
        <v>0.68847679876403911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6894134</v>
      </c>
      <c r="D54" s="199">
        <v>3885432</v>
      </c>
      <c r="E54" s="199">
        <v>6722600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31318886</v>
      </c>
      <c r="D55" s="199">
        <v>31604672</v>
      </c>
      <c r="E55" s="199">
        <v>34651621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9076876.8252678979</v>
      </c>
      <c r="D57" s="88">
        <f>+D60*D38</f>
        <v>9443391.142835319</v>
      </c>
      <c r="E57" s="88">
        <f>+E60*E38</f>
        <v>8265933.1528820582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19375204</v>
      </c>
      <c r="D58" s="199">
        <v>16060311</v>
      </c>
      <c r="E58" s="199">
        <v>14617978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9269877</v>
      </c>
      <c r="D59" s="199">
        <v>14042325</v>
      </c>
      <c r="E59" s="199">
        <v>14715765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28645081</v>
      </c>
      <c r="D60" s="76">
        <v>30102636</v>
      </c>
      <c r="E60" s="201">
        <v>29333743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2.9670268285586002E-2</v>
      </c>
      <c r="D62" s="202">
        <f>IF(D63=0,0,+D57/D63)</f>
        <v>3.0213147414841098E-2</v>
      </c>
      <c r="E62" s="202">
        <f>IF(E63=0,0,+E57/E63)</f>
        <v>2.6576939521000511E-2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305925000</v>
      </c>
      <c r="D63" s="199">
        <v>312559000</v>
      </c>
      <c r="E63" s="199">
        <v>311019000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2.4005072362604123</v>
      </c>
      <c r="D67" s="203">
        <f>IF(D69=0,0,D68/D69)</f>
        <v>2.1011816558379879</v>
      </c>
      <c r="E67" s="203">
        <f>IF(E69=0,0,E68/E69)</f>
        <v>2.699482177263969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103169000</v>
      </c>
      <c r="D68" s="204">
        <v>110602000</v>
      </c>
      <c r="E68" s="204">
        <v>134499000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42978000</v>
      </c>
      <c r="D69" s="204">
        <v>52638000</v>
      </c>
      <c r="E69" s="204">
        <v>49824000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68.33313908952185</v>
      </c>
      <c r="D71" s="203">
        <f>IF((D77/365)=0,0,+D74/(D77/365))</f>
        <v>56.242812689260589</v>
      </c>
      <c r="E71" s="203">
        <f>IF((E77/365)=0,0,+E74/(E77/365))</f>
        <v>77.345196110233061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32149000</v>
      </c>
      <c r="D72" s="183">
        <v>35083000</v>
      </c>
      <c r="E72" s="183">
        <v>25344000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21585000</v>
      </c>
      <c r="D73" s="206">
        <v>10243000</v>
      </c>
      <c r="E73" s="206">
        <v>36063000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53734000</v>
      </c>
      <c r="D74" s="204">
        <f>+D72+D73</f>
        <v>45326000</v>
      </c>
      <c r="E74" s="204">
        <f>+E72+E73</f>
        <v>61407000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305925000</v>
      </c>
      <c r="D75" s="204">
        <f>+D14</f>
        <v>312559000</v>
      </c>
      <c r="E75" s="204">
        <f>+E14</f>
        <v>311019000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18905989</v>
      </c>
      <c r="D76" s="204">
        <v>18406037</v>
      </c>
      <c r="E76" s="204">
        <v>21233000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287019011</v>
      </c>
      <c r="D77" s="204">
        <f>+D75-D76</f>
        <v>294152963</v>
      </c>
      <c r="E77" s="204">
        <f>+E75-E76</f>
        <v>289786000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39.57720278778492</v>
      </c>
      <c r="D79" s="203">
        <f>IF((D84/365)=0,0,+D83/(D84/365))</f>
        <v>43.290876173828472</v>
      </c>
      <c r="E79" s="203">
        <f>IF((E84/365)=0,0,+E83/(E84/365))</f>
        <v>39.173866228728805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32433000</v>
      </c>
      <c r="D80" s="212">
        <v>36589000</v>
      </c>
      <c r="E80" s="212">
        <v>34799000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228000</v>
      </c>
      <c r="D82" s="212">
        <v>492000</v>
      </c>
      <c r="E82" s="212">
        <v>1208000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32205000</v>
      </c>
      <c r="D83" s="212">
        <f>+D80+D81-D82</f>
        <v>36097000</v>
      </c>
      <c r="E83" s="212">
        <f>+E80+E81-E82</f>
        <v>33591000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297010000</v>
      </c>
      <c r="D84" s="204">
        <f>+D11</f>
        <v>304346000</v>
      </c>
      <c r="E84" s="204">
        <f>+E11</f>
        <v>312982000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54.654811698170057</v>
      </c>
      <c r="D86" s="203">
        <f>IF((D90/365)=0,0,+D87/(D90/365))</f>
        <v>65.315915243729847</v>
      </c>
      <c r="E86" s="203">
        <f>IF((E90/365)=0,0,+E87/(E90/365))</f>
        <v>62.755826713505826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42978000</v>
      </c>
      <c r="D87" s="76">
        <f>+D69</f>
        <v>52638000</v>
      </c>
      <c r="E87" s="76">
        <f>+E69</f>
        <v>49824000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305925000</v>
      </c>
      <c r="D88" s="76">
        <f t="shared" si="0"/>
        <v>312559000</v>
      </c>
      <c r="E88" s="76">
        <f t="shared" si="0"/>
        <v>311019000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18905989</v>
      </c>
      <c r="D89" s="201">
        <f t="shared" si="0"/>
        <v>18406037</v>
      </c>
      <c r="E89" s="201">
        <f t="shared" si="0"/>
        <v>21233000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287019011</v>
      </c>
      <c r="D90" s="76">
        <f>+D88-D89</f>
        <v>294152963</v>
      </c>
      <c r="E90" s="76">
        <f>+E88-E89</f>
        <v>289786000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65.828432709732937</v>
      </c>
      <c r="D94" s="214">
        <f>IF(D96=0,0,(D95/D96)*100)</f>
        <v>63.49610158518324</v>
      </c>
      <c r="E94" s="214">
        <f>IF(E96=0,0,(E95/E96)*100)</f>
        <v>71.421627500118205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311302000</v>
      </c>
      <c r="D95" s="76">
        <f>+D32</f>
        <v>319727000</v>
      </c>
      <c r="E95" s="76">
        <f>+E32</f>
        <v>377624000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472899000</v>
      </c>
      <c r="D96" s="76">
        <v>503538000</v>
      </c>
      <c r="E96" s="76">
        <v>528725000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29.113659881106713</v>
      </c>
      <c r="D98" s="214">
        <f>IF(D104=0,0,(D101/D104)*100)</f>
        <v>37.035999913842311</v>
      </c>
      <c r="E98" s="214">
        <f>IF(E104=0,0,(E101/E104)*100)</f>
        <v>56.164461809125598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6022000</v>
      </c>
      <c r="D99" s="76">
        <f>+D28</f>
        <v>15983000</v>
      </c>
      <c r="E99" s="76">
        <f>+E28</f>
        <v>27930000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18905989</v>
      </c>
      <c r="D100" s="201">
        <f>+D76</f>
        <v>18406037</v>
      </c>
      <c r="E100" s="201">
        <f>+E76</f>
        <v>21233000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24927989</v>
      </c>
      <c r="D101" s="76">
        <f>+D99+D100</f>
        <v>34389037</v>
      </c>
      <c r="E101" s="76">
        <f>+E99+E100</f>
        <v>49163000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42978000</v>
      </c>
      <c r="D102" s="204">
        <f>+D69</f>
        <v>52638000</v>
      </c>
      <c r="E102" s="204">
        <f>+E69</f>
        <v>49824000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42645000</v>
      </c>
      <c r="D103" s="216">
        <v>40215000</v>
      </c>
      <c r="E103" s="216">
        <v>37710000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85623000</v>
      </c>
      <c r="D104" s="204">
        <f>+D102+D103</f>
        <v>92853000</v>
      </c>
      <c r="E104" s="204">
        <f>+E102+E103</f>
        <v>87534000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12.048414028088951</v>
      </c>
      <c r="D106" s="214">
        <f>IF(D109=0,0,(D107/D109)*100)</f>
        <v>11.172633368709404</v>
      </c>
      <c r="E106" s="214">
        <f>IF(E109=0,0,(E107/E109)*100)</f>
        <v>9.0794396798721024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42645000</v>
      </c>
      <c r="D107" s="204">
        <f>+D103</f>
        <v>40215000</v>
      </c>
      <c r="E107" s="204">
        <f>+E103</f>
        <v>37710000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311302000</v>
      </c>
      <c r="D108" s="204">
        <f>+D32</f>
        <v>319727000</v>
      </c>
      <c r="E108" s="204">
        <f>+E32</f>
        <v>377624000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353947000</v>
      </c>
      <c r="D109" s="204">
        <f>+D107+D108</f>
        <v>359942000</v>
      </c>
      <c r="E109" s="204">
        <f>+E107+E108</f>
        <v>415334000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9.4409701534776751</v>
      </c>
      <c r="D111" s="214">
        <f>IF((+D113+D115)=0,0,((+D112+D113+D114)/(+D113+D115)))</f>
        <v>12.785836847173615</v>
      </c>
      <c r="E111" s="214">
        <f>IF((+E113+E115)=0,0,((+E112+E113+E114)/(+E113+E115)))</f>
        <v>17.120386340117282</v>
      </c>
    </row>
    <row r="112" spans="1:6" ht="24" customHeight="1" x14ac:dyDescent="0.2">
      <c r="A112" s="85">
        <v>16</v>
      </c>
      <c r="B112" s="75" t="s">
        <v>373</v>
      </c>
      <c r="C112" s="218">
        <f>+C17</f>
        <v>6022000</v>
      </c>
      <c r="D112" s="76">
        <f>+D17</f>
        <v>15983000</v>
      </c>
      <c r="E112" s="76">
        <f>+E17</f>
        <v>27930000</v>
      </c>
    </row>
    <row r="113" spans="1:8" ht="24" customHeight="1" x14ac:dyDescent="0.2">
      <c r="A113" s="85">
        <v>17</v>
      </c>
      <c r="B113" s="75" t="s">
        <v>88</v>
      </c>
      <c r="C113" s="218">
        <v>425472</v>
      </c>
      <c r="D113" s="76">
        <v>357587</v>
      </c>
      <c r="E113" s="76">
        <v>469000</v>
      </c>
    </row>
    <row r="114" spans="1:8" ht="24" customHeight="1" x14ac:dyDescent="0.2">
      <c r="A114" s="85">
        <v>18</v>
      </c>
      <c r="B114" s="75" t="s">
        <v>374</v>
      </c>
      <c r="C114" s="218">
        <v>18905989</v>
      </c>
      <c r="D114" s="76">
        <v>18406037</v>
      </c>
      <c r="E114" s="76">
        <v>21233000</v>
      </c>
    </row>
    <row r="115" spans="1:8" ht="24" customHeight="1" x14ac:dyDescent="0.2">
      <c r="A115" s="85">
        <v>19</v>
      </c>
      <c r="B115" s="75" t="s">
        <v>104</v>
      </c>
      <c r="C115" s="218">
        <v>2260000</v>
      </c>
      <c r="D115" s="76">
        <v>2360000</v>
      </c>
      <c r="E115" s="76">
        <v>2430000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10.125997640218664</v>
      </c>
      <c r="D119" s="214">
        <f>IF(+D121=0,0,(+D120)/(+D121))</f>
        <v>9.6318398142957111</v>
      </c>
      <c r="E119" s="214">
        <f>IF(+E121=0,0,(+E120)/(+E121))</f>
        <v>9.1647906560542545</v>
      </c>
    </row>
    <row r="120" spans="1:8" ht="24" customHeight="1" x14ac:dyDescent="0.2">
      <c r="A120" s="85">
        <v>21</v>
      </c>
      <c r="B120" s="75" t="s">
        <v>378</v>
      </c>
      <c r="C120" s="218">
        <v>191442000</v>
      </c>
      <c r="D120" s="218">
        <v>177284000</v>
      </c>
      <c r="E120" s="218">
        <v>194596000</v>
      </c>
    </row>
    <row r="121" spans="1:8" ht="24" customHeight="1" x14ac:dyDescent="0.2">
      <c r="A121" s="85">
        <v>22</v>
      </c>
      <c r="B121" s="75" t="s">
        <v>374</v>
      </c>
      <c r="C121" s="218">
        <v>18905989</v>
      </c>
      <c r="D121" s="218">
        <v>18406037</v>
      </c>
      <c r="E121" s="218">
        <v>21233000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52638</v>
      </c>
      <c r="D124" s="218">
        <v>51919</v>
      </c>
      <c r="E124" s="218">
        <v>51964</v>
      </c>
    </row>
    <row r="125" spans="1:8" ht="24" customHeight="1" x14ac:dyDescent="0.2">
      <c r="A125" s="85">
        <v>2</v>
      </c>
      <c r="B125" s="75" t="s">
        <v>381</v>
      </c>
      <c r="C125" s="218">
        <v>13479</v>
      </c>
      <c r="D125" s="218">
        <v>13027</v>
      </c>
      <c r="E125" s="218">
        <v>12439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3.905185844647229</v>
      </c>
      <c r="D126" s="219">
        <f>IF(D125=0,0,D124/D125)</f>
        <v>3.9854916711445458</v>
      </c>
      <c r="E126" s="219">
        <f>IF(E125=0,0,E124/E125)</f>
        <v>4.1775062304043731</v>
      </c>
    </row>
    <row r="127" spans="1:8" ht="24" customHeight="1" x14ac:dyDescent="0.2">
      <c r="A127" s="85">
        <v>4</v>
      </c>
      <c r="B127" s="75" t="s">
        <v>383</v>
      </c>
      <c r="C127" s="218">
        <v>206</v>
      </c>
      <c r="D127" s="218">
        <v>206</v>
      </c>
      <c r="E127" s="218">
        <v>206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206</v>
      </c>
      <c r="E128" s="218">
        <v>206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206</v>
      </c>
      <c r="D129" s="218">
        <v>206</v>
      </c>
      <c r="E129" s="218">
        <v>206</v>
      </c>
    </row>
    <row r="130" spans="1:7" ht="24" customHeight="1" x14ac:dyDescent="0.2">
      <c r="A130" s="85">
        <v>7</v>
      </c>
      <c r="B130" s="75" t="s">
        <v>386</v>
      </c>
      <c r="C130" s="193">
        <v>0.7</v>
      </c>
      <c r="D130" s="193">
        <v>0.6905</v>
      </c>
      <c r="E130" s="193">
        <v>0.69110000000000005</v>
      </c>
    </row>
    <row r="131" spans="1:7" ht="24" customHeight="1" x14ac:dyDescent="0.2">
      <c r="A131" s="85">
        <v>8</v>
      </c>
      <c r="B131" s="75" t="s">
        <v>387</v>
      </c>
      <c r="C131" s="193">
        <v>0.7</v>
      </c>
      <c r="D131" s="193">
        <v>0.6905</v>
      </c>
      <c r="E131" s="193">
        <v>0.69110000000000005</v>
      </c>
    </row>
    <row r="132" spans="1:7" ht="24" customHeight="1" x14ac:dyDescent="0.2">
      <c r="A132" s="85">
        <v>9</v>
      </c>
      <c r="B132" s="75" t="s">
        <v>388</v>
      </c>
      <c r="C132" s="219">
        <v>1613</v>
      </c>
      <c r="D132" s="219">
        <v>1489.3</v>
      </c>
      <c r="E132" s="219">
        <v>1465.1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0.52379746807072514</v>
      </c>
      <c r="D135" s="227">
        <f>IF(D149=0,0,D143/D149)</f>
        <v>0.51752133488766583</v>
      </c>
      <c r="E135" s="227">
        <f>IF(E149=0,0,E143/E149)</f>
        <v>0.50838908717510845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0.38625106369240564</v>
      </c>
      <c r="D136" s="227">
        <f>IF(D149=0,0,D144/D149)</f>
        <v>0.38322321768172157</v>
      </c>
      <c r="E136" s="227">
        <f>IF(E149=0,0,E144/E149)</f>
        <v>0.40460921629188545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3.3141697209920419E-2</v>
      </c>
      <c r="D137" s="227">
        <f>IF(D149=0,0,D145/D149)</f>
        <v>3.2528111081734361E-2</v>
      </c>
      <c r="E137" s="227">
        <f>IF(E149=0,0,E145/E149)</f>
        <v>3.2050927405096699E-2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2.1061659631994224E-2</v>
      </c>
      <c r="D138" s="227">
        <f>IF(D149=0,0,D146/D149)</f>
        <v>2.151430771353572E-2</v>
      </c>
      <c r="E138" s="227">
        <f>IF(E149=0,0,E146/E149)</f>
        <v>2.2961057517838595E-2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3.5284773564542807E-2</v>
      </c>
      <c r="D139" s="227">
        <f>IF(D149=0,0,D147/D149)</f>
        <v>4.4647560588403974E-2</v>
      </c>
      <c r="E139" s="227">
        <f>IF(E149=0,0,E147/E149)</f>
        <v>3.1278174534281437E-2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4.6333783041173609E-4</v>
      </c>
      <c r="D140" s="227">
        <f>IF(D149=0,0,D148/D149)</f>
        <v>5.6546804693847423E-4</v>
      </c>
      <c r="E140" s="227">
        <f>IF(E149=0,0,E148/E149)</f>
        <v>7.1153707578935346E-4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494988325</v>
      </c>
      <c r="D143" s="229">
        <f>+D46-D147</f>
        <v>502829445</v>
      </c>
      <c r="E143" s="229">
        <f>+E46-E147</f>
        <v>549641068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365007047</v>
      </c>
      <c r="D144" s="229">
        <f>+D51</f>
        <v>372343911</v>
      </c>
      <c r="E144" s="229">
        <f>+E51</f>
        <v>437440235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31318886</v>
      </c>
      <c r="D145" s="229">
        <f>+D55</f>
        <v>31604672</v>
      </c>
      <c r="E145" s="229">
        <f>+E55</f>
        <v>34651621</v>
      </c>
    </row>
    <row r="146" spans="1:7" ht="20.100000000000001" customHeight="1" x14ac:dyDescent="0.2">
      <c r="A146" s="226">
        <v>11</v>
      </c>
      <c r="B146" s="224" t="s">
        <v>400</v>
      </c>
      <c r="C146" s="228">
        <v>19903257</v>
      </c>
      <c r="D146" s="229">
        <v>20903539</v>
      </c>
      <c r="E146" s="229">
        <v>24824176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33344092</v>
      </c>
      <c r="D147" s="229">
        <f>+D47</f>
        <v>43380063</v>
      </c>
      <c r="E147" s="229">
        <f>+E47</f>
        <v>33816165</v>
      </c>
    </row>
    <row r="148" spans="1:7" ht="20.100000000000001" customHeight="1" x14ac:dyDescent="0.2">
      <c r="A148" s="226">
        <v>13</v>
      </c>
      <c r="B148" s="224" t="s">
        <v>402</v>
      </c>
      <c r="C148" s="230">
        <v>437854</v>
      </c>
      <c r="D148" s="229">
        <v>549415</v>
      </c>
      <c r="E148" s="229">
        <v>769273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944999461</v>
      </c>
      <c r="D149" s="229">
        <f>SUM(D143:D148)</f>
        <v>971611045</v>
      </c>
      <c r="E149" s="229">
        <f>SUM(E143:E148)</f>
        <v>1081142538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0.68167156742086998</v>
      </c>
      <c r="D152" s="227">
        <f>IF(D166=0,0,D160/D166)</f>
        <v>0.68088444800581072</v>
      </c>
      <c r="E152" s="227">
        <f>IF(E166=0,0,E160/E166)</f>
        <v>0.67571830952259571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0.26800159086705871</v>
      </c>
      <c r="D153" s="227">
        <f>IF(D166=0,0,D161/D166)</f>
        <v>0.25122151891915306</v>
      </c>
      <c r="E153" s="227">
        <f>IF(E166=0,0,E161/E166)</f>
        <v>0.27251521826704855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2.3666557362298037E-2</v>
      </c>
      <c r="D154" s="227">
        <f>IF(D166=0,0,D162/D166)</f>
        <v>1.2715955592036126E-2</v>
      </c>
      <c r="E154" s="227">
        <f>IF(E166=0,0,E162/E166)</f>
        <v>2.0722555109478475E-2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1.0021977750971153E-2</v>
      </c>
      <c r="D155" s="227">
        <f>IF(D166=0,0,D163/D166)</f>
        <v>1.061323220067897E-2</v>
      </c>
      <c r="E155" s="227">
        <f>IF(E166=0,0,E163/E166)</f>
        <v>1.6074736237470407E-2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1.6131019991425966E-2</v>
      </c>
      <c r="D156" s="227">
        <f>IF(D166=0,0,D164/D166)</f>
        <v>4.3453388149492012E-2</v>
      </c>
      <c r="E156" s="227">
        <f>IF(E166=0,0,E164/E166)</f>
        <v>1.3817159569056424E-2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5.0728660737610115E-4</v>
      </c>
      <c r="D157" s="227">
        <f>IF(D166=0,0,D165/D166)</f>
        <v>1.1114571328291354E-3</v>
      </c>
      <c r="E157" s="227">
        <f>IF(E166=0,0,E165/E166)</f>
        <v>1.1520212943504093E-3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1.0000000000000002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198572824</v>
      </c>
      <c r="D160" s="229">
        <f>+D44-D164</f>
        <v>208048086</v>
      </c>
      <c r="E160" s="229">
        <f>+E44-E164</f>
        <v>219209643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78069609</v>
      </c>
      <c r="D161" s="229">
        <f>+D50</f>
        <v>76762153</v>
      </c>
      <c r="E161" s="229">
        <f>+E50</f>
        <v>88406608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6894134</v>
      </c>
      <c r="D162" s="229">
        <f>+D54</f>
        <v>3885432</v>
      </c>
      <c r="E162" s="229">
        <f>+E54</f>
        <v>6722600</v>
      </c>
    </row>
    <row r="163" spans="1:6" ht="20.100000000000001" customHeight="1" x14ac:dyDescent="0.2">
      <c r="A163" s="226">
        <v>11</v>
      </c>
      <c r="B163" s="224" t="s">
        <v>415</v>
      </c>
      <c r="C163" s="228">
        <v>2919430</v>
      </c>
      <c r="D163" s="229">
        <v>3242933</v>
      </c>
      <c r="E163" s="229">
        <v>5214802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4699011</v>
      </c>
      <c r="D164" s="229">
        <f>+D45</f>
        <v>13277428</v>
      </c>
      <c r="E164" s="229">
        <f>+E45</f>
        <v>4482422</v>
      </c>
    </row>
    <row r="165" spans="1:6" ht="20.100000000000001" customHeight="1" x14ac:dyDescent="0.2">
      <c r="A165" s="226">
        <v>13</v>
      </c>
      <c r="B165" s="224" t="s">
        <v>417</v>
      </c>
      <c r="C165" s="230">
        <v>147774</v>
      </c>
      <c r="D165" s="229">
        <v>339612</v>
      </c>
      <c r="E165" s="229">
        <v>373727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291302782</v>
      </c>
      <c r="D166" s="229">
        <f>SUM(D160:D165)</f>
        <v>305555644</v>
      </c>
      <c r="E166" s="229">
        <f>SUM(E160:E165)</f>
        <v>324409802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7441</v>
      </c>
      <c r="D169" s="218">
        <v>7317</v>
      </c>
      <c r="E169" s="218">
        <v>6891</v>
      </c>
    </row>
    <row r="170" spans="1:6" ht="20.100000000000001" customHeight="1" x14ac:dyDescent="0.2">
      <c r="A170" s="226">
        <v>2</v>
      </c>
      <c r="B170" s="224" t="s">
        <v>420</v>
      </c>
      <c r="C170" s="218">
        <v>5255</v>
      </c>
      <c r="D170" s="218">
        <v>4984</v>
      </c>
      <c r="E170" s="218">
        <v>4888</v>
      </c>
    </row>
    <row r="171" spans="1:6" ht="20.100000000000001" customHeight="1" x14ac:dyDescent="0.2">
      <c r="A171" s="226">
        <v>3</v>
      </c>
      <c r="B171" s="224" t="s">
        <v>421</v>
      </c>
      <c r="C171" s="218">
        <v>779</v>
      </c>
      <c r="D171" s="218">
        <v>722</v>
      </c>
      <c r="E171" s="218">
        <v>647</v>
      </c>
    </row>
    <row r="172" spans="1:6" ht="20.100000000000001" customHeight="1" x14ac:dyDescent="0.2">
      <c r="A172" s="226">
        <v>4</v>
      </c>
      <c r="B172" s="224" t="s">
        <v>422</v>
      </c>
      <c r="C172" s="218">
        <v>445</v>
      </c>
      <c r="D172" s="218">
        <v>425</v>
      </c>
      <c r="E172" s="218">
        <v>370</v>
      </c>
    </row>
    <row r="173" spans="1:6" ht="20.100000000000001" customHeight="1" x14ac:dyDescent="0.2">
      <c r="A173" s="226">
        <v>5</v>
      </c>
      <c r="B173" s="224" t="s">
        <v>423</v>
      </c>
      <c r="C173" s="218">
        <v>334</v>
      </c>
      <c r="D173" s="218">
        <v>297</v>
      </c>
      <c r="E173" s="218">
        <v>277</v>
      </c>
    </row>
    <row r="174" spans="1:6" ht="20.100000000000001" customHeight="1" x14ac:dyDescent="0.2">
      <c r="A174" s="226">
        <v>6</v>
      </c>
      <c r="B174" s="224" t="s">
        <v>424</v>
      </c>
      <c r="C174" s="218">
        <v>4</v>
      </c>
      <c r="D174" s="218">
        <v>4</v>
      </c>
      <c r="E174" s="218">
        <v>13</v>
      </c>
    </row>
    <row r="175" spans="1:6" ht="20.100000000000001" customHeight="1" x14ac:dyDescent="0.2">
      <c r="A175" s="226">
        <v>7</v>
      </c>
      <c r="B175" s="224" t="s">
        <v>425</v>
      </c>
      <c r="C175" s="218">
        <v>290</v>
      </c>
      <c r="D175" s="218">
        <v>370</v>
      </c>
      <c r="E175" s="218">
        <v>340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13479</v>
      </c>
      <c r="D176" s="218">
        <f>+D169+D170+D171+D174</f>
        <v>13027</v>
      </c>
      <c r="E176" s="218">
        <f>+E169+E170+E171+E174</f>
        <v>12439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0.94159999999999999</v>
      </c>
      <c r="D179" s="231">
        <v>0.8478</v>
      </c>
      <c r="E179" s="231">
        <v>0.87034</v>
      </c>
    </row>
    <row r="180" spans="1:6" ht="20.100000000000001" customHeight="1" x14ac:dyDescent="0.2">
      <c r="A180" s="226">
        <v>2</v>
      </c>
      <c r="B180" s="224" t="s">
        <v>420</v>
      </c>
      <c r="C180" s="231">
        <v>1.4139999999999999</v>
      </c>
      <c r="D180" s="231">
        <v>1.347</v>
      </c>
      <c r="E180" s="231">
        <v>1.4593700000000001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0.97698399999999996</v>
      </c>
      <c r="D181" s="231">
        <v>1.0041249999999999</v>
      </c>
      <c r="E181" s="231">
        <v>1.0239290000000001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0.97989999999999999</v>
      </c>
      <c r="D182" s="231">
        <v>0.92859999999999998</v>
      </c>
      <c r="E182" s="231">
        <v>0.92637999999999998</v>
      </c>
    </row>
    <row r="183" spans="1:6" ht="20.100000000000001" customHeight="1" x14ac:dyDescent="0.2">
      <c r="A183" s="226">
        <v>5</v>
      </c>
      <c r="B183" s="224" t="s">
        <v>423</v>
      </c>
      <c r="C183" s="231">
        <v>0.97309999999999997</v>
      </c>
      <c r="D183" s="231">
        <v>1.1122000000000001</v>
      </c>
      <c r="E183" s="231">
        <v>1.1542300000000001</v>
      </c>
    </row>
    <row r="184" spans="1:6" ht="20.100000000000001" customHeight="1" x14ac:dyDescent="0.2">
      <c r="A184" s="226">
        <v>6</v>
      </c>
      <c r="B184" s="224" t="s">
        <v>424</v>
      </c>
      <c r="C184" s="231">
        <v>0.58199999999999996</v>
      </c>
      <c r="D184" s="231">
        <v>1.1954</v>
      </c>
      <c r="E184" s="231">
        <v>0.69643999999999995</v>
      </c>
    </row>
    <row r="185" spans="1:6" ht="20.100000000000001" customHeight="1" x14ac:dyDescent="0.2">
      <c r="A185" s="226">
        <v>7</v>
      </c>
      <c r="B185" s="224" t="s">
        <v>425</v>
      </c>
      <c r="C185" s="231">
        <v>0.99399999999999999</v>
      </c>
      <c r="D185" s="231">
        <v>0.90229999999999999</v>
      </c>
      <c r="E185" s="231">
        <v>0.98687000000000002</v>
      </c>
    </row>
    <row r="186" spans="1:6" ht="20.100000000000001" customHeight="1" x14ac:dyDescent="0.2">
      <c r="A186" s="226">
        <v>8</v>
      </c>
      <c r="B186" s="224" t="s">
        <v>429</v>
      </c>
      <c r="C186" s="231">
        <v>1.12771</v>
      </c>
      <c r="D186" s="231">
        <v>1.0475589999999999</v>
      </c>
      <c r="E186" s="231">
        <v>1.10961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7715</v>
      </c>
      <c r="D189" s="218">
        <v>7663</v>
      </c>
      <c r="E189" s="218">
        <v>7527</v>
      </c>
    </row>
    <row r="190" spans="1:6" ht="20.100000000000001" customHeight="1" x14ac:dyDescent="0.2">
      <c r="A190" s="226">
        <v>2</v>
      </c>
      <c r="B190" s="224" t="s">
        <v>433</v>
      </c>
      <c r="C190" s="218">
        <v>35170</v>
      </c>
      <c r="D190" s="218">
        <v>35924</v>
      </c>
      <c r="E190" s="218">
        <v>34925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42885</v>
      </c>
      <c r="D191" s="218">
        <f>+D190+D189</f>
        <v>43587</v>
      </c>
      <c r="E191" s="218">
        <f>+E190+E189</f>
        <v>42452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59068</v>
      </c>
      <c r="D14" s="258">
        <v>0</v>
      </c>
      <c r="E14" s="258">
        <f t="shared" ref="E14:E24" si="0">D14-C14</f>
        <v>-59068</v>
      </c>
      <c r="F14" s="259">
        <f t="shared" ref="F14:F24" si="1">IF(C14=0,0,E14/C14)</f>
        <v>-1</v>
      </c>
    </row>
    <row r="15" spans="1:7" ht="20.25" customHeight="1" x14ac:dyDescent="0.3">
      <c r="A15" s="256">
        <v>2</v>
      </c>
      <c r="B15" s="257" t="s">
        <v>442</v>
      </c>
      <c r="C15" s="258">
        <v>13525</v>
      </c>
      <c r="D15" s="258">
        <v>0</v>
      </c>
      <c r="E15" s="258">
        <f t="shared" si="0"/>
        <v>-13525</v>
      </c>
      <c r="F15" s="259">
        <f t="shared" si="1"/>
        <v>-1</v>
      </c>
    </row>
    <row r="16" spans="1:7" ht="20.25" customHeight="1" x14ac:dyDescent="0.3">
      <c r="A16" s="256">
        <v>3</v>
      </c>
      <c r="B16" s="257" t="s">
        <v>443</v>
      </c>
      <c r="C16" s="258">
        <v>88310</v>
      </c>
      <c r="D16" s="258">
        <v>0</v>
      </c>
      <c r="E16" s="258">
        <f t="shared" si="0"/>
        <v>-88310</v>
      </c>
      <c r="F16" s="259">
        <f t="shared" si="1"/>
        <v>-1</v>
      </c>
    </row>
    <row r="17" spans="1:6" ht="20.25" customHeight="1" x14ac:dyDescent="0.3">
      <c r="A17" s="256">
        <v>4</v>
      </c>
      <c r="B17" s="257" t="s">
        <v>444</v>
      </c>
      <c r="C17" s="258">
        <v>25566</v>
      </c>
      <c r="D17" s="258">
        <v>0</v>
      </c>
      <c r="E17" s="258">
        <f t="shared" si="0"/>
        <v>-25566</v>
      </c>
      <c r="F17" s="259">
        <f t="shared" si="1"/>
        <v>-1</v>
      </c>
    </row>
    <row r="18" spans="1:6" ht="20.25" customHeight="1" x14ac:dyDescent="0.3">
      <c r="A18" s="256">
        <v>5</v>
      </c>
      <c r="B18" s="257" t="s">
        <v>381</v>
      </c>
      <c r="C18" s="260">
        <v>2</v>
      </c>
      <c r="D18" s="260">
        <v>0</v>
      </c>
      <c r="E18" s="260">
        <f t="shared" si="0"/>
        <v>-2</v>
      </c>
      <c r="F18" s="259">
        <f t="shared" si="1"/>
        <v>-1</v>
      </c>
    </row>
    <row r="19" spans="1:6" ht="20.25" customHeight="1" x14ac:dyDescent="0.3">
      <c r="A19" s="256">
        <v>6</v>
      </c>
      <c r="B19" s="257" t="s">
        <v>380</v>
      </c>
      <c r="C19" s="260">
        <v>5</v>
      </c>
      <c r="D19" s="260">
        <v>0</v>
      </c>
      <c r="E19" s="260">
        <f t="shared" si="0"/>
        <v>-5</v>
      </c>
      <c r="F19" s="259">
        <f t="shared" si="1"/>
        <v>-1</v>
      </c>
    </row>
    <row r="20" spans="1:6" ht="20.25" customHeight="1" x14ac:dyDescent="0.3">
      <c r="A20" s="256">
        <v>7</v>
      </c>
      <c r="B20" s="257" t="s">
        <v>445</v>
      </c>
      <c r="C20" s="260">
        <v>76</v>
      </c>
      <c r="D20" s="260">
        <v>0</v>
      </c>
      <c r="E20" s="260">
        <f t="shared" si="0"/>
        <v>-76</v>
      </c>
      <c r="F20" s="259">
        <f t="shared" si="1"/>
        <v>-1</v>
      </c>
    </row>
    <row r="21" spans="1:6" ht="20.25" customHeight="1" x14ac:dyDescent="0.3">
      <c r="A21" s="256">
        <v>8</v>
      </c>
      <c r="B21" s="257" t="s">
        <v>446</v>
      </c>
      <c r="C21" s="260">
        <v>4</v>
      </c>
      <c r="D21" s="260">
        <v>0</v>
      </c>
      <c r="E21" s="260">
        <f t="shared" si="0"/>
        <v>-4</v>
      </c>
      <c r="F21" s="259">
        <f t="shared" si="1"/>
        <v>-1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147378</v>
      </c>
      <c r="D23" s="263">
        <f>+D14+D16</f>
        <v>0</v>
      </c>
      <c r="E23" s="263">
        <f t="shared" si="0"/>
        <v>-147378</v>
      </c>
      <c r="F23" s="264">
        <f t="shared" si="1"/>
        <v>-1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39091</v>
      </c>
      <c r="D24" s="263">
        <f>+D15+D17</f>
        <v>0</v>
      </c>
      <c r="E24" s="263">
        <f t="shared" si="0"/>
        <v>-39091</v>
      </c>
      <c r="F24" s="264">
        <f t="shared" si="1"/>
        <v>-1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3250</v>
      </c>
      <c r="E29" s="258">
        <f t="shared" si="2"/>
        <v>3250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2875</v>
      </c>
      <c r="E30" s="258">
        <f t="shared" si="2"/>
        <v>2875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2</v>
      </c>
      <c r="E33" s="260">
        <f t="shared" si="2"/>
        <v>2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3250</v>
      </c>
      <c r="E36" s="263">
        <f t="shared" si="2"/>
        <v>3250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2875</v>
      </c>
      <c r="E37" s="263">
        <f t="shared" si="2"/>
        <v>2875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224869</v>
      </c>
      <c r="D40" s="258">
        <v>411345</v>
      </c>
      <c r="E40" s="258">
        <f t="shared" ref="E40:E50" si="4">D40-C40</f>
        <v>186476</v>
      </c>
      <c r="F40" s="259">
        <f t="shared" ref="F40:F50" si="5">IF(C40=0,0,E40/C40)</f>
        <v>0.82926503875589785</v>
      </c>
    </row>
    <row r="41" spans="1:6" ht="20.25" customHeight="1" x14ac:dyDescent="0.3">
      <c r="A41" s="256">
        <v>2</v>
      </c>
      <c r="B41" s="257" t="s">
        <v>442</v>
      </c>
      <c r="C41" s="258">
        <v>29727</v>
      </c>
      <c r="D41" s="258">
        <v>97180</v>
      </c>
      <c r="E41" s="258">
        <f t="shared" si="4"/>
        <v>67453</v>
      </c>
      <c r="F41" s="259">
        <f t="shared" si="5"/>
        <v>2.2690819793453763</v>
      </c>
    </row>
    <row r="42" spans="1:6" ht="20.25" customHeight="1" x14ac:dyDescent="0.3">
      <c r="A42" s="256">
        <v>3</v>
      </c>
      <c r="B42" s="257" t="s">
        <v>443</v>
      </c>
      <c r="C42" s="258">
        <v>614114</v>
      </c>
      <c r="D42" s="258">
        <v>1904944</v>
      </c>
      <c r="E42" s="258">
        <f t="shared" si="4"/>
        <v>1290830</v>
      </c>
      <c r="F42" s="259">
        <f t="shared" si="5"/>
        <v>2.1019387279886144</v>
      </c>
    </row>
    <row r="43" spans="1:6" ht="20.25" customHeight="1" x14ac:dyDescent="0.3">
      <c r="A43" s="256">
        <v>4</v>
      </c>
      <c r="B43" s="257" t="s">
        <v>444</v>
      </c>
      <c r="C43" s="258">
        <v>225734</v>
      </c>
      <c r="D43" s="258">
        <v>294118</v>
      </c>
      <c r="E43" s="258">
        <f t="shared" si="4"/>
        <v>68384</v>
      </c>
      <c r="F43" s="259">
        <f t="shared" si="5"/>
        <v>0.30294062923618065</v>
      </c>
    </row>
    <row r="44" spans="1:6" ht="20.25" customHeight="1" x14ac:dyDescent="0.3">
      <c r="A44" s="256">
        <v>5</v>
      </c>
      <c r="B44" s="257" t="s">
        <v>381</v>
      </c>
      <c r="C44" s="260">
        <v>7</v>
      </c>
      <c r="D44" s="260">
        <v>8</v>
      </c>
      <c r="E44" s="260">
        <f t="shared" si="4"/>
        <v>1</v>
      </c>
      <c r="F44" s="259">
        <f t="shared" si="5"/>
        <v>0.14285714285714285</v>
      </c>
    </row>
    <row r="45" spans="1:6" ht="20.25" customHeight="1" x14ac:dyDescent="0.3">
      <c r="A45" s="256">
        <v>6</v>
      </c>
      <c r="B45" s="257" t="s">
        <v>380</v>
      </c>
      <c r="C45" s="260">
        <v>27</v>
      </c>
      <c r="D45" s="260">
        <v>24</v>
      </c>
      <c r="E45" s="260">
        <f t="shared" si="4"/>
        <v>-3</v>
      </c>
      <c r="F45" s="259">
        <f t="shared" si="5"/>
        <v>-0.1111111111111111</v>
      </c>
    </row>
    <row r="46" spans="1:6" ht="20.25" customHeight="1" x14ac:dyDescent="0.3">
      <c r="A46" s="256">
        <v>7</v>
      </c>
      <c r="B46" s="257" t="s">
        <v>445</v>
      </c>
      <c r="C46" s="260">
        <v>522</v>
      </c>
      <c r="D46" s="260">
        <v>401</v>
      </c>
      <c r="E46" s="260">
        <f t="shared" si="4"/>
        <v>-121</v>
      </c>
      <c r="F46" s="259">
        <f t="shared" si="5"/>
        <v>-0.23180076628352492</v>
      </c>
    </row>
    <row r="47" spans="1:6" ht="20.25" customHeight="1" x14ac:dyDescent="0.3">
      <c r="A47" s="256">
        <v>8</v>
      </c>
      <c r="B47" s="257" t="s">
        <v>446</v>
      </c>
      <c r="C47" s="260">
        <v>7</v>
      </c>
      <c r="D47" s="260">
        <v>15</v>
      </c>
      <c r="E47" s="260">
        <f t="shared" si="4"/>
        <v>8</v>
      </c>
      <c r="F47" s="259">
        <f t="shared" si="5"/>
        <v>1.1428571428571428</v>
      </c>
    </row>
    <row r="48" spans="1:6" ht="20.25" customHeight="1" x14ac:dyDescent="0.3">
      <c r="A48" s="256">
        <v>9</v>
      </c>
      <c r="B48" s="257" t="s">
        <v>447</v>
      </c>
      <c r="C48" s="260">
        <v>6</v>
      </c>
      <c r="D48" s="260">
        <v>5</v>
      </c>
      <c r="E48" s="260">
        <f t="shared" si="4"/>
        <v>-1</v>
      </c>
      <c r="F48" s="259">
        <f t="shared" si="5"/>
        <v>-0.16666666666666666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838983</v>
      </c>
      <c r="D49" s="263">
        <f>+D40+D42</f>
        <v>2316289</v>
      </c>
      <c r="E49" s="263">
        <f t="shared" si="4"/>
        <v>1477306</v>
      </c>
      <c r="F49" s="264">
        <f t="shared" si="5"/>
        <v>1.7608294804543119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255461</v>
      </c>
      <c r="D50" s="263">
        <f>+D41+D43</f>
        <v>391298</v>
      </c>
      <c r="E50" s="263">
        <f t="shared" si="4"/>
        <v>135837</v>
      </c>
      <c r="F50" s="264">
        <f t="shared" si="5"/>
        <v>0.53173282810291977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9406773</v>
      </c>
      <c r="D66" s="258">
        <v>8253809</v>
      </c>
      <c r="E66" s="258">
        <f t="shared" ref="E66:E76" si="8">D66-C66</f>
        <v>-1152964</v>
      </c>
      <c r="F66" s="259">
        <f t="shared" ref="F66:F76" si="9">IF(C66=0,0,E66/C66)</f>
        <v>-0.12256743093513578</v>
      </c>
    </row>
    <row r="67" spans="1:6" ht="20.25" customHeight="1" x14ac:dyDescent="0.3">
      <c r="A67" s="256">
        <v>2</v>
      </c>
      <c r="B67" s="257" t="s">
        <v>442</v>
      </c>
      <c r="C67" s="258">
        <v>2225060</v>
      </c>
      <c r="D67" s="258">
        <v>1831212</v>
      </c>
      <c r="E67" s="258">
        <f t="shared" si="8"/>
        <v>-393848</v>
      </c>
      <c r="F67" s="259">
        <f t="shared" si="9"/>
        <v>-0.17700556389490621</v>
      </c>
    </row>
    <row r="68" spans="1:6" ht="20.25" customHeight="1" x14ac:dyDescent="0.3">
      <c r="A68" s="256">
        <v>3</v>
      </c>
      <c r="B68" s="257" t="s">
        <v>443</v>
      </c>
      <c r="C68" s="258">
        <v>3935872</v>
      </c>
      <c r="D68" s="258">
        <v>4077792</v>
      </c>
      <c r="E68" s="258">
        <f t="shared" si="8"/>
        <v>141920</v>
      </c>
      <c r="F68" s="259">
        <f t="shared" si="9"/>
        <v>3.6058083189697228E-2</v>
      </c>
    </row>
    <row r="69" spans="1:6" ht="20.25" customHeight="1" x14ac:dyDescent="0.3">
      <c r="A69" s="256">
        <v>4</v>
      </c>
      <c r="B69" s="257" t="s">
        <v>444</v>
      </c>
      <c r="C69" s="258">
        <v>1537875</v>
      </c>
      <c r="D69" s="258">
        <v>687688</v>
      </c>
      <c r="E69" s="258">
        <f t="shared" si="8"/>
        <v>-850187</v>
      </c>
      <c r="F69" s="259">
        <f t="shared" si="9"/>
        <v>-0.55283231732097859</v>
      </c>
    </row>
    <row r="70" spans="1:6" ht="20.25" customHeight="1" x14ac:dyDescent="0.3">
      <c r="A70" s="256">
        <v>5</v>
      </c>
      <c r="B70" s="257" t="s">
        <v>381</v>
      </c>
      <c r="C70" s="260">
        <v>235</v>
      </c>
      <c r="D70" s="260">
        <v>208</v>
      </c>
      <c r="E70" s="260">
        <f t="shared" si="8"/>
        <v>-27</v>
      </c>
      <c r="F70" s="259">
        <f t="shared" si="9"/>
        <v>-0.1148936170212766</v>
      </c>
    </row>
    <row r="71" spans="1:6" ht="20.25" customHeight="1" x14ac:dyDescent="0.3">
      <c r="A71" s="256">
        <v>6</v>
      </c>
      <c r="B71" s="257" t="s">
        <v>380</v>
      </c>
      <c r="C71" s="260">
        <v>1362</v>
      </c>
      <c r="D71" s="260">
        <v>931</v>
      </c>
      <c r="E71" s="260">
        <f t="shared" si="8"/>
        <v>-431</v>
      </c>
      <c r="F71" s="259">
        <f t="shared" si="9"/>
        <v>-0.31644640234948607</v>
      </c>
    </row>
    <row r="72" spans="1:6" ht="20.25" customHeight="1" x14ac:dyDescent="0.3">
      <c r="A72" s="256">
        <v>7</v>
      </c>
      <c r="B72" s="257" t="s">
        <v>445</v>
      </c>
      <c r="C72" s="260">
        <v>1275</v>
      </c>
      <c r="D72" s="260">
        <v>603</v>
      </c>
      <c r="E72" s="260">
        <f t="shared" si="8"/>
        <v>-672</v>
      </c>
      <c r="F72" s="259">
        <f t="shared" si="9"/>
        <v>-0.5270588235294118</v>
      </c>
    </row>
    <row r="73" spans="1:6" ht="20.25" customHeight="1" x14ac:dyDescent="0.3">
      <c r="A73" s="256">
        <v>8</v>
      </c>
      <c r="B73" s="257" t="s">
        <v>446</v>
      </c>
      <c r="C73" s="260">
        <v>283</v>
      </c>
      <c r="D73" s="260">
        <v>243</v>
      </c>
      <c r="E73" s="260">
        <f t="shared" si="8"/>
        <v>-40</v>
      </c>
      <c r="F73" s="259">
        <f t="shared" si="9"/>
        <v>-0.14134275618374559</v>
      </c>
    </row>
    <row r="74" spans="1:6" ht="20.25" customHeight="1" x14ac:dyDescent="0.3">
      <c r="A74" s="256">
        <v>9</v>
      </c>
      <c r="B74" s="257" t="s">
        <v>447</v>
      </c>
      <c r="C74" s="260">
        <v>213</v>
      </c>
      <c r="D74" s="260">
        <v>183</v>
      </c>
      <c r="E74" s="260">
        <f t="shared" si="8"/>
        <v>-30</v>
      </c>
      <c r="F74" s="259">
        <f t="shared" si="9"/>
        <v>-0.14084507042253522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13342645</v>
      </c>
      <c r="D75" s="263">
        <f>+D66+D68</f>
        <v>12331601</v>
      </c>
      <c r="E75" s="263">
        <f t="shared" si="8"/>
        <v>-1011044</v>
      </c>
      <c r="F75" s="264">
        <f t="shared" si="9"/>
        <v>-7.577538036873499E-2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3762935</v>
      </c>
      <c r="D76" s="263">
        <f>+D67+D69</f>
        <v>2518900</v>
      </c>
      <c r="E76" s="263">
        <f t="shared" si="8"/>
        <v>-1244035</v>
      </c>
      <c r="F76" s="264">
        <f t="shared" si="9"/>
        <v>-0.33060230910180483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720530</v>
      </c>
      <c r="D79" s="258">
        <v>0</v>
      </c>
      <c r="E79" s="258">
        <f t="shared" ref="E79:E89" si="10">D79-C79</f>
        <v>-720530</v>
      </c>
      <c r="F79" s="259">
        <f t="shared" ref="F79:F89" si="11">IF(C79=0,0,E79/C79)</f>
        <v>-1</v>
      </c>
    </row>
    <row r="80" spans="1:6" ht="20.25" customHeight="1" x14ac:dyDescent="0.3">
      <c r="A80" s="256">
        <v>2</v>
      </c>
      <c r="B80" s="257" t="s">
        <v>442</v>
      </c>
      <c r="C80" s="258">
        <v>136255</v>
      </c>
      <c r="D80" s="258">
        <v>0</v>
      </c>
      <c r="E80" s="258">
        <f t="shared" si="10"/>
        <v>-136255</v>
      </c>
      <c r="F80" s="259">
        <f t="shared" si="11"/>
        <v>-1</v>
      </c>
    </row>
    <row r="81" spans="1:6" ht="20.25" customHeight="1" x14ac:dyDescent="0.3">
      <c r="A81" s="256">
        <v>3</v>
      </c>
      <c r="B81" s="257" t="s">
        <v>443</v>
      </c>
      <c r="C81" s="258">
        <v>151826</v>
      </c>
      <c r="D81" s="258">
        <v>0</v>
      </c>
      <c r="E81" s="258">
        <f t="shared" si="10"/>
        <v>-151826</v>
      </c>
      <c r="F81" s="259">
        <f t="shared" si="11"/>
        <v>-1</v>
      </c>
    </row>
    <row r="82" spans="1:6" ht="20.25" customHeight="1" x14ac:dyDescent="0.3">
      <c r="A82" s="256">
        <v>4</v>
      </c>
      <c r="B82" s="257" t="s">
        <v>444</v>
      </c>
      <c r="C82" s="258">
        <v>35768</v>
      </c>
      <c r="D82" s="258">
        <v>0</v>
      </c>
      <c r="E82" s="258">
        <f t="shared" si="10"/>
        <v>-35768</v>
      </c>
      <c r="F82" s="259">
        <f t="shared" si="11"/>
        <v>-1</v>
      </c>
    </row>
    <row r="83" spans="1:6" ht="20.25" customHeight="1" x14ac:dyDescent="0.3">
      <c r="A83" s="256">
        <v>5</v>
      </c>
      <c r="B83" s="257" t="s">
        <v>381</v>
      </c>
      <c r="C83" s="260">
        <v>14</v>
      </c>
      <c r="D83" s="260">
        <v>0</v>
      </c>
      <c r="E83" s="260">
        <f t="shared" si="10"/>
        <v>-14</v>
      </c>
      <c r="F83" s="259">
        <f t="shared" si="11"/>
        <v>-1</v>
      </c>
    </row>
    <row r="84" spans="1:6" ht="20.25" customHeight="1" x14ac:dyDescent="0.3">
      <c r="A84" s="256">
        <v>6</v>
      </c>
      <c r="B84" s="257" t="s">
        <v>380</v>
      </c>
      <c r="C84" s="260">
        <v>119</v>
      </c>
      <c r="D84" s="260">
        <v>0</v>
      </c>
      <c r="E84" s="260">
        <f t="shared" si="10"/>
        <v>-119</v>
      </c>
      <c r="F84" s="259">
        <f t="shared" si="11"/>
        <v>-1</v>
      </c>
    </row>
    <row r="85" spans="1:6" ht="20.25" customHeight="1" x14ac:dyDescent="0.3">
      <c r="A85" s="256">
        <v>7</v>
      </c>
      <c r="B85" s="257" t="s">
        <v>445</v>
      </c>
      <c r="C85" s="260">
        <v>60</v>
      </c>
      <c r="D85" s="260">
        <v>0</v>
      </c>
      <c r="E85" s="260">
        <f t="shared" si="10"/>
        <v>-60</v>
      </c>
      <c r="F85" s="259">
        <f t="shared" si="11"/>
        <v>-1</v>
      </c>
    </row>
    <row r="86" spans="1:6" ht="20.25" customHeight="1" x14ac:dyDescent="0.3">
      <c r="A86" s="256">
        <v>8</v>
      </c>
      <c r="B86" s="257" t="s">
        <v>446</v>
      </c>
      <c r="C86" s="260">
        <v>12</v>
      </c>
      <c r="D86" s="260">
        <v>0</v>
      </c>
      <c r="E86" s="260">
        <f t="shared" si="10"/>
        <v>-12</v>
      </c>
      <c r="F86" s="259">
        <f t="shared" si="11"/>
        <v>-1</v>
      </c>
    </row>
    <row r="87" spans="1:6" ht="20.25" customHeight="1" x14ac:dyDescent="0.3">
      <c r="A87" s="256">
        <v>9</v>
      </c>
      <c r="B87" s="257" t="s">
        <v>447</v>
      </c>
      <c r="C87" s="260">
        <v>13</v>
      </c>
      <c r="D87" s="260">
        <v>0</v>
      </c>
      <c r="E87" s="260">
        <f t="shared" si="10"/>
        <v>-13</v>
      </c>
      <c r="F87" s="259">
        <f t="shared" si="11"/>
        <v>-1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872356</v>
      </c>
      <c r="D88" s="263">
        <f>+D79+D81</f>
        <v>0</v>
      </c>
      <c r="E88" s="263">
        <f t="shared" si="10"/>
        <v>-872356</v>
      </c>
      <c r="F88" s="264">
        <f t="shared" si="11"/>
        <v>-1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172023</v>
      </c>
      <c r="D89" s="263">
        <f>+D80+D82</f>
        <v>0</v>
      </c>
      <c r="E89" s="263">
        <f t="shared" si="10"/>
        <v>-172023</v>
      </c>
      <c r="F89" s="264">
        <f t="shared" si="11"/>
        <v>-1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7604896</v>
      </c>
      <c r="D92" s="258">
        <v>11321278</v>
      </c>
      <c r="E92" s="258">
        <f t="shared" ref="E92:E102" si="12">D92-C92</f>
        <v>3716382</v>
      </c>
      <c r="F92" s="259">
        <f t="shared" ref="F92:F102" si="13">IF(C92=0,0,E92/C92)</f>
        <v>0.48868281696422938</v>
      </c>
    </row>
    <row r="93" spans="1:6" ht="20.25" customHeight="1" x14ac:dyDescent="0.3">
      <c r="A93" s="256">
        <v>2</v>
      </c>
      <c r="B93" s="257" t="s">
        <v>442</v>
      </c>
      <c r="C93" s="258">
        <v>1662161</v>
      </c>
      <c r="D93" s="258">
        <v>3471469</v>
      </c>
      <c r="E93" s="258">
        <f t="shared" si="12"/>
        <v>1809308</v>
      </c>
      <c r="F93" s="259">
        <f t="shared" si="13"/>
        <v>1.0885275253119282</v>
      </c>
    </row>
    <row r="94" spans="1:6" ht="20.25" customHeight="1" x14ac:dyDescent="0.3">
      <c r="A94" s="256">
        <v>3</v>
      </c>
      <c r="B94" s="257" t="s">
        <v>443</v>
      </c>
      <c r="C94" s="258">
        <v>5600499</v>
      </c>
      <c r="D94" s="258">
        <v>7975131</v>
      </c>
      <c r="E94" s="258">
        <f t="shared" si="12"/>
        <v>2374632</v>
      </c>
      <c r="F94" s="259">
        <f t="shared" si="13"/>
        <v>0.42400364681789959</v>
      </c>
    </row>
    <row r="95" spans="1:6" ht="20.25" customHeight="1" x14ac:dyDescent="0.3">
      <c r="A95" s="256">
        <v>4</v>
      </c>
      <c r="B95" s="257" t="s">
        <v>444</v>
      </c>
      <c r="C95" s="258">
        <v>1404011</v>
      </c>
      <c r="D95" s="258">
        <v>1155617</v>
      </c>
      <c r="E95" s="258">
        <f t="shared" si="12"/>
        <v>-248394</v>
      </c>
      <c r="F95" s="259">
        <f t="shared" si="13"/>
        <v>-0.17691741731368202</v>
      </c>
    </row>
    <row r="96" spans="1:6" ht="20.25" customHeight="1" x14ac:dyDescent="0.3">
      <c r="A96" s="256">
        <v>5</v>
      </c>
      <c r="B96" s="257" t="s">
        <v>381</v>
      </c>
      <c r="C96" s="260">
        <v>154</v>
      </c>
      <c r="D96" s="260">
        <v>173</v>
      </c>
      <c r="E96" s="260">
        <f t="shared" si="12"/>
        <v>19</v>
      </c>
      <c r="F96" s="259">
        <f t="shared" si="13"/>
        <v>0.12337662337662338</v>
      </c>
    </row>
    <row r="97" spans="1:6" ht="20.25" customHeight="1" x14ac:dyDescent="0.3">
      <c r="A97" s="256">
        <v>6</v>
      </c>
      <c r="B97" s="257" t="s">
        <v>380</v>
      </c>
      <c r="C97" s="260">
        <v>1080</v>
      </c>
      <c r="D97" s="260">
        <v>1501</v>
      </c>
      <c r="E97" s="260">
        <f t="shared" si="12"/>
        <v>421</v>
      </c>
      <c r="F97" s="259">
        <f t="shared" si="13"/>
        <v>0.38981481481481484</v>
      </c>
    </row>
    <row r="98" spans="1:6" ht="20.25" customHeight="1" x14ac:dyDescent="0.3">
      <c r="A98" s="256">
        <v>7</v>
      </c>
      <c r="B98" s="257" t="s">
        <v>445</v>
      </c>
      <c r="C98" s="260">
        <v>4278</v>
      </c>
      <c r="D98" s="260">
        <v>2642</v>
      </c>
      <c r="E98" s="260">
        <f t="shared" si="12"/>
        <v>-1636</v>
      </c>
      <c r="F98" s="259">
        <f t="shared" si="13"/>
        <v>-0.38242169237961665</v>
      </c>
    </row>
    <row r="99" spans="1:6" ht="20.25" customHeight="1" x14ac:dyDescent="0.3">
      <c r="A99" s="256">
        <v>8</v>
      </c>
      <c r="B99" s="257" t="s">
        <v>446</v>
      </c>
      <c r="C99" s="260">
        <v>213</v>
      </c>
      <c r="D99" s="260">
        <v>270</v>
      </c>
      <c r="E99" s="260">
        <f t="shared" si="12"/>
        <v>57</v>
      </c>
      <c r="F99" s="259">
        <f t="shared" si="13"/>
        <v>0.26760563380281688</v>
      </c>
    </row>
    <row r="100" spans="1:6" ht="20.25" customHeight="1" x14ac:dyDescent="0.3">
      <c r="A100" s="256">
        <v>9</v>
      </c>
      <c r="B100" s="257" t="s">
        <v>447</v>
      </c>
      <c r="C100" s="260">
        <v>137</v>
      </c>
      <c r="D100" s="260">
        <v>149</v>
      </c>
      <c r="E100" s="260">
        <f t="shared" si="12"/>
        <v>12</v>
      </c>
      <c r="F100" s="259">
        <f t="shared" si="13"/>
        <v>8.7591240875912413E-2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13205395</v>
      </c>
      <c r="D101" s="263">
        <f>+D92+D94</f>
        <v>19296409</v>
      </c>
      <c r="E101" s="263">
        <f t="shared" si="12"/>
        <v>6091014</v>
      </c>
      <c r="F101" s="264">
        <f t="shared" si="13"/>
        <v>0.46125193528856956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3066172</v>
      </c>
      <c r="D102" s="263">
        <f>+D93+D95</f>
        <v>4627086</v>
      </c>
      <c r="E102" s="263">
        <f t="shared" si="12"/>
        <v>1560914</v>
      </c>
      <c r="F102" s="264">
        <f t="shared" si="13"/>
        <v>0.50907581179398942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183321</v>
      </c>
      <c r="E105" s="258">
        <f t="shared" ref="E105:E115" si="14">D105-C105</f>
        <v>183321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37439</v>
      </c>
      <c r="E106" s="258">
        <f t="shared" si="14"/>
        <v>37439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103170</v>
      </c>
      <c r="E107" s="258">
        <f t="shared" si="14"/>
        <v>103170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18972</v>
      </c>
      <c r="E108" s="258">
        <f t="shared" si="14"/>
        <v>18972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4</v>
      </c>
      <c r="E109" s="260">
        <f t="shared" si="14"/>
        <v>4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20</v>
      </c>
      <c r="E110" s="260">
        <f t="shared" si="14"/>
        <v>20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5</v>
      </c>
      <c r="E112" s="260">
        <f t="shared" si="14"/>
        <v>5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4</v>
      </c>
      <c r="E113" s="260">
        <f t="shared" si="14"/>
        <v>4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286491</v>
      </c>
      <c r="E114" s="263">
        <f t="shared" si="14"/>
        <v>286491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56411</v>
      </c>
      <c r="E115" s="263">
        <f t="shared" si="14"/>
        <v>56411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2895953</v>
      </c>
      <c r="D118" s="258">
        <v>4496620</v>
      </c>
      <c r="E118" s="258">
        <f t="shared" ref="E118:E128" si="16">D118-C118</f>
        <v>1600667</v>
      </c>
      <c r="F118" s="259">
        <f t="shared" ref="F118:F128" si="17">IF(C118=0,0,E118/C118)</f>
        <v>0.55272547586234999</v>
      </c>
    </row>
    <row r="119" spans="1:6" ht="20.25" customHeight="1" x14ac:dyDescent="0.3">
      <c r="A119" s="256">
        <v>2</v>
      </c>
      <c r="B119" s="257" t="s">
        <v>442</v>
      </c>
      <c r="C119" s="258">
        <v>644867</v>
      </c>
      <c r="D119" s="258">
        <v>1058420</v>
      </c>
      <c r="E119" s="258">
        <f t="shared" si="16"/>
        <v>413553</v>
      </c>
      <c r="F119" s="259">
        <f t="shared" si="17"/>
        <v>0.64129967884850669</v>
      </c>
    </row>
    <row r="120" spans="1:6" ht="20.25" customHeight="1" x14ac:dyDescent="0.3">
      <c r="A120" s="256">
        <v>3</v>
      </c>
      <c r="B120" s="257" t="s">
        <v>443</v>
      </c>
      <c r="C120" s="258">
        <v>1445281</v>
      </c>
      <c r="D120" s="258">
        <v>3547371</v>
      </c>
      <c r="E120" s="258">
        <f t="shared" si="16"/>
        <v>2102090</v>
      </c>
      <c r="F120" s="259">
        <f t="shared" si="17"/>
        <v>1.4544507261909623</v>
      </c>
    </row>
    <row r="121" spans="1:6" ht="20.25" customHeight="1" x14ac:dyDescent="0.3">
      <c r="A121" s="256">
        <v>4</v>
      </c>
      <c r="B121" s="257" t="s">
        <v>444</v>
      </c>
      <c r="C121" s="258">
        <v>390725</v>
      </c>
      <c r="D121" s="258">
        <v>601222</v>
      </c>
      <c r="E121" s="258">
        <f t="shared" si="16"/>
        <v>210497</v>
      </c>
      <c r="F121" s="259">
        <f t="shared" si="17"/>
        <v>0.53873440399257788</v>
      </c>
    </row>
    <row r="122" spans="1:6" ht="20.25" customHeight="1" x14ac:dyDescent="0.3">
      <c r="A122" s="256">
        <v>5</v>
      </c>
      <c r="B122" s="257" t="s">
        <v>381</v>
      </c>
      <c r="C122" s="260">
        <v>73</v>
      </c>
      <c r="D122" s="260">
        <v>111</v>
      </c>
      <c r="E122" s="260">
        <f t="shared" si="16"/>
        <v>38</v>
      </c>
      <c r="F122" s="259">
        <f t="shared" si="17"/>
        <v>0.52054794520547942</v>
      </c>
    </row>
    <row r="123" spans="1:6" ht="20.25" customHeight="1" x14ac:dyDescent="0.3">
      <c r="A123" s="256">
        <v>6</v>
      </c>
      <c r="B123" s="257" t="s">
        <v>380</v>
      </c>
      <c r="C123" s="260">
        <v>433</v>
      </c>
      <c r="D123" s="260">
        <v>437</v>
      </c>
      <c r="E123" s="260">
        <f t="shared" si="16"/>
        <v>4</v>
      </c>
      <c r="F123" s="259">
        <f t="shared" si="17"/>
        <v>9.2378752886836026E-3</v>
      </c>
    </row>
    <row r="124" spans="1:6" ht="20.25" customHeight="1" x14ac:dyDescent="0.3">
      <c r="A124" s="256">
        <v>7</v>
      </c>
      <c r="B124" s="257" t="s">
        <v>445</v>
      </c>
      <c r="C124" s="260">
        <v>907</v>
      </c>
      <c r="D124" s="260">
        <v>2208</v>
      </c>
      <c r="E124" s="260">
        <f t="shared" si="16"/>
        <v>1301</v>
      </c>
      <c r="F124" s="259">
        <f t="shared" si="17"/>
        <v>1.434399117971334</v>
      </c>
    </row>
    <row r="125" spans="1:6" ht="20.25" customHeight="1" x14ac:dyDescent="0.3">
      <c r="A125" s="256">
        <v>8</v>
      </c>
      <c r="B125" s="257" t="s">
        <v>446</v>
      </c>
      <c r="C125" s="260">
        <v>84</v>
      </c>
      <c r="D125" s="260">
        <v>99</v>
      </c>
      <c r="E125" s="260">
        <f t="shared" si="16"/>
        <v>15</v>
      </c>
      <c r="F125" s="259">
        <f t="shared" si="17"/>
        <v>0.17857142857142858</v>
      </c>
    </row>
    <row r="126" spans="1:6" ht="20.25" customHeight="1" x14ac:dyDescent="0.3">
      <c r="A126" s="256">
        <v>9</v>
      </c>
      <c r="B126" s="257" t="s">
        <v>447</v>
      </c>
      <c r="C126" s="260">
        <v>71</v>
      </c>
      <c r="D126" s="260">
        <v>90</v>
      </c>
      <c r="E126" s="260">
        <f t="shared" si="16"/>
        <v>19</v>
      </c>
      <c r="F126" s="259">
        <f t="shared" si="17"/>
        <v>0.26760563380281688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4341234</v>
      </c>
      <c r="D127" s="263">
        <f>+D118+D120</f>
        <v>8043991</v>
      </c>
      <c r="E127" s="263">
        <f t="shared" si="16"/>
        <v>3702757</v>
      </c>
      <c r="F127" s="264">
        <f t="shared" si="17"/>
        <v>0.85292730131570882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1035592</v>
      </c>
      <c r="D128" s="263">
        <f>+D119+D121</f>
        <v>1659642</v>
      </c>
      <c r="E128" s="263">
        <f t="shared" si="16"/>
        <v>624050</v>
      </c>
      <c r="F128" s="264">
        <f t="shared" si="17"/>
        <v>0.6026021830991356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262875</v>
      </c>
      <c r="D131" s="258">
        <v>285066</v>
      </c>
      <c r="E131" s="258">
        <f t="shared" ref="E131:E141" si="18">D131-C131</f>
        <v>22191</v>
      </c>
      <c r="F131" s="259">
        <f t="shared" ref="F131:F141" si="19">IF(C131=0,0,E131/C131)</f>
        <v>8.4416547788873045E-2</v>
      </c>
    </row>
    <row r="132" spans="1:6" ht="20.25" customHeight="1" x14ac:dyDescent="0.3">
      <c r="A132" s="256">
        <v>2</v>
      </c>
      <c r="B132" s="257" t="s">
        <v>442</v>
      </c>
      <c r="C132" s="258">
        <v>52115</v>
      </c>
      <c r="D132" s="258">
        <v>73646</v>
      </c>
      <c r="E132" s="258">
        <f t="shared" si="18"/>
        <v>21531</v>
      </c>
      <c r="F132" s="259">
        <f t="shared" si="19"/>
        <v>0.41314400844286675</v>
      </c>
    </row>
    <row r="133" spans="1:6" ht="20.25" customHeight="1" x14ac:dyDescent="0.3">
      <c r="A133" s="256">
        <v>3</v>
      </c>
      <c r="B133" s="257" t="s">
        <v>443</v>
      </c>
      <c r="C133" s="258">
        <v>78265</v>
      </c>
      <c r="D133" s="258">
        <v>228173</v>
      </c>
      <c r="E133" s="258">
        <f t="shared" si="18"/>
        <v>149908</v>
      </c>
      <c r="F133" s="259">
        <f t="shared" si="19"/>
        <v>1.9153900210822206</v>
      </c>
    </row>
    <row r="134" spans="1:6" ht="20.25" customHeight="1" x14ac:dyDescent="0.3">
      <c r="A134" s="256">
        <v>4</v>
      </c>
      <c r="B134" s="257" t="s">
        <v>444</v>
      </c>
      <c r="C134" s="258">
        <v>28732</v>
      </c>
      <c r="D134" s="258">
        <v>27416</v>
      </c>
      <c r="E134" s="258">
        <f t="shared" si="18"/>
        <v>-1316</v>
      </c>
      <c r="F134" s="259">
        <f t="shared" si="19"/>
        <v>-4.5802589447306141E-2</v>
      </c>
    </row>
    <row r="135" spans="1:6" ht="20.25" customHeight="1" x14ac:dyDescent="0.3">
      <c r="A135" s="256">
        <v>5</v>
      </c>
      <c r="B135" s="257" t="s">
        <v>381</v>
      </c>
      <c r="C135" s="260">
        <v>4</v>
      </c>
      <c r="D135" s="260">
        <v>8</v>
      </c>
      <c r="E135" s="260">
        <f t="shared" si="18"/>
        <v>4</v>
      </c>
      <c r="F135" s="259">
        <f t="shared" si="19"/>
        <v>1</v>
      </c>
    </row>
    <row r="136" spans="1:6" ht="20.25" customHeight="1" x14ac:dyDescent="0.3">
      <c r="A136" s="256">
        <v>6</v>
      </c>
      <c r="B136" s="257" t="s">
        <v>380</v>
      </c>
      <c r="C136" s="260">
        <v>36</v>
      </c>
      <c r="D136" s="260">
        <v>27</v>
      </c>
      <c r="E136" s="260">
        <f t="shared" si="18"/>
        <v>-9</v>
      </c>
      <c r="F136" s="259">
        <f t="shared" si="19"/>
        <v>-0.25</v>
      </c>
    </row>
    <row r="137" spans="1:6" ht="20.25" customHeight="1" x14ac:dyDescent="0.3">
      <c r="A137" s="256">
        <v>7</v>
      </c>
      <c r="B137" s="257" t="s">
        <v>445</v>
      </c>
      <c r="C137" s="260">
        <v>28</v>
      </c>
      <c r="D137" s="260">
        <v>39</v>
      </c>
      <c r="E137" s="260">
        <f t="shared" si="18"/>
        <v>11</v>
      </c>
      <c r="F137" s="259">
        <f t="shared" si="19"/>
        <v>0.39285714285714285</v>
      </c>
    </row>
    <row r="138" spans="1:6" ht="20.25" customHeight="1" x14ac:dyDescent="0.3">
      <c r="A138" s="256">
        <v>8</v>
      </c>
      <c r="B138" s="257" t="s">
        <v>446</v>
      </c>
      <c r="C138" s="260">
        <v>13</v>
      </c>
      <c r="D138" s="260">
        <v>11</v>
      </c>
      <c r="E138" s="260">
        <f t="shared" si="18"/>
        <v>-2</v>
      </c>
      <c r="F138" s="259">
        <f t="shared" si="19"/>
        <v>-0.15384615384615385</v>
      </c>
    </row>
    <row r="139" spans="1:6" ht="20.25" customHeight="1" x14ac:dyDescent="0.3">
      <c r="A139" s="256">
        <v>9</v>
      </c>
      <c r="B139" s="257" t="s">
        <v>447</v>
      </c>
      <c r="C139" s="260">
        <v>4</v>
      </c>
      <c r="D139" s="260">
        <v>6</v>
      </c>
      <c r="E139" s="260">
        <f t="shared" si="18"/>
        <v>2</v>
      </c>
      <c r="F139" s="259">
        <f t="shared" si="19"/>
        <v>0.5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341140</v>
      </c>
      <c r="D140" s="263">
        <f>+D131+D133</f>
        <v>513239</v>
      </c>
      <c r="E140" s="263">
        <f t="shared" si="18"/>
        <v>172099</v>
      </c>
      <c r="F140" s="264">
        <f t="shared" si="19"/>
        <v>0.50448203083777921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80847</v>
      </c>
      <c r="D141" s="263">
        <f>+D132+D134</f>
        <v>101062</v>
      </c>
      <c r="E141" s="263">
        <f t="shared" si="18"/>
        <v>20215</v>
      </c>
      <c r="F141" s="264">
        <f t="shared" si="19"/>
        <v>0.25004019938896926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21174964</v>
      </c>
      <c r="D198" s="263">
        <f t="shared" si="28"/>
        <v>24951439</v>
      </c>
      <c r="E198" s="263">
        <f t="shared" ref="E198:E208" si="29">D198-C198</f>
        <v>3776475</v>
      </c>
      <c r="F198" s="273">
        <f t="shared" ref="F198:F208" si="30">IF(C198=0,0,E198/C198)</f>
        <v>0.17834623001011951</v>
      </c>
    </row>
    <row r="199" spans="1:9" ht="20.25" customHeight="1" x14ac:dyDescent="0.3">
      <c r="A199" s="271"/>
      <c r="B199" s="272" t="s">
        <v>466</v>
      </c>
      <c r="C199" s="263">
        <f t="shared" si="28"/>
        <v>4763710</v>
      </c>
      <c r="D199" s="263">
        <f t="shared" si="28"/>
        <v>6569366</v>
      </c>
      <c r="E199" s="263">
        <f t="shared" si="29"/>
        <v>1805656</v>
      </c>
      <c r="F199" s="273">
        <f t="shared" si="30"/>
        <v>0.37904406439518779</v>
      </c>
    </row>
    <row r="200" spans="1:9" ht="20.25" customHeight="1" x14ac:dyDescent="0.3">
      <c r="A200" s="271"/>
      <c r="B200" s="272" t="s">
        <v>467</v>
      </c>
      <c r="C200" s="263">
        <f t="shared" si="28"/>
        <v>11914167</v>
      </c>
      <c r="D200" s="263">
        <f t="shared" si="28"/>
        <v>17839831</v>
      </c>
      <c r="E200" s="263">
        <f t="shared" si="29"/>
        <v>5925664</v>
      </c>
      <c r="F200" s="273">
        <f t="shared" si="30"/>
        <v>0.49736284542595383</v>
      </c>
    </row>
    <row r="201" spans="1:9" ht="20.25" customHeight="1" x14ac:dyDescent="0.3">
      <c r="A201" s="271"/>
      <c r="B201" s="272" t="s">
        <v>468</v>
      </c>
      <c r="C201" s="263">
        <f t="shared" si="28"/>
        <v>3648411</v>
      </c>
      <c r="D201" s="263">
        <f t="shared" si="28"/>
        <v>2787908</v>
      </c>
      <c r="E201" s="263">
        <f t="shared" si="29"/>
        <v>-860503</v>
      </c>
      <c r="F201" s="273">
        <f t="shared" si="30"/>
        <v>-0.23585692511068518</v>
      </c>
    </row>
    <row r="202" spans="1:9" ht="20.25" customHeight="1" x14ac:dyDescent="0.3">
      <c r="A202" s="271"/>
      <c r="B202" s="272" t="s">
        <v>138</v>
      </c>
      <c r="C202" s="274">
        <f t="shared" si="28"/>
        <v>489</v>
      </c>
      <c r="D202" s="274">
        <f t="shared" si="28"/>
        <v>512</v>
      </c>
      <c r="E202" s="274">
        <f t="shared" si="29"/>
        <v>23</v>
      </c>
      <c r="F202" s="273">
        <f t="shared" si="30"/>
        <v>4.7034764826175871E-2</v>
      </c>
    </row>
    <row r="203" spans="1:9" ht="20.25" customHeight="1" x14ac:dyDescent="0.3">
      <c r="A203" s="271"/>
      <c r="B203" s="272" t="s">
        <v>140</v>
      </c>
      <c r="C203" s="274">
        <f t="shared" si="28"/>
        <v>3062</v>
      </c>
      <c r="D203" s="274">
        <f t="shared" si="28"/>
        <v>2940</v>
      </c>
      <c r="E203" s="274">
        <f t="shared" si="29"/>
        <v>-122</v>
      </c>
      <c r="F203" s="273">
        <f t="shared" si="30"/>
        <v>-3.9843239712606136E-2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7146</v>
      </c>
      <c r="D204" s="274">
        <f t="shared" si="28"/>
        <v>5895</v>
      </c>
      <c r="E204" s="274">
        <f t="shared" si="29"/>
        <v>-1251</v>
      </c>
      <c r="F204" s="273">
        <f t="shared" si="30"/>
        <v>-0.17506297229219145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616</v>
      </c>
      <c r="D205" s="274">
        <f t="shared" si="28"/>
        <v>643</v>
      </c>
      <c r="E205" s="274">
        <f t="shared" si="29"/>
        <v>27</v>
      </c>
      <c r="F205" s="273">
        <f t="shared" si="30"/>
        <v>4.3831168831168832E-2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444</v>
      </c>
      <c r="D206" s="274">
        <f t="shared" si="28"/>
        <v>437</v>
      </c>
      <c r="E206" s="274">
        <f t="shared" si="29"/>
        <v>-7</v>
      </c>
      <c r="F206" s="273">
        <f t="shared" si="30"/>
        <v>-1.5765765765765764E-2</v>
      </c>
    </row>
    <row r="207" spans="1:9" ht="20.25" customHeight="1" x14ac:dyDescent="0.3">
      <c r="A207" s="271"/>
      <c r="B207" s="262" t="s">
        <v>471</v>
      </c>
      <c r="C207" s="263">
        <f>+C198+C200</f>
        <v>33089131</v>
      </c>
      <c r="D207" s="263">
        <f>+D198+D200</f>
        <v>42791270</v>
      </c>
      <c r="E207" s="263">
        <f t="shared" si="29"/>
        <v>9702139</v>
      </c>
      <c r="F207" s="273">
        <f t="shared" si="30"/>
        <v>0.29321226356775582</v>
      </c>
    </row>
    <row r="208" spans="1:9" ht="20.25" customHeight="1" x14ac:dyDescent="0.3">
      <c r="A208" s="271"/>
      <c r="B208" s="262" t="s">
        <v>472</v>
      </c>
      <c r="C208" s="263">
        <f>+C199+C201</f>
        <v>8412121</v>
      </c>
      <c r="D208" s="263">
        <f>+D199+D201</f>
        <v>9357274</v>
      </c>
      <c r="E208" s="263">
        <f t="shared" si="29"/>
        <v>945153</v>
      </c>
      <c r="F208" s="273">
        <f t="shared" si="30"/>
        <v>0.11235608712713477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561856</v>
      </c>
      <c r="D26" s="258">
        <v>0</v>
      </c>
      <c r="E26" s="258">
        <f t="shared" ref="E26:E36" si="2">D26-C26</f>
        <v>-561856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61981</v>
      </c>
      <c r="D27" s="258">
        <v>0</v>
      </c>
      <c r="E27" s="258">
        <f t="shared" si="2"/>
        <v>-61981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1903639</v>
      </c>
      <c r="D28" s="258">
        <v>0</v>
      </c>
      <c r="E28" s="258">
        <f t="shared" si="2"/>
        <v>-1903639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182590</v>
      </c>
      <c r="D29" s="258">
        <v>0</v>
      </c>
      <c r="E29" s="258">
        <f t="shared" si="2"/>
        <v>-182590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14</v>
      </c>
      <c r="D30" s="260">
        <v>0</v>
      </c>
      <c r="E30" s="260">
        <f t="shared" si="2"/>
        <v>-14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52</v>
      </c>
      <c r="D31" s="260">
        <v>0</v>
      </c>
      <c r="E31" s="260">
        <f t="shared" si="2"/>
        <v>-52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1957</v>
      </c>
      <c r="D32" s="260">
        <v>0</v>
      </c>
      <c r="E32" s="260">
        <f t="shared" si="2"/>
        <v>-1957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576</v>
      </c>
      <c r="D33" s="260">
        <v>0</v>
      </c>
      <c r="E33" s="260">
        <f t="shared" si="2"/>
        <v>-576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2465495</v>
      </c>
      <c r="D35" s="263">
        <f>+D26+D28</f>
        <v>0</v>
      </c>
      <c r="E35" s="263">
        <f t="shared" si="2"/>
        <v>-2465495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244571</v>
      </c>
      <c r="D36" s="263">
        <f>+D27+D29</f>
        <v>0</v>
      </c>
      <c r="E36" s="263">
        <f t="shared" si="2"/>
        <v>-244571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62707</v>
      </c>
      <c r="D50" s="258">
        <v>0</v>
      </c>
      <c r="E50" s="258">
        <f t="shared" ref="E50:E60" si="6">D50-C50</f>
        <v>-62707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12077</v>
      </c>
      <c r="D51" s="258">
        <v>0</v>
      </c>
      <c r="E51" s="258">
        <f t="shared" si="6"/>
        <v>-12077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239270</v>
      </c>
      <c r="D52" s="258">
        <v>0</v>
      </c>
      <c r="E52" s="258">
        <f t="shared" si="6"/>
        <v>-239270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6343</v>
      </c>
      <c r="D53" s="258">
        <v>0</v>
      </c>
      <c r="E53" s="258">
        <f t="shared" si="6"/>
        <v>-6343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4</v>
      </c>
      <c r="D54" s="260">
        <v>0</v>
      </c>
      <c r="E54" s="260">
        <f t="shared" si="6"/>
        <v>-4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4</v>
      </c>
      <c r="D55" s="260">
        <v>0</v>
      </c>
      <c r="E55" s="260">
        <f t="shared" si="6"/>
        <v>-4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126</v>
      </c>
      <c r="D56" s="260">
        <v>0</v>
      </c>
      <c r="E56" s="260">
        <f t="shared" si="6"/>
        <v>-126</v>
      </c>
      <c r="F56" s="259">
        <f t="shared" si="7"/>
        <v>-1</v>
      </c>
    </row>
    <row r="57" spans="1:6" ht="20.25" customHeight="1" x14ac:dyDescent="0.3">
      <c r="A57" s="256">
        <v>8</v>
      </c>
      <c r="B57" s="257" t="s">
        <v>446</v>
      </c>
      <c r="C57" s="260">
        <v>19</v>
      </c>
      <c r="D57" s="260">
        <v>0</v>
      </c>
      <c r="E57" s="260">
        <f t="shared" si="6"/>
        <v>-19</v>
      </c>
      <c r="F57" s="259">
        <f t="shared" si="7"/>
        <v>-1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301977</v>
      </c>
      <c r="D59" s="263">
        <f>+D50+D52</f>
        <v>0</v>
      </c>
      <c r="E59" s="263">
        <f t="shared" si="6"/>
        <v>-301977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18420</v>
      </c>
      <c r="D60" s="263">
        <f>+D51+D53</f>
        <v>0</v>
      </c>
      <c r="E60" s="263">
        <f t="shared" si="6"/>
        <v>-18420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82352</v>
      </c>
      <c r="D86" s="258">
        <v>0</v>
      </c>
      <c r="E86" s="258">
        <f t="shared" ref="E86:E96" si="12">D86-C86</f>
        <v>-82352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11354</v>
      </c>
      <c r="D87" s="258">
        <v>0</v>
      </c>
      <c r="E87" s="258">
        <f t="shared" si="12"/>
        <v>-11354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393528</v>
      </c>
      <c r="D88" s="258">
        <v>0</v>
      </c>
      <c r="E88" s="258">
        <f t="shared" si="12"/>
        <v>-393528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41282</v>
      </c>
      <c r="D89" s="258">
        <v>0</v>
      </c>
      <c r="E89" s="258">
        <f t="shared" si="12"/>
        <v>-41282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4</v>
      </c>
      <c r="D90" s="260">
        <v>0</v>
      </c>
      <c r="E90" s="260">
        <f t="shared" si="12"/>
        <v>-4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14</v>
      </c>
      <c r="D91" s="260">
        <v>0</v>
      </c>
      <c r="E91" s="260">
        <f t="shared" si="12"/>
        <v>-14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374</v>
      </c>
      <c r="D92" s="260">
        <v>0</v>
      </c>
      <c r="E92" s="260">
        <f t="shared" si="12"/>
        <v>-374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90</v>
      </c>
      <c r="D93" s="260">
        <v>0</v>
      </c>
      <c r="E93" s="260">
        <f t="shared" si="12"/>
        <v>-90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3</v>
      </c>
      <c r="D94" s="260">
        <v>0</v>
      </c>
      <c r="E94" s="260">
        <f t="shared" si="12"/>
        <v>-3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475880</v>
      </c>
      <c r="D95" s="263">
        <f>+D86+D88</f>
        <v>0</v>
      </c>
      <c r="E95" s="263">
        <f t="shared" si="12"/>
        <v>-475880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52636</v>
      </c>
      <c r="D96" s="263">
        <f>+D87+D89</f>
        <v>0</v>
      </c>
      <c r="E96" s="263">
        <f t="shared" si="12"/>
        <v>-52636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99861</v>
      </c>
      <c r="D98" s="258">
        <v>0</v>
      </c>
      <c r="E98" s="258">
        <f t="shared" ref="E98:E108" si="14">D98-C98</f>
        <v>-99861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17567</v>
      </c>
      <c r="D99" s="258">
        <v>0</v>
      </c>
      <c r="E99" s="258">
        <f t="shared" si="14"/>
        <v>-17567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479218</v>
      </c>
      <c r="D100" s="258">
        <v>0</v>
      </c>
      <c r="E100" s="258">
        <f t="shared" si="14"/>
        <v>-479218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51854</v>
      </c>
      <c r="D101" s="258">
        <v>0</v>
      </c>
      <c r="E101" s="258">
        <f t="shared" si="14"/>
        <v>-51854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5</v>
      </c>
      <c r="D102" s="260">
        <v>0</v>
      </c>
      <c r="E102" s="260">
        <f t="shared" si="14"/>
        <v>-5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15</v>
      </c>
      <c r="D103" s="260">
        <v>0</v>
      </c>
      <c r="E103" s="260">
        <f t="shared" si="14"/>
        <v>-15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422</v>
      </c>
      <c r="D104" s="260">
        <v>0</v>
      </c>
      <c r="E104" s="260">
        <f t="shared" si="14"/>
        <v>-422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109</v>
      </c>
      <c r="D105" s="260">
        <v>0</v>
      </c>
      <c r="E105" s="260">
        <f t="shared" si="14"/>
        <v>-109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2</v>
      </c>
      <c r="D106" s="260">
        <v>0</v>
      </c>
      <c r="E106" s="260">
        <f t="shared" si="14"/>
        <v>-2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579079</v>
      </c>
      <c r="D107" s="263">
        <f>+D98+D100</f>
        <v>0</v>
      </c>
      <c r="E107" s="263">
        <f t="shared" si="14"/>
        <v>-579079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69421</v>
      </c>
      <c r="D108" s="263">
        <f>+D99+D101</f>
        <v>0</v>
      </c>
      <c r="E108" s="263">
        <f t="shared" si="14"/>
        <v>-69421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806776</v>
      </c>
      <c r="D112" s="263">
        <f t="shared" si="16"/>
        <v>0</v>
      </c>
      <c r="E112" s="263">
        <f t="shared" ref="E112:E122" si="17">D112-C112</f>
        <v>-806776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102979</v>
      </c>
      <c r="D113" s="263">
        <f t="shared" si="16"/>
        <v>0</v>
      </c>
      <c r="E113" s="263">
        <f t="shared" si="17"/>
        <v>-102979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3015655</v>
      </c>
      <c r="D114" s="263">
        <f t="shared" si="16"/>
        <v>0</v>
      </c>
      <c r="E114" s="263">
        <f t="shared" si="17"/>
        <v>-3015655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282069</v>
      </c>
      <c r="D115" s="263">
        <f t="shared" si="16"/>
        <v>0</v>
      </c>
      <c r="E115" s="263">
        <f t="shared" si="17"/>
        <v>-282069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27</v>
      </c>
      <c r="D116" s="287">
        <f t="shared" si="16"/>
        <v>0</v>
      </c>
      <c r="E116" s="287">
        <f t="shared" si="17"/>
        <v>-27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85</v>
      </c>
      <c r="D117" s="287">
        <f t="shared" si="16"/>
        <v>0</v>
      </c>
      <c r="E117" s="287">
        <f t="shared" si="17"/>
        <v>-85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2879</v>
      </c>
      <c r="D118" s="287">
        <f t="shared" si="16"/>
        <v>0</v>
      </c>
      <c r="E118" s="287">
        <f t="shared" si="17"/>
        <v>-2879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794</v>
      </c>
      <c r="D119" s="287">
        <f t="shared" si="16"/>
        <v>0</v>
      </c>
      <c r="E119" s="287">
        <f t="shared" si="17"/>
        <v>-794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5</v>
      </c>
      <c r="D120" s="287">
        <f t="shared" si="16"/>
        <v>0</v>
      </c>
      <c r="E120" s="287">
        <f t="shared" si="17"/>
        <v>-5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3822431</v>
      </c>
      <c r="D121" s="263">
        <f>+D112+D114</f>
        <v>0</v>
      </c>
      <c r="E121" s="263">
        <f t="shared" si="17"/>
        <v>-3822431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385048</v>
      </c>
      <c r="D122" s="263">
        <f>+D113+D115</f>
        <v>0</v>
      </c>
      <c r="E122" s="263">
        <f t="shared" si="17"/>
        <v>-385048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37343000</v>
      </c>
      <c r="D13" s="22">
        <v>29569000</v>
      </c>
      <c r="E13" s="22">
        <f t="shared" ref="E13:E22" si="0">D13-C13</f>
        <v>-7774000</v>
      </c>
      <c r="F13" s="306">
        <f t="shared" ref="F13:F22" si="1">IF(C13=0,0,E13/C13)</f>
        <v>-0.2081782395629703</v>
      </c>
    </row>
    <row r="14" spans="1:8" ht="24" customHeight="1" x14ac:dyDescent="0.2">
      <c r="A14" s="304">
        <v>2</v>
      </c>
      <c r="B14" s="305" t="s">
        <v>17</v>
      </c>
      <c r="C14" s="22">
        <v>10243000</v>
      </c>
      <c r="D14" s="22">
        <v>36063000</v>
      </c>
      <c r="E14" s="22">
        <f t="shared" si="0"/>
        <v>25820000</v>
      </c>
      <c r="F14" s="306">
        <f t="shared" si="1"/>
        <v>2.5207458752318659</v>
      </c>
    </row>
    <row r="15" spans="1:8" ht="35.1" customHeight="1" x14ac:dyDescent="0.2">
      <c r="A15" s="304">
        <v>3</v>
      </c>
      <c r="B15" s="305" t="s">
        <v>18</v>
      </c>
      <c r="C15" s="22">
        <v>39760000</v>
      </c>
      <c r="D15" s="22">
        <v>37281000</v>
      </c>
      <c r="E15" s="22">
        <f t="shared" si="0"/>
        <v>-2479000</v>
      </c>
      <c r="F15" s="306">
        <f t="shared" si="1"/>
        <v>-6.234909456740443E-2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2188590</v>
      </c>
      <c r="D19" s="22">
        <v>1646074</v>
      </c>
      <c r="E19" s="22">
        <f t="shared" si="0"/>
        <v>-542516</v>
      </c>
      <c r="F19" s="306">
        <f t="shared" si="1"/>
        <v>-0.24788379733070151</v>
      </c>
    </row>
    <row r="20" spans="1:11" ht="24" customHeight="1" x14ac:dyDescent="0.2">
      <c r="A20" s="304">
        <v>8</v>
      </c>
      <c r="B20" s="305" t="s">
        <v>23</v>
      </c>
      <c r="C20" s="22">
        <v>6473410</v>
      </c>
      <c r="D20" s="22">
        <v>8132926</v>
      </c>
      <c r="E20" s="22">
        <f t="shared" si="0"/>
        <v>1659516</v>
      </c>
      <c r="F20" s="306">
        <f t="shared" si="1"/>
        <v>0.25635885877767667</v>
      </c>
    </row>
    <row r="21" spans="1:11" ht="24" customHeight="1" x14ac:dyDescent="0.2">
      <c r="A21" s="304">
        <v>9</v>
      </c>
      <c r="B21" s="305" t="s">
        <v>24</v>
      </c>
      <c r="C21" s="22">
        <v>6878000</v>
      </c>
      <c r="D21" s="22">
        <v>11820000</v>
      </c>
      <c r="E21" s="22">
        <f t="shared" si="0"/>
        <v>4942000</v>
      </c>
      <c r="F21" s="306">
        <f t="shared" si="1"/>
        <v>0.71852282640302412</v>
      </c>
    </row>
    <row r="22" spans="1:11" ht="24" customHeight="1" x14ac:dyDescent="0.25">
      <c r="A22" s="307"/>
      <c r="B22" s="308" t="s">
        <v>25</v>
      </c>
      <c r="C22" s="309">
        <f>SUM(C13:C21)</f>
        <v>102886000</v>
      </c>
      <c r="D22" s="309">
        <f>SUM(D13:D21)</f>
        <v>124512000</v>
      </c>
      <c r="E22" s="309">
        <f t="shared" si="0"/>
        <v>21626000</v>
      </c>
      <c r="F22" s="310">
        <f t="shared" si="1"/>
        <v>0.2101938067375542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797000</v>
      </c>
      <c r="D25" s="22">
        <v>796000</v>
      </c>
      <c r="E25" s="22">
        <f>D25-C25</f>
        <v>-1000</v>
      </c>
      <c r="F25" s="306">
        <f>IF(C25=0,0,E25/C25)</f>
        <v>-1.2547051442910915E-3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88631000</v>
      </c>
      <c r="D26" s="22">
        <v>89577750</v>
      </c>
      <c r="E26" s="22">
        <f>D26-C26</f>
        <v>946750</v>
      </c>
      <c r="F26" s="306">
        <f>IF(C26=0,0,E26/C26)</f>
        <v>1.0681928444900768E-2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5000</v>
      </c>
      <c r="D27" s="22">
        <v>2250</v>
      </c>
      <c r="E27" s="22">
        <f>D27-C27</f>
        <v>-2750</v>
      </c>
      <c r="F27" s="306">
        <f>IF(C27=0,0,E27/C27)</f>
        <v>-0.55000000000000004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89433000</v>
      </c>
      <c r="D29" s="309">
        <f>SUM(D25:D28)</f>
        <v>90376000</v>
      </c>
      <c r="E29" s="309">
        <f>D29-C29</f>
        <v>943000</v>
      </c>
      <c r="F29" s="310">
        <f>IF(C29=0,0,E29/C29)</f>
        <v>1.0544206277324926E-2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53112000</v>
      </c>
      <c r="D32" s="22">
        <v>59347000</v>
      </c>
      <c r="E32" s="22">
        <f>D32-C32</f>
        <v>6235000</v>
      </c>
      <c r="F32" s="306">
        <f>IF(C32=0,0,E32/C32)</f>
        <v>0.11739343274589546</v>
      </c>
    </row>
    <row r="33" spans="1:8" ht="24" customHeight="1" x14ac:dyDescent="0.2">
      <c r="A33" s="304">
        <v>7</v>
      </c>
      <c r="B33" s="305" t="s">
        <v>35</v>
      </c>
      <c r="C33" s="22">
        <v>24823000</v>
      </c>
      <c r="D33" s="22">
        <v>29746000</v>
      </c>
      <c r="E33" s="22">
        <f>D33-C33</f>
        <v>4923000</v>
      </c>
      <c r="F33" s="306">
        <f>IF(C33=0,0,E33/C33)</f>
        <v>0.1983241348749144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462887000</v>
      </c>
      <c r="D36" s="22">
        <v>473690000</v>
      </c>
      <c r="E36" s="22">
        <f>D36-C36</f>
        <v>10803000</v>
      </c>
      <c r="F36" s="306">
        <f>IF(C36=0,0,E36/C36)</f>
        <v>2.3338309349798116E-2</v>
      </c>
    </row>
    <row r="37" spans="1:8" ht="24" customHeight="1" x14ac:dyDescent="0.2">
      <c r="A37" s="304">
        <v>2</v>
      </c>
      <c r="B37" s="305" t="s">
        <v>39</v>
      </c>
      <c r="C37" s="22">
        <v>194746000</v>
      </c>
      <c r="D37" s="22">
        <v>212355000</v>
      </c>
      <c r="E37" s="22">
        <f>D37-C37</f>
        <v>17609000</v>
      </c>
      <c r="F37" s="22">
        <f>IF(C37=0,0,E37/C37)</f>
        <v>9.0420342394709002E-2</v>
      </c>
    </row>
    <row r="38" spans="1:8" ht="24" customHeight="1" x14ac:dyDescent="0.25">
      <c r="A38" s="307"/>
      <c r="B38" s="308" t="s">
        <v>40</v>
      </c>
      <c r="C38" s="309">
        <f>C36-C37</f>
        <v>268141000</v>
      </c>
      <c r="D38" s="309">
        <f>D36-D37</f>
        <v>261335000</v>
      </c>
      <c r="E38" s="309">
        <f>D38-C38</f>
        <v>-6806000</v>
      </c>
      <c r="F38" s="310">
        <f>IF(C38=0,0,E38/C38)</f>
        <v>-2.5382168336807873E-2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1354000</v>
      </c>
      <c r="D40" s="22">
        <v>153000</v>
      </c>
      <c r="E40" s="22">
        <f>D40-C40</f>
        <v>-1201000</v>
      </c>
      <c r="F40" s="306">
        <f>IF(C40=0,0,E40/C40)</f>
        <v>-0.88700147710487443</v>
      </c>
    </row>
    <row r="41" spans="1:8" ht="24" customHeight="1" x14ac:dyDescent="0.25">
      <c r="A41" s="307"/>
      <c r="B41" s="308" t="s">
        <v>42</v>
      </c>
      <c r="C41" s="309">
        <f>+C38+C40</f>
        <v>269495000</v>
      </c>
      <c r="D41" s="309">
        <f>+D38+D40</f>
        <v>261488000</v>
      </c>
      <c r="E41" s="309">
        <f>D41-C41</f>
        <v>-8007000</v>
      </c>
      <c r="F41" s="310">
        <f>IF(C41=0,0,E41/C41)</f>
        <v>-2.9711126365980816E-2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539749000</v>
      </c>
      <c r="D43" s="309">
        <f>D22+D29+D31+D32+D33+D41</f>
        <v>565469000</v>
      </c>
      <c r="E43" s="309">
        <f>D43-C43</f>
        <v>25720000</v>
      </c>
      <c r="F43" s="310">
        <f>IF(C43=0,0,E43/C43)</f>
        <v>4.7651778882406452E-2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18722000</v>
      </c>
      <c r="D49" s="22">
        <v>18052000</v>
      </c>
      <c r="E49" s="22">
        <f t="shared" ref="E49:E56" si="2">D49-C49</f>
        <v>-670000</v>
      </c>
      <c r="F49" s="306">
        <f t="shared" ref="F49:F56" si="3">IF(C49=0,0,E49/C49)</f>
        <v>-3.5786774917209697E-2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11214000</v>
      </c>
      <c r="D50" s="22">
        <v>11995000</v>
      </c>
      <c r="E50" s="22">
        <f t="shared" si="2"/>
        <v>781000</v>
      </c>
      <c r="F50" s="306">
        <f t="shared" si="3"/>
        <v>6.9645086499019085E-2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492000</v>
      </c>
      <c r="D51" s="22">
        <v>1207893</v>
      </c>
      <c r="E51" s="22">
        <f t="shared" si="2"/>
        <v>715893</v>
      </c>
      <c r="F51" s="306">
        <f t="shared" si="3"/>
        <v>1.4550670731707318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2430000</v>
      </c>
      <c r="D53" s="22">
        <v>2505000</v>
      </c>
      <c r="E53" s="22">
        <f t="shared" si="2"/>
        <v>75000</v>
      </c>
      <c r="F53" s="306">
        <f t="shared" si="3"/>
        <v>3.0864197530864196E-2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22725000</v>
      </c>
      <c r="D55" s="22">
        <v>19409107</v>
      </c>
      <c r="E55" s="22">
        <f t="shared" si="2"/>
        <v>-3315893</v>
      </c>
      <c r="F55" s="306">
        <f t="shared" si="3"/>
        <v>-0.14591388338833883</v>
      </c>
    </row>
    <row r="56" spans="1:6" ht="24" customHeight="1" x14ac:dyDescent="0.25">
      <c r="A56" s="307"/>
      <c r="B56" s="308" t="s">
        <v>54</v>
      </c>
      <c r="C56" s="309">
        <f>SUM(C49:C55)</f>
        <v>55583000</v>
      </c>
      <c r="D56" s="309">
        <f>SUM(D49:D55)</f>
        <v>53169000</v>
      </c>
      <c r="E56" s="309">
        <f t="shared" si="2"/>
        <v>-2414000</v>
      </c>
      <c r="F56" s="310">
        <f t="shared" si="3"/>
        <v>-4.3430545310616554E-2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40215000</v>
      </c>
      <c r="D59" s="22">
        <v>37710000</v>
      </c>
      <c r="E59" s="22">
        <f>D59-C59</f>
        <v>-2505000</v>
      </c>
      <c r="F59" s="306">
        <f>IF(C59=0,0,E59/C59)</f>
        <v>-6.2290190227527041E-2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40215000</v>
      </c>
      <c r="D61" s="309">
        <f>SUM(D59:D60)</f>
        <v>37710000</v>
      </c>
      <c r="E61" s="309">
        <f>D61-C61</f>
        <v>-2505000</v>
      </c>
      <c r="F61" s="310">
        <f>IF(C61=0,0,E61/C61)</f>
        <v>-6.2290190227527041E-2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54164000</v>
      </c>
      <c r="D63" s="22">
        <v>23880000</v>
      </c>
      <c r="E63" s="22">
        <f>D63-C63</f>
        <v>-30284000</v>
      </c>
      <c r="F63" s="306">
        <f>IF(C63=0,0,E63/C63)</f>
        <v>-0.55911675651724391</v>
      </c>
    </row>
    <row r="64" spans="1:6" ht="24" customHeight="1" x14ac:dyDescent="0.2">
      <c r="A64" s="304">
        <v>4</v>
      </c>
      <c r="B64" s="305" t="s">
        <v>60</v>
      </c>
      <c r="C64" s="22">
        <v>36910000</v>
      </c>
      <c r="D64" s="22">
        <v>39779000</v>
      </c>
      <c r="E64" s="22">
        <f>D64-C64</f>
        <v>2869000</v>
      </c>
      <c r="F64" s="306">
        <f>IF(C64=0,0,E64/C64)</f>
        <v>7.7729612571118933E-2</v>
      </c>
    </row>
    <row r="65" spans="1:6" ht="24" customHeight="1" x14ac:dyDescent="0.25">
      <c r="A65" s="307"/>
      <c r="B65" s="308" t="s">
        <v>61</v>
      </c>
      <c r="C65" s="309">
        <f>SUM(C61:C64)</f>
        <v>131289000</v>
      </c>
      <c r="D65" s="309">
        <f>SUM(D61:D64)</f>
        <v>101369000</v>
      </c>
      <c r="E65" s="309">
        <f>D65-C65</f>
        <v>-29920000</v>
      </c>
      <c r="F65" s="310">
        <f>IF(C65=0,0,E65/C65)</f>
        <v>-0.22789418763186559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1760000</v>
      </c>
      <c r="D67" s="22">
        <v>793000</v>
      </c>
      <c r="E67" s="22">
        <f>D67-C67</f>
        <v>-967000</v>
      </c>
      <c r="F67" s="321">
        <f>IF(C67=0,0,E67/C67)</f>
        <v>-0.54943181818181819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299329000</v>
      </c>
      <c r="D70" s="22">
        <v>351359000</v>
      </c>
      <c r="E70" s="22">
        <f>D70-C70</f>
        <v>52030000</v>
      </c>
      <c r="F70" s="306">
        <f>IF(C70=0,0,E70/C70)</f>
        <v>0.17382211546492321</v>
      </c>
    </row>
    <row r="71" spans="1:6" ht="24" customHeight="1" x14ac:dyDescent="0.2">
      <c r="A71" s="304">
        <v>2</v>
      </c>
      <c r="B71" s="305" t="s">
        <v>65</v>
      </c>
      <c r="C71" s="22">
        <v>29999000</v>
      </c>
      <c r="D71" s="22">
        <v>36543000</v>
      </c>
      <c r="E71" s="22">
        <f>D71-C71</f>
        <v>6544000</v>
      </c>
      <c r="F71" s="306">
        <f>IF(C71=0,0,E71/C71)</f>
        <v>0.21814060468682289</v>
      </c>
    </row>
    <row r="72" spans="1:6" ht="24" customHeight="1" x14ac:dyDescent="0.2">
      <c r="A72" s="304">
        <v>3</v>
      </c>
      <c r="B72" s="305" t="s">
        <v>66</v>
      </c>
      <c r="C72" s="22">
        <v>21789000</v>
      </c>
      <c r="D72" s="22">
        <v>22236000</v>
      </c>
      <c r="E72" s="22">
        <f>D72-C72</f>
        <v>447000</v>
      </c>
      <c r="F72" s="306">
        <f>IF(C72=0,0,E72/C72)</f>
        <v>2.0514938730552112E-2</v>
      </c>
    </row>
    <row r="73" spans="1:6" ht="24" customHeight="1" x14ac:dyDescent="0.25">
      <c r="A73" s="304"/>
      <c r="B73" s="308" t="s">
        <v>67</v>
      </c>
      <c r="C73" s="309">
        <f>SUM(C70:C72)</f>
        <v>351117000</v>
      </c>
      <c r="D73" s="309">
        <f>SUM(D70:D72)</f>
        <v>410138000</v>
      </c>
      <c r="E73" s="309">
        <f>D73-C73</f>
        <v>59021000</v>
      </c>
      <c r="F73" s="310">
        <f>IF(C73=0,0,E73/C73)</f>
        <v>0.16809496549583186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539749000</v>
      </c>
      <c r="D75" s="309">
        <f>D56+D65+D67+D73</f>
        <v>565469000</v>
      </c>
      <c r="E75" s="309">
        <f>D75-C75</f>
        <v>25720000</v>
      </c>
      <c r="F75" s="310">
        <f>IF(C75=0,0,E75/C75)</f>
        <v>4.7651778882406452E-2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987697000</v>
      </c>
      <c r="D11" s="76">
        <v>1119126000</v>
      </c>
      <c r="E11" s="76">
        <f t="shared" ref="E11:E20" si="0">D11-C11</f>
        <v>131429000</v>
      </c>
      <c r="F11" s="77">
        <f t="shared" ref="F11:F20" si="1">IF(C11=0,0,E11/C11)</f>
        <v>0.13306611238061875</v>
      </c>
    </row>
    <row r="12" spans="1:7" ht="23.1" customHeight="1" x14ac:dyDescent="0.2">
      <c r="A12" s="74">
        <v>2</v>
      </c>
      <c r="B12" s="75" t="s">
        <v>72</v>
      </c>
      <c r="C12" s="76">
        <v>616637000</v>
      </c>
      <c r="D12" s="76">
        <v>737296000</v>
      </c>
      <c r="E12" s="76">
        <f t="shared" si="0"/>
        <v>120659000</v>
      </c>
      <c r="F12" s="77">
        <f t="shared" si="1"/>
        <v>0.19567265668456482</v>
      </c>
    </row>
    <row r="13" spans="1:7" ht="23.1" customHeight="1" x14ac:dyDescent="0.2">
      <c r="A13" s="74">
        <v>3</v>
      </c>
      <c r="B13" s="75" t="s">
        <v>73</v>
      </c>
      <c r="C13" s="76">
        <v>21876000</v>
      </c>
      <c r="D13" s="76">
        <v>15851000</v>
      </c>
      <c r="E13" s="76">
        <f t="shared" si="0"/>
        <v>-6025000</v>
      </c>
      <c r="F13" s="77">
        <f t="shared" si="1"/>
        <v>-0.27541598098372644</v>
      </c>
    </row>
    <row r="14" spans="1:7" ht="23.1" customHeight="1" x14ac:dyDescent="0.2">
      <c r="A14" s="74">
        <v>4</v>
      </c>
      <c r="B14" s="75" t="s">
        <v>74</v>
      </c>
      <c r="C14" s="76">
        <v>21802000</v>
      </c>
      <c r="D14" s="76">
        <v>22450000</v>
      </c>
      <c r="E14" s="76">
        <f t="shared" si="0"/>
        <v>648000</v>
      </c>
      <c r="F14" s="77">
        <f t="shared" si="1"/>
        <v>2.9722043849188147E-2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327382000</v>
      </c>
      <c r="D15" s="79">
        <f>D11-D12-D13-D14</f>
        <v>343529000</v>
      </c>
      <c r="E15" s="79">
        <f t="shared" si="0"/>
        <v>16147000</v>
      </c>
      <c r="F15" s="80">
        <f t="shared" si="1"/>
        <v>4.9321587625465055E-2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14733000</v>
      </c>
      <c r="E16" s="76">
        <f t="shared" si="0"/>
        <v>14733000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327382000</v>
      </c>
      <c r="D17" s="79">
        <f>D15-D16</f>
        <v>328796000</v>
      </c>
      <c r="E17" s="79">
        <f t="shared" si="0"/>
        <v>1414000</v>
      </c>
      <c r="F17" s="80">
        <f t="shared" si="1"/>
        <v>4.3191134515642281E-3</v>
      </c>
    </row>
    <row r="18" spans="1:7" ht="23.1" customHeight="1" x14ac:dyDescent="0.2">
      <c r="A18" s="74">
        <v>6</v>
      </c>
      <c r="B18" s="75" t="s">
        <v>78</v>
      </c>
      <c r="C18" s="76">
        <v>9489000</v>
      </c>
      <c r="D18" s="76">
        <v>10339000</v>
      </c>
      <c r="E18" s="76">
        <f t="shared" si="0"/>
        <v>850000</v>
      </c>
      <c r="F18" s="77">
        <f t="shared" si="1"/>
        <v>8.95774054167984E-2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3760000</v>
      </c>
      <c r="D19" s="76">
        <v>3621000</v>
      </c>
      <c r="E19" s="76">
        <f t="shared" si="0"/>
        <v>-139000</v>
      </c>
      <c r="F19" s="77">
        <f t="shared" si="1"/>
        <v>-3.6968085106382977E-2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340631000</v>
      </c>
      <c r="D20" s="79">
        <f>SUM(D17:D19)</f>
        <v>342756000</v>
      </c>
      <c r="E20" s="79">
        <f t="shared" si="0"/>
        <v>2125000</v>
      </c>
      <c r="F20" s="80">
        <f t="shared" si="1"/>
        <v>6.2384222222874606E-3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114812128</v>
      </c>
      <c r="D23" s="76">
        <v>111450000</v>
      </c>
      <c r="E23" s="76">
        <f t="shared" ref="E23:E32" si="2">D23-C23</f>
        <v>-3362128</v>
      </c>
      <c r="F23" s="77">
        <f t="shared" ref="F23:F32" si="3">IF(C23=0,0,E23/C23)</f>
        <v>-2.9283735599779145E-2</v>
      </c>
    </row>
    <row r="24" spans="1:7" ht="23.1" customHeight="1" x14ac:dyDescent="0.2">
      <c r="A24" s="74">
        <v>2</v>
      </c>
      <c r="B24" s="75" t="s">
        <v>83</v>
      </c>
      <c r="C24" s="76">
        <v>38423067</v>
      </c>
      <c r="D24" s="76">
        <v>40846000</v>
      </c>
      <c r="E24" s="76">
        <f t="shared" si="2"/>
        <v>2422933</v>
      </c>
      <c r="F24" s="77">
        <f t="shared" si="3"/>
        <v>6.305933360291098E-2</v>
      </c>
    </row>
    <row r="25" spans="1:7" ht="23.1" customHeight="1" x14ac:dyDescent="0.2">
      <c r="A25" s="74">
        <v>3</v>
      </c>
      <c r="B25" s="75" t="s">
        <v>84</v>
      </c>
      <c r="C25" s="76">
        <v>8372980</v>
      </c>
      <c r="D25" s="76">
        <v>8762000</v>
      </c>
      <c r="E25" s="76">
        <f t="shared" si="2"/>
        <v>389020</v>
      </c>
      <c r="F25" s="77">
        <f t="shared" si="3"/>
        <v>4.646135545528593E-2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38635786</v>
      </c>
      <c r="D26" s="76">
        <v>44914321</v>
      </c>
      <c r="E26" s="76">
        <f t="shared" si="2"/>
        <v>6278535</v>
      </c>
      <c r="F26" s="77">
        <f t="shared" si="3"/>
        <v>0.16250568837916227</v>
      </c>
    </row>
    <row r="27" spans="1:7" ht="23.1" customHeight="1" x14ac:dyDescent="0.2">
      <c r="A27" s="74">
        <v>5</v>
      </c>
      <c r="B27" s="75" t="s">
        <v>86</v>
      </c>
      <c r="C27" s="76">
        <v>19710000</v>
      </c>
      <c r="D27" s="76">
        <v>22533000</v>
      </c>
      <c r="E27" s="76">
        <f t="shared" si="2"/>
        <v>2823000</v>
      </c>
      <c r="F27" s="77">
        <f t="shared" si="3"/>
        <v>0.14322678843226788</v>
      </c>
    </row>
    <row r="28" spans="1:7" ht="23.1" customHeight="1" x14ac:dyDescent="0.2">
      <c r="A28" s="74">
        <v>6</v>
      </c>
      <c r="B28" s="75" t="s">
        <v>87</v>
      </c>
      <c r="C28" s="76">
        <v>14027000</v>
      </c>
      <c r="D28" s="76">
        <v>0</v>
      </c>
      <c r="E28" s="76">
        <f t="shared" si="2"/>
        <v>-14027000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364000</v>
      </c>
      <c r="D29" s="76">
        <v>476000</v>
      </c>
      <c r="E29" s="76">
        <f t="shared" si="2"/>
        <v>112000</v>
      </c>
      <c r="F29" s="77">
        <f t="shared" si="3"/>
        <v>0.30769230769230771</v>
      </c>
    </row>
    <row r="30" spans="1:7" ht="23.1" customHeight="1" x14ac:dyDescent="0.2">
      <c r="A30" s="74">
        <v>8</v>
      </c>
      <c r="B30" s="75" t="s">
        <v>89</v>
      </c>
      <c r="C30" s="76">
        <v>-1785660</v>
      </c>
      <c r="D30" s="76">
        <v>-981253</v>
      </c>
      <c r="E30" s="76">
        <f t="shared" si="2"/>
        <v>804407</v>
      </c>
      <c r="F30" s="77">
        <f t="shared" si="3"/>
        <v>-0.4504816146410851</v>
      </c>
    </row>
    <row r="31" spans="1:7" ht="23.1" customHeight="1" x14ac:dyDescent="0.2">
      <c r="A31" s="74">
        <v>9</v>
      </c>
      <c r="B31" s="75" t="s">
        <v>90</v>
      </c>
      <c r="C31" s="76">
        <v>95376699</v>
      </c>
      <c r="D31" s="76">
        <v>99049932</v>
      </c>
      <c r="E31" s="76">
        <f t="shared" si="2"/>
        <v>3673233</v>
      </c>
      <c r="F31" s="77">
        <f t="shared" si="3"/>
        <v>3.8512897159504338E-2</v>
      </c>
    </row>
    <row r="32" spans="1:7" ht="23.1" customHeight="1" x14ac:dyDescent="0.25">
      <c r="A32" s="71"/>
      <c r="B32" s="78" t="s">
        <v>91</v>
      </c>
      <c r="C32" s="79">
        <f>SUM(C23:C31)</f>
        <v>327936000</v>
      </c>
      <c r="D32" s="79">
        <f>SUM(D23:D31)</f>
        <v>327050000</v>
      </c>
      <c r="E32" s="79">
        <f t="shared" si="2"/>
        <v>-886000</v>
      </c>
      <c r="F32" s="80">
        <f t="shared" si="3"/>
        <v>-2.7017466822794691E-3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12695000</v>
      </c>
      <c r="D34" s="79">
        <f>+D20-D32</f>
        <v>15706000</v>
      </c>
      <c r="E34" s="79">
        <f>D34-C34</f>
        <v>3011000</v>
      </c>
      <c r="F34" s="80">
        <f>IF(C34=0,0,E34/C34)</f>
        <v>0.23717999212288302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235000</v>
      </c>
      <c r="D37" s="76">
        <v>304000</v>
      </c>
      <c r="E37" s="76">
        <f>D37-C37</f>
        <v>69000</v>
      </c>
      <c r="F37" s="77">
        <f>IF(C37=0,0,E37/C37)</f>
        <v>0.29361702127659572</v>
      </c>
    </row>
    <row r="38" spans="1:6" ht="23.1" customHeight="1" x14ac:dyDescent="0.2">
      <c r="A38" s="85">
        <v>2</v>
      </c>
      <c r="B38" s="75" t="s">
        <v>95</v>
      </c>
      <c r="C38" s="76">
        <v>1880000</v>
      </c>
      <c r="D38" s="76">
        <v>3284000</v>
      </c>
      <c r="E38" s="76">
        <f>D38-C38</f>
        <v>1404000</v>
      </c>
      <c r="F38" s="77">
        <f>IF(C38=0,0,E38/C38)</f>
        <v>0.7468085106382979</v>
      </c>
    </row>
    <row r="39" spans="1:6" ht="23.1" customHeight="1" x14ac:dyDescent="0.2">
      <c r="A39" s="85">
        <v>3</v>
      </c>
      <c r="B39" s="75" t="s">
        <v>96</v>
      </c>
      <c r="C39" s="76">
        <v>-10909000</v>
      </c>
      <c r="D39" s="76">
        <v>-6348000</v>
      </c>
      <c r="E39" s="76">
        <f>D39-C39</f>
        <v>4561000</v>
      </c>
      <c r="F39" s="77">
        <f>IF(C39=0,0,E39/C39)</f>
        <v>-0.41809515079292325</v>
      </c>
    </row>
    <row r="40" spans="1:6" ht="23.1" customHeight="1" x14ac:dyDescent="0.25">
      <c r="A40" s="83"/>
      <c r="B40" s="78" t="s">
        <v>97</v>
      </c>
      <c r="C40" s="79">
        <f>SUM(C37:C39)</f>
        <v>-8794000</v>
      </c>
      <c r="D40" s="79">
        <f>SUM(D37:D39)</f>
        <v>-2760000</v>
      </c>
      <c r="E40" s="79">
        <f>D40-C40</f>
        <v>6034000</v>
      </c>
      <c r="F40" s="80">
        <f>IF(C40=0,0,E40/C40)</f>
        <v>-0.68614964748692286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3901000</v>
      </c>
      <c r="D42" s="79">
        <f>D34+D40</f>
        <v>12946000</v>
      </c>
      <c r="E42" s="79">
        <f>D42-C42</f>
        <v>9045000</v>
      </c>
      <c r="F42" s="80">
        <f>IF(C42=0,0,E42/C42)</f>
        <v>2.3186362471161241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7889000</v>
      </c>
      <c r="D45" s="76">
        <v>5019000</v>
      </c>
      <c r="E45" s="76">
        <f>D45-C45</f>
        <v>-2870000</v>
      </c>
      <c r="F45" s="77">
        <f>IF(C45=0,0,E45/C45)</f>
        <v>-0.36379769299023956</v>
      </c>
    </row>
    <row r="46" spans="1:6" ht="23.1" customHeight="1" x14ac:dyDescent="0.2">
      <c r="A46" s="85"/>
      <c r="B46" s="75" t="s">
        <v>101</v>
      </c>
      <c r="C46" s="76">
        <v>-1713000</v>
      </c>
      <c r="D46" s="76">
        <v>1011000</v>
      </c>
      <c r="E46" s="76">
        <f>D46-C46</f>
        <v>2724000</v>
      </c>
      <c r="F46" s="77">
        <f>IF(C46=0,0,E46/C46)</f>
        <v>-1.5901926444833625</v>
      </c>
    </row>
    <row r="47" spans="1:6" ht="23.1" customHeight="1" x14ac:dyDescent="0.25">
      <c r="A47" s="83"/>
      <c r="B47" s="78" t="s">
        <v>102</v>
      </c>
      <c r="C47" s="79">
        <f>SUM(C45:C46)</f>
        <v>6176000</v>
      </c>
      <c r="D47" s="79">
        <f>SUM(D45:D46)</f>
        <v>6030000</v>
      </c>
      <c r="E47" s="79">
        <f>D47-C47</f>
        <v>-146000</v>
      </c>
      <c r="F47" s="80">
        <f>IF(C47=0,0,E47/C47)</f>
        <v>-2.3639896373056996E-2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10077000</v>
      </c>
      <c r="D49" s="79">
        <f>D42+D47</f>
        <v>18976000</v>
      </c>
      <c r="E49" s="79">
        <f>D49-C49</f>
        <v>8899000</v>
      </c>
      <c r="F49" s="80">
        <f>IF(C49=0,0,E49/C49)</f>
        <v>0.8831001290066488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2014-10-07T12:06:45Z</cp:lastPrinted>
  <dcterms:created xsi:type="dcterms:W3CDTF">2014-10-06T18:21:38Z</dcterms:created>
  <dcterms:modified xsi:type="dcterms:W3CDTF">2014-10-09T17:55:46Z</dcterms:modified>
</cp:coreProperties>
</file>