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1" i="22"/>
  <c r="D103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E287" i="18"/>
  <c r="C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E302" i="18"/>
  <c r="C265" i="18"/>
  <c r="C302" i="18"/>
  <c r="D262" i="18"/>
  <c r="E262" i="18"/>
  <c r="C262" i="18"/>
  <c r="D251" i="18"/>
  <c r="C251" i="18"/>
  <c r="D233" i="18"/>
  <c r="E233" i="18"/>
  <c r="C233" i="18"/>
  <c r="D232" i="18"/>
  <c r="E232" i="18"/>
  <c r="C232" i="18"/>
  <c r="D231" i="18"/>
  <c r="C231" i="18"/>
  <c r="D230" i="18"/>
  <c r="E230" i="18"/>
  <c r="C230" i="18"/>
  <c r="D228" i="18"/>
  <c r="E228" i="18"/>
  <c r="C228" i="18"/>
  <c r="D227" i="18"/>
  <c r="E227" i="18"/>
  <c r="C227" i="18"/>
  <c r="D221" i="18"/>
  <c r="D245" i="18"/>
  <c r="E245" i="18"/>
  <c r="C221" i="18"/>
  <c r="C245" i="18"/>
  <c r="D220" i="18"/>
  <c r="E220" i="18"/>
  <c r="C220" i="18"/>
  <c r="C244" i="18"/>
  <c r="D219" i="18"/>
  <c r="D243" i="18"/>
  <c r="E243" i="18"/>
  <c r="C219" i="18"/>
  <c r="C243" i="18"/>
  <c r="D218" i="18"/>
  <c r="E218" i="18"/>
  <c r="C218" i="18"/>
  <c r="C242" i="18"/>
  <c r="C217" i="18"/>
  <c r="D216" i="18"/>
  <c r="E216" i="18"/>
  <c r="C216" i="18"/>
  <c r="C240" i="18"/>
  <c r="D215" i="18"/>
  <c r="D239" i="18"/>
  <c r="C215" i="18"/>
  <c r="C239" i="18"/>
  <c r="E209" i="18"/>
  <c r="E208" i="18"/>
  <c r="E207" i="18"/>
  <c r="E206" i="18"/>
  <c r="D205" i="18"/>
  <c r="D210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C156" i="18"/>
  <c r="C157" i="18"/>
  <c r="E150" i="18"/>
  <c r="E149" i="18"/>
  <c r="C144" i="18"/>
  <c r="E143" i="18"/>
  <c r="E142" i="18"/>
  <c r="E141" i="18"/>
  <c r="E140" i="18"/>
  <c r="D139" i="18"/>
  <c r="D175" i="18"/>
  <c r="C139" i="18"/>
  <c r="C163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D70" i="18"/>
  <c r="C70" i="18"/>
  <c r="D69" i="18"/>
  <c r="C69" i="18"/>
  <c r="E64" i="18"/>
  <c r="E63" i="18"/>
  <c r="E62" i="18"/>
  <c r="E61" i="18"/>
  <c r="D60" i="18"/>
  <c r="C60" i="18"/>
  <c r="C289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E37" i="18"/>
  <c r="C37" i="18"/>
  <c r="C43" i="18"/>
  <c r="D36" i="18"/>
  <c r="C36" i="18"/>
  <c r="C44" i="18"/>
  <c r="D33" i="18"/>
  <c r="D32" i="18"/>
  <c r="C32" i="18"/>
  <c r="E31" i="18"/>
  <c r="E30" i="18"/>
  <c r="E29" i="18"/>
  <c r="E28" i="18"/>
  <c r="E27" i="18"/>
  <c r="E26" i="18"/>
  <c r="E25" i="18"/>
  <c r="C22" i="18"/>
  <c r="D21" i="18"/>
  <c r="D283" i="18"/>
  <c r="E283" i="18"/>
  <c r="C21" i="18"/>
  <c r="C283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E330" i="17"/>
  <c r="F330" i="17"/>
  <c r="E329" i="17"/>
  <c r="F329" i="17"/>
  <c r="F316" i="17"/>
  <c r="E316" i="17"/>
  <c r="D311" i="17"/>
  <c r="C311" i="17"/>
  <c r="F311" i="17"/>
  <c r="E308" i="17"/>
  <c r="F308" i="17"/>
  <c r="D307" i="17"/>
  <c r="C307" i="17"/>
  <c r="D299" i="17"/>
  <c r="E299" i="17"/>
  <c r="F299" i="17"/>
  <c r="C299" i="17"/>
  <c r="D298" i="17"/>
  <c r="E298" i="17"/>
  <c r="F298" i="17"/>
  <c r="C298" i="17"/>
  <c r="D297" i="17"/>
  <c r="E297" i="17"/>
  <c r="F297" i="17"/>
  <c r="C297" i="17"/>
  <c r="D296" i="17"/>
  <c r="E296" i="17"/>
  <c r="F296" i="17"/>
  <c r="C296" i="17"/>
  <c r="D295" i="17"/>
  <c r="E295" i="17"/>
  <c r="F295" i="17"/>
  <c r="C295" i="17"/>
  <c r="D294" i="17"/>
  <c r="E294" i="17"/>
  <c r="F294" i="17"/>
  <c r="C294" i="17"/>
  <c r="D250" i="17"/>
  <c r="D306" i="17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C227" i="17"/>
  <c r="D226" i="17"/>
  <c r="D227" i="17"/>
  <c r="E227" i="17"/>
  <c r="C226" i="17"/>
  <c r="E225" i="17"/>
  <c r="F225" i="17"/>
  <c r="E224" i="17"/>
  <c r="F224" i="17"/>
  <c r="D223" i="17"/>
  <c r="C223" i="17"/>
  <c r="E222" i="17"/>
  <c r="F222" i="17"/>
  <c r="E221" i="17"/>
  <c r="F221" i="17"/>
  <c r="C215" i="17"/>
  <c r="D204" i="17"/>
  <c r="D285" i="17"/>
  <c r="C204" i="17"/>
  <c r="D203" i="17"/>
  <c r="D283" i="17"/>
  <c r="C203" i="17"/>
  <c r="C199" i="17"/>
  <c r="D198" i="17"/>
  <c r="D290" i="17"/>
  <c r="C198" i="17"/>
  <c r="D191" i="17"/>
  <c r="D280" i="17"/>
  <c r="C191" i="17"/>
  <c r="D189" i="17"/>
  <c r="D278" i="17"/>
  <c r="C189" i="17"/>
  <c r="D188" i="17"/>
  <c r="D277" i="17"/>
  <c r="C188" i="17"/>
  <c r="C181" i="17"/>
  <c r="D180" i="17"/>
  <c r="C180" i="17"/>
  <c r="D179" i="17"/>
  <c r="D181" i="17"/>
  <c r="E181" i="17"/>
  <c r="C179" i="17"/>
  <c r="C172" i="17"/>
  <c r="D171" i="17"/>
  <c r="D172" i="17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E157" i="17"/>
  <c r="F157" i="17"/>
  <c r="E156" i="17"/>
  <c r="F156" i="17"/>
  <c r="D155" i="17"/>
  <c r="C155" i="17"/>
  <c r="E154" i="17"/>
  <c r="F154" i="17"/>
  <c r="E153" i="17"/>
  <c r="F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E109" i="17"/>
  <c r="F109" i="17"/>
  <c r="C109" i="17"/>
  <c r="C111" i="17"/>
  <c r="D101" i="17"/>
  <c r="E101" i="17"/>
  <c r="F101" i="17"/>
  <c r="C101" i="17"/>
  <c r="C102" i="17"/>
  <c r="D100" i="17"/>
  <c r="E100" i="17"/>
  <c r="F100" i="17"/>
  <c r="C100" i="17"/>
  <c r="F99" i="17"/>
  <c r="E99" i="17"/>
  <c r="F98" i="17"/>
  <c r="E98" i="17"/>
  <c r="D95" i="17"/>
  <c r="E95" i="17"/>
  <c r="F95" i="17"/>
  <c r="C95" i="17"/>
  <c r="D94" i="17"/>
  <c r="E94" i="17"/>
  <c r="F94" i="17"/>
  <c r="C94" i="17"/>
  <c r="F93" i="17"/>
  <c r="E93" i="17"/>
  <c r="D88" i="17"/>
  <c r="E88" i="17"/>
  <c r="F88" i="17"/>
  <c r="C88" i="17"/>
  <c r="C89" i="17"/>
  <c r="F87" i="17"/>
  <c r="E87" i="17"/>
  <c r="F86" i="17"/>
  <c r="E86" i="17"/>
  <c r="D85" i="17"/>
  <c r="E85" i="17"/>
  <c r="F85" i="17"/>
  <c r="C85" i="17"/>
  <c r="F84" i="17"/>
  <c r="E84" i="17"/>
  <c r="F83" i="17"/>
  <c r="E83" i="17"/>
  <c r="D76" i="17"/>
  <c r="D77" i="17"/>
  <c r="C76" i="17"/>
  <c r="C77" i="17"/>
  <c r="E74" i="17"/>
  <c r="F74" i="17"/>
  <c r="E73" i="17"/>
  <c r="F73" i="17"/>
  <c r="D67" i="17"/>
  <c r="C67" i="17"/>
  <c r="D66" i="17"/>
  <c r="D68" i="17"/>
  <c r="C66" i="17"/>
  <c r="D59" i="17"/>
  <c r="D60" i="17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E37" i="17"/>
  <c r="C35" i="17"/>
  <c r="C37" i="17"/>
  <c r="D30" i="17"/>
  <c r="D31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C47" i="12"/>
  <c r="F47" i="12"/>
  <c r="F46" i="12"/>
  <c r="E46" i="12"/>
  <c r="F45" i="12"/>
  <c r="E45" i="12"/>
  <c r="D40" i="12"/>
  <c r="E40" i="12"/>
  <c r="C40" i="12"/>
  <c r="F40" i="12"/>
  <c r="F39" i="12"/>
  <c r="E39" i="12"/>
  <c r="F38" i="12"/>
  <c r="E38" i="12"/>
  <c r="F37" i="12"/>
  <c r="E37" i="12"/>
  <c r="D32" i="12"/>
  <c r="E32" i="12"/>
  <c r="C32" i="12"/>
  <c r="E31" i="12"/>
  <c r="F31" i="12"/>
  <c r="E30" i="12"/>
  <c r="F30" i="12"/>
  <c r="E29" i="12"/>
  <c r="F29" i="12"/>
  <c r="F28" i="12"/>
  <c r="E28" i="12"/>
  <c r="E27" i="12"/>
  <c r="F27" i="12"/>
  <c r="E26" i="12"/>
  <c r="F26" i="12"/>
  <c r="E25" i="12"/>
  <c r="F25" i="12"/>
  <c r="E24" i="12"/>
  <c r="F24" i="12"/>
  <c r="E23" i="12"/>
  <c r="F23" i="12"/>
  <c r="F19" i="12"/>
  <c r="E19" i="12"/>
  <c r="E18" i="12"/>
  <c r="F18" i="12"/>
  <c r="E16" i="12"/>
  <c r="F16" i="12"/>
  <c r="D15" i="12"/>
  <c r="D17" i="12"/>
  <c r="C15" i="12"/>
  <c r="E14" i="12"/>
  <c r="F14" i="12"/>
  <c r="E13" i="12"/>
  <c r="F13" i="12"/>
  <c r="E12" i="12"/>
  <c r="F12" i="12"/>
  <c r="E11" i="12"/>
  <c r="F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F29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/>
  <c r="C89" i="9"/>
  <c r="D88" i="9"/>
  <c r="E88" i="9"/>
  <c r="F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F41" i="5"/>
  <c r="D41" i="5"/>
  <c r="E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C61" i="4"/>
  <c r="C65" i="4"/>
  <c r="F60" i="4"/>
  <c r="E60" i="4"/>
  <c r="F59" i="4"/>
  <c r="E59" i="4"/>
  <c r="D56" i="4"/>
  <c r="D75" i="4"/>
  <c r="C56" i="4"/>
  <c r="C75" i="4"/>
  <c r="F55" i="4"/>
  <c r="E55" i="4"/>
  <c r="E54" i="4"/>
  <c r="F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D43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09" i="22"/>
  <c r="C108" i="22"/>
  <c r="E109" i="22"/>
  <c r="E108" i="22"/>
  <c r="C103" i="22"/>
  <c r="D108" i="22"/>
  <c r="D109" i="22"/>
  <c r="D22" i="22"/>
  <c r="C23" i="22"/>
  <c r="E23" i="22"/>
  <c r="C34" i="22"/>
  <c r="E34" i="22"/>
  <c r="C102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C22" i="19"/>
  <c r="E55" i="18"/>
  <c r="C258" i="18"/>
  <c r="C100" i="18"/>
  <c r="C98" i="18"/>
  <c r="C96" i="18"/>
  <c r="C89" i="18"/>
  <c r="C87" i="18"/>
  <c r="C85" i="18"/>
  <c r="C83" i="18"/>
  <c r="C101" i="18"/>
  <c r="C99" i="18"/>
  <c r="C97" i="18"/>
  <c r="C95" i="18"/>
  <c r="C88" i="18"/>
  <c r="C86" i="18"/>
  <c r="C84" i="18"/>
  <c r="C90" i="18"/>
  <c r="E20" i="17"/>
  <c r="C284" i="18"/>
  <c r="C294" i="18"/>
  <c r="E32" i="18"/>
  <c r="E36" i="18"/>
  <c r="D43" i="18"/>
  <c r="E54" i="18"/>
  <c r="E60" i="18"/>
  <c r="E69" i="18"/>
  <c r="E70" i="18"/>
  <c r="D76" i="18"/>
  <c r="E157" i="18"/>
  <c r="E21" i="18"/>
  <c r="D22" i="18"/>
  <c r="C33" i="18"/>
  <c r="C295" i="18"/>
  <c r="D289" i="18"/>
  <c r="E289" i="18"/>
  <c r="D71" i="18"/>
  <c r="D65" i="18"/>
  <c r="D294" i="18"/>
  <c r="E294" i="18"/>
  <c r="C65" i="18"/>
  <c r="C66" i="18"/>
  <c r="D77" i="18"/>
  <c r="C71" i="18"/>
  <c r="C76" i="18"/>
  <c r="E151" i="18"/>
  <c r="D163" i="18"/>
  <c r="E163" i="18"/>
  <c r="C168" i="18"/>
  <c r="C175" i="18"/>
  <c r="E175" i="18"/>
  <c r="D261" i="18"/>
  <c r="D189" i="18"/>
  <c r="E188" i="18"/>
  <c r="C241" i="18"/>
  <c r="C303" i="18"/>
  <c r="C306" i="18"/>
  <c r="C310" i="18"/>
  <c r="E139" i="18"/>
  <c r="D144" i="18"/>
  <c r="C145" i="18"/>
  <c r="E156" i="18"/>
  <c r="C261" i="18"/>
  <c r="C189" i="18"/>
  <c r="E260" i="18"/>
  <c r="D234" i="18"/>
  <c r="D211" i="18"/>
  <c r="E239" i="18"/>
  <c r="C252" i="18"/>
  <c r="C253" i="18"/>
  <c r="C254" i="18"/>
  <c r="D320" i="18"/>
  <c r="E320" i="18"/>
  <c r="E316" i="18"/>
  <c r="E195" i="18"/>
  <c r="C210" i="18"/>
  <c r="C180" i="18"/>
  <c r="E215" i="18"/>
  <c r="E219" i="18"/>
  <c r="E221" i="18"/>
  <c r="D222" i="18"/>
  <c r="D229" i="18"/>
  <c r="E229" i="18"/>
  <c r="D240" i="18"/>
  <c r="E240" i="18"/>
  <c r="D242" i="18"/>
  <c r="E242" i="18"/>
  <c r="D244" i="18"/>
  <c r="E244" i="18"/>
  <c r="D253" i="18"/>
  <c r="E253" i="18"/>
  <c r="E265" i="18"/>
  <c r="D303" i="18"/>
  <c r="E314" i="18"/>
  <c r="D326" i="18"/>
  <c r="E205" i="18"/>
  <c r="D217" i="18"/>
  <c r="C222" i="18"/>
  <c r="C246" i="18"/>
  <c r="D223" i="18"/>
  <c r="E231" i="18"/>
  <c r="E251" i="18"/>
  <c r="D160" i="17"/>
  <c r="F37" i="17"/>
  <c r="D61" i="17"/>
  <c r="E68" i="17"/>
  <c r="E77" i="17"/>
  <c r="D32" i="17"/>
  <c r="C103" i="17"/>
  <c r="E17" i="17"/>
  <c r="F17" i="17"/>
  <c r="C31" i="17"/>
  <c r="C48" i="17"/>
  <c r="C60" i="17"/>
  <c r="C68" i="17"/>
  <c r="E76" i="17"/>
  <c r="F76" i="17"/>
  <c r="D89" i="17"/>
  <c r="E89" i="17"/>
  <c r="F89" i="17"/>
  <c r="D102" i="17"/>
  <c r="D111" i="17"/>
  <c r="E111" i="17"/>
  <c r="F111" i="17"/>
  <c r="C194" i="17"/>
  <c r="C207" i="17"/>
  <c r="C138" i="17"/>
  <c r="C159" i="17"/>
  <c r="E158" i="17"/>
  <c r="F158" i="17"/>
  <c r="E164" i="17"/>
  <c r="F164" i="17"/>
  <c r="F181" i="17"/>
  <c r="C277" i="17"/>
  <c r="C261" i="17"/>
  <c r="C254" i="17"/>
  <c r="C214" i="17"/>
  <c r="C206" i="17"/>
  <c r="E188" i="17"/>
  <c r="F188" i="17"/>
  <c r="D288" i="17"/>
  <c r="C280" i="17"/>
  <c r="C264" i="17"/>
  <c r="E191" i="17"/>
  <c r="F191" i="17"/>
  <c r="C200" i="17"/>
  <c r="C282" i="17"/>
  <c r="C266" i="17"/>
  <c r="C21" i="17"/>
  <c r="E23" i="17"/>
  <c r="F23" i="17"/>
  <c r="E24" i="17"/>
  <c r="F24" i="17"/>
  <c r="E29" i="17"/>
  <c r="F29" i="17"/>
  <c r="E30" i="17"/>
  <c r="F30" i="17"/>
  <c r="E35" i="17"/>
  <c r="E36" i="17"/>
  <c r="F36" i="17"/>
  <c r="E44" i="17"/>
  <c r="F44" i="17"/>
  <c r="E47" i="17"/>
  <c r="F47" i="17"/>
  <c r="E52" i="17"/>
  <c r="F52" i="17"/>
  <c r="E53" i="17"/>
  <c r="F53" i="17"/>
  <c r="E58" i="17"/>
  <c r="F58" i="17"/>
  <c r="E59" i="17"/>
  <c r="F59" i="17"/>
  <c r="E66" i="17"/>
  <c r="F66" i="17"/>
  <c r="E67" i="17"/>
  <c r="F67" i="17"/>
  <c r="F20" i="17"/>
  <c r="D21" i="17"/>
  <c r="F35" i="17"/>
  <c r="D192" i="17"/>
  <c r="E123" i="17"/>
  <c r="F123" i="17"/>
  <c r="D124" i="17"/>
  <c r="D125" i="17"/>
  <c r="D137" i="17"/>
  <c r="D146" i="17"/>
  <c r="E146" i="17"/>
  <c r="F146" i="17"/>
  <c r="E170" i="17"/>
  <c r="F170" i="17"/>
  <c r="D173" i="17"/>
  <c r="E173" i="17"/>
  <c r="E172" i="17"/>
  <c r="F172" i="17"/>
  <c r="C173" i="17"/>
  <c r="E179" i="17"/>
  <c r="F179" i="17"/>
  <c r="C190" i="17"/>
  <c r="C283" i="17"/>
  <c r="C267" i="17"/>
  <c r="C205" i="17"/>
  <c r="E203" i="17"/>
  <c r="F203" i="17"/>
  <c r="C124" i="17"/>
  <c r="E155" i="17"/>
  <c r="F155" i="17"/>
  <c r="E165" i="17"/>
  <c r="F165" i="17"/>
  <c r="E171" i="17"/>
  <c r="F171" i="17"/>
  <c r="E180" i="17"/>
  <c r="F180" i="17"/>
  <c r="D287" i="17"/>
  <c r="D284" i="17"/>
  <c r="D279" i="17"/>
  <c r="C278" i="17"/>
  <c r="C262" i="17"/>
  <c r="C255" i="17"/>
  <c r="E189" i="17"/>
  <c r="F189" i="17"/>
  <c r="E280" i="17"/>
  <c r="C192" i="17"/>
  <c r="C290" i="17"/>
  <c r="C274" i="17"/>
  <c r="E198" i="17"/>
  <c r="F198" i="17"/>
  <c r="E283" i="17"/>
  <c r="D286" i="17"/>
  <c r="C285" i="17"/>
  <c r="C269" i="17"/>
  <c r="E204" i="17"/>
  <c r="F204" i="17"/>
  <c r="E226" i="17"/>
  <c r="F226" i="17"/>
  <c r="E229" i="17"/>
  <c r="F229" i="17"/>
  <c r="E237" i="17"/>
  <c r="F237" i="17"/>
  <c r="C239" i="17"/>
  <c r="C306" i="17"/>
  <c r="E250" i="17"/>
  <c r="F250" i="17"/>
  <c r="E285" i="17"/>
  <c r="E223" i="17"/>
  <c r="F223" i="17"/>
  <c r="F227" i="17"/>
  <c r="E230" i="17"/>
  <c r="F230" i="17"/>
  <c r="E238" i="17"/>
  <c r="F238" i="17"/>
  <c r="E306" i="17"/>
  <c r="E307" i="17"/>
  <c r="F307" i="17"/>
  <c r="E311" i="17"/>
  <c r="D190" i="17"/>
  <c r="E190" i="17"/>
  <c r="D193" i="17"/>
  <c r="D282" i="17"/>
  <c r="E282" i="17"/>
  <c r="D199" i="17"/>
  <c r="E199" i="17"/>
  <c r="F199" i="17"/>
  <c r="D200" i="17"/>
  <c r="D205" i="17"/>
  <c r="E205" i="17"/>
  <c r="D206" i="17"/>
  <c r="E206" i="17"/>
  <c r="D214" i="17"/>
  <c r="D215" i="17"/>
  <c r="D261" i="17"/>
  <c r="D262" i="17"/>
  <c r="D264" i="17"/>
  <c r="D267" i="17"/>
  <c r="D269" i="17"/>
  <c r="E269" i="17"/>
  <c r="D274" i="17"/>
  <c r="E274" i="17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32" i="12"/>
  <c r="D20" i="12"/>
  <c r="E15" i="12"/>
  <c r="F15" i="12"/>
  <c r="C17" i="12"/>
  <c r="C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1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F95" i="6"/>
  <c r="F179" i="6"/>
  <c r="E41" i="6"/>
  <c r="F41" i="6"/>
  <c r="E84" i="6"/>
  <c r="F84" i="6"/>
  <c r="F18" i="5"/>
  <c r="C21" i="5"/>
  <c r="D21" i="5"/>
  <c r="E18" i="5"/>
  <c r="E16" i="5"/>
  <c r="F16" i="5"/>
  <c r="C43" i="4"/>
  <c r="E41" i="4"/>
  <c r="F41" i="4"/>
  <c r="E75" i="4"/>
  <c r="F75" i="4"/>
  <c r="E65" i="4"/>
  <c r="F65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C259" i="18"/>
  <c r="C263" i="18"/>
  <c r="C77" i="18"/>
  <c r="D90" i="17"/>
  <c r="C223" i="18"/>
  <c r="C247" i="18"/>
  <c r="D235" i="18"/>
  <c r="D168" i="18"/>
  <c r="E168" i="18"/>
  <c r="D180" i="18"/>
  <c r="E180" i="18"/>
  <c r="D145" i="18"/>
  <c r="E144" i="18"/>
  <c r="D252" i="18"/>
  <c r="E189" i="18"/>
  <c r="E71" i="18"/>
  <c r="E33" i="18"/>
  <c r="C91" i="18"/>
  <c r="C102" i="18"/>
  <c r="C103" i="18"/>
  <c r="E223" i="18"/>
  <c r="D241" i="18"/>
  <c r="E241" i="18"/>
  <c r="E217" i="18"/>
  <c r="E326" i="18"/>
  <c r="D330" i="18"/>
  <c r="E330" i="18"/>
  <c r="E303" i="18"/>
  <c r="D306" i="18"/>
  <c r="E222" i="18"/>
  <c r="D246" i="18"/>
  <c r="E246" i="18"/>
  <c r="C211" i="18"/>
  <c r="C235" i="18"/>
  <c r="C234" i="18"/>
  <c r="E210" i="18"/>
  <c r="E234" i="18"/>
  <c r="C169" i="18"/>
  <c r="C181" i="18"/>
  <c r="E261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E77" i="18"/>
  <c r="D66" i="18"/>
  <c r="E65" i="18"/>
  <c r="D284" i="18"/>
  <c r="E284" i="18"/>
  <c r="E22" i="18"/>
  <c r="E76" i="18"/>
  <c r="D259" i="18"/>
  <c r="E43" i="18"/>
  <c r="C264" i="18"/>
  <c r="C266" i="18"/>
  <c r="C267" i="18"/>
  <c r="D44" i="18"/>
  <c r="D270" i="17"/>
  <c r="E267" i="17"/>
  <c r="D254" i="17"/>
  <c r="D216" i="17"/>
  <c r="E214" i="17"/>
  <c r="F214" i="17"/>
  <c r="E287" i="17"/>
  <c r="D291" i="17"/>
  <c r="D289" i="17"/>
  <c r="F205" i="17"/>
  <c r="D207" i="17"/>
  <c r="E137" i="17"/>
  <c r="F137" i="17"/>
  <c r="D138" i="17"/>
  <c r="E138" i="17"/>
  <c r="F138" i="17"/>
  <c r="F282" i="17"/>
  <c r="C271" i="17"/>
  <c r="C268" i="17"/>
  <c r="C263" i="17"/>
  <c r="E159" i="17"/>
  <c r="F159" i="17"/>
  <c r="C208" i="17"/>
  <c r="C32" i="17"/>
  <c r="D175" i="17"/>
  <c r="D62" i="17"/>
  <c r="E32" i="17"/>
  <c r="D174" i="17"/>
  <c r="D272" i="17"/>
  <c r="E262" i="17"/>
  <c r="F262" i="17"/>
  <c r="F274" i="17"/>
  <c r="F173" i="17"/>
  <c r="C196" i="17"/>
  <c r="C161" i="17"/>
  <c r="C126" i="17"/>
  <c r="C91" i="17"/>
  <c r="C49" i="17"/>
  <c r="C216" i="17"/>
  <c r="C287" i="17"/>
  <c r="C284" i="17"/>
  <c r="C279" i="17"/>
  <c r="E102" i="17"/>
  <c r="F102" i="17"/>
  <c r="D103" i="17"/>
  <c r="E103" i="17"/>
  <c r="F103" i="17"/>
  <c r="C61" i="17"/>
  <c r="D300" i="17"/>
  <c r="E264" i="17"/>
  <c r="D271" i="17"/>
  <c r="D268" i="17"/>
  <c r="D263" i="17"/>
  <c r="E263" i="17"/>
  <c r="E261" i="17"/>
  <c r="F261" i="17"/>
  <c r="D255" i="17"/>
  <c r="E255" i="17"/>
  <c r="F255" i="17"/>
  <c r="E215" i="17"/>
  <c r="F215" i="17"/>
  <c r="E200" i="17"/>
  <c r="F200" i="17"/>
  <c r="D194" i="17"/>
  <c r="E193" i="17"/>
  <c r="F193" i="17"/>
  <c r="F269" i="17"/>
  <c r="F285" i="17"/>
  <c r="D281" i="17"/>
  <c r="C272" i="17"/>
  <c r="C288" i="17"/>
  <c r="E284" i="17"/>
  <c r="E277" i="17"/>
  <c r="F277" i="17"/>
  <c r="C270" i="17"/>
  <c r="F267" i="17"/>
  <c r="C286" i="17"/>
  <c r="F283" i="17"/>
  <c r="F190" i="17"/>
  <c r="E124" i="17"/>
  <c r="F124" i="17"/>
  <c r="E192" i="17"/>
  <c r="F192" i="17"/>
  <c r="D196" i="17"/>
  <c r="D161" i="17"/>
  <c r="D126" i="17"/>
  <c r="D49" i="17"/>
  <c r="D91" i="17"/>
  <c r="E21" i="17"/>
  <c r="F21" i="17"/>
  <c r="D266" i="17"/>
  <c r="E266" i="17"/>
  <c r="F266" i="17"/>
  <c r="C304" i="17"/>
  <c r="E239" i="17"/>
  <c r="F239" i="17"/>
  <c r="E290" i="17"/>
  <c r="F290" i="17"/>
  <c r="C300" i="17"/>
  <c r="F264" i="17"/>
  <c r="C265" i="17"/>
  <c r="C281" i="17"/>
  <c r="F280" i="17"/>
  <c r="E278" i="17"/>
  <c r="F278" i="17"/>
  <c r="F206" i="17"/>
  <c r="F68" i="17"/>
  <c r="C195" i="17"/>
  <c r="C160" i="17"/>
  <c r="C125" i="17"/>
  <c r="C90" i="17"/>
  <c r="E31" i="17"/>
  <c r="F31" i="17"/>
  <c r="E60" i="17"/>
  <c r="F60" i="17"/>
  <c r="E48" i="17"/>
  <c r="F48" i="17"/>
  <c r="E160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C20" i="12"/>
  <c r="E17" i="12"/>
  <c r="F17" i="12"/>
  <c r="F43" i="11"/>
  <c r="E43" i="11"/>
  <c r="E112" i="8"/>
  <c r="E111" i="8"/>
  <c r="E28" i="8"/>
  <c r="C112" i="8"/>
  <c r="C111" i="8"/>
  <c r="C28" i="8"/>
  <c r="C158" i="8"/>
  <c r="E141" i="8"/>
  <c r="E158" i="8"/>
  <c r="C141" i="8"/>
  <c r="D24" i="8"/>
  <c r="D20" i="8"/>
  <c r="D17" i="8"/>
  <c r="D158" i="8"/>
  <c r="D35" i="5"/>
  <c r="E21" i="5"/>
  <c r="F21" i="5"/>
  <c r="C35" i="5"/>
  <c r="F43" i="4"/>
  <c r="E43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D139" i="17"/>
  <c r="D140" i="17"/>
  <c r="C269" i="18"/>
  <c r="C268" i="18"/>
  <c r="E66" i="18"/>
  <c r="D295" i="18"/>
  <c r="E295" i="18"/>
  <c r="E110" i="18"/>
  <c r="D116" i="18"/>
  <c r="E114" i="18"/>
  <c r="E127" i="18"/>
  <c r="E115" i="18"/>
  <c r="D247" i="18"/>
  <c r="E247" i="18"/>
  <c r="C105" i="18"/>
  <c r="E235" i="18"/>
  <c r="C127" i="18"/>
  <c r="C125" i="18"/>
  <c r="C123" i="18"/>
  <c r="E123" i="18"/>
  <c r="C121" i="18"/>
  <c r="C114" i="18"/>
  <c r="C112" i="18"/>
  <c r="C110" i="18"/>
  <c r="C126" i="18"/>
  <c r="C124" i="18"/>
  <c r="E124" i="18"/>
  <c r="C122" i="18"/>
  <c r="C128" i="18"/>
  <c r="C115" i="18"/>
  <c r="C113" i="18"/>
  <c r="C111" i="18"/>
  <c r="E111" i="18"/>
  <c r="C109" i="18"/>
  <c r="D265" i="17"/>
  <c r="D258" i="18"/>
  <c r="D101" i="18"/>
  <c r="E101" i="18"/>
  <c r="D99" i="18"/>
  <c r="E99" i="18"/>
  <c r="D97" i="18"/>
  <c r="E97" i="18"/>
  <c r="D95" i="18"/>
  <c r="D88" i="18"/>
  <c r="E88" i="18"/>
  <c r="D86" i="18"/>
  <c r="E86" i="18"/>
  <c r="D84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E44" i="18"/>
  <c r="D263" i="18"/>
  <c r="E263" i="18"/>
  <c r="E259" i="18"/>
  <c r="E112" i="18"/>
  <c r="E121" i="18"/>
  <c r="D129" i="18"/>
  <c r="E125" i="18"/>
  <c r="D117" i="18"/>
  <c r="E109" i="18"/>
  <c r="E113" i="18"/>
  <c r="D128" i="18"/>
  <c r="E128" i="18"/>
  <c r="E122" i="18"/>
  <c r="E126" i="18"/>
  <c r="E306" i="18"/>
  <c r="D310" i="18"/>
  <c r="E310" i="18"/>
  <c r="E252" i="18"/>
  <c r="D254" i="18"/>
  <c r="E254" i="18"/>
  <c r="D181" i="18"/>
  <c r="E181" i="18"/>
  <c r="E145" i="18"/>
  <c r="D169" i="18"/>
  <c r="E169" i="18"/>
  <c r="E211" i="18"/>
  <c r="D50" i="17"/>
  <c r="E49" i="17"/>
  <c r="F49" i="17"/>
  <c r="D162" i="17"/>
  <c r="E161" i="17"/>
  <c r="F161" i="17"/>
  <c r="E271" i="17"/>
  <c r="D304" i="17"/>
  <c r="D273" i="17"/>
  <c r="E265" i="17"/>
  <c r="F265" i="17"/>
  <c r="C209" i="17"/>
  <c r="C139" i="17"/>
  <c r="C104" i="17"/>
  <c r="C174" i="17"/>
  <c r="F284" i="17"/>
  <c r="C127" i="17"/>
  <c r="E286" i="17"/>
  <c r="F286" i="17"/>
  <c r="E125" i="17"/>
  <c r="F125" i="17"/>
  <c r="D104" i="17"/>
  <c r="E104" i="17"/>
  <c r="E139" i="17"/>
  <c r="D105" i="17"/>
  <c r="D141" i="17"/>
  <c r="C273" i="17"/>
  <c r="F271" i="17"/>
  <c r="D208" i="17"/>
  <c r="E207" i="17"/>
  <c r="F207" i="17"/>
  <c r="E254" i="17"/>
  <c r="F254" i="17"/>
  <c r="E270" i="17"/>
  <c r="F270" i="17"/>
  <c r="F160" i="17"/>
  <c r="E91" i="17"/>
  <c r="F91" i="17"/>
  <c r="D92" i="17"/>
  <c r="E126" i="17"/>
  <c r="F126" i="17"/>
  <c r="D127" i="17"/>
  <c r="D197" i="17"/>
  <c r="E196" i="17"/>
  <c r="F196" i="17"/>
  <c r="E281" i="17"/>
  <c r="F281" i="17"/>
  <c r="E194" i="17"/>
  <c r="F194" i="17"/>
  <c r="D195" i="17"/>
  <c r="E195" i="17"/>
  <c r="F195" i="17"/>
  <c r="E268" i="17"/>
  <c r="F268" i="17"/>
  <c r="E300" i="17"/>
  <c r="F300" i="17"/>
  <c r="C291" i="17"/>
  <c r="C289" i="17"/>
  <c r="F287" i="17"/>
  <c r="E288" i="17"/>
  <c r="F288" i="17"/>
  <c r="C50" i="17"/>
  <c r="C92" i="17"/>
  <c r="C162" i="17"/>
  <c r="E279" i="17"/>
  <c r="F279" i="17"/>
  <c r="E272" i="17"/>
  <c r="F272" i="17"/>
  <c r="E90" i="17"/>
  <c r="F90" i="17"/>
  <c r="E61" i="17"/>
  <c r="F61" i="17"/>
  <c r="E174" i="17"/>
  <c r="D63" i="17"/>
  <c r="D176" i="17"/>
  <c r="E175" i="17"/>
  <c r="C210" i="17"/>
  <c r="C140" i="17"/>
  <c r="C175" i="17"/>
  <c r="C105" i="17"/>
  <c r="F32" i="17"/>
  <c r="C62" i="17"/>
  <c r="F263" i="17"/>
  <c r="D305" i="17"/>
  <c r="E216" i="17"/>
  <c r="F216" i="17"/>
  <c r="D70" i="13"/>
  <c r="D72" i="13"/>
  <c r="D69" i="13"/>
  <c r="D22" i="13"/>
  <c r="D42" i="12"/>
  <c r="C34" i="12"/>
  <c r="E20" i="12"/>
  <c r="F20" i="12"/>
  <c r="D28" i="8"/>
  <c r="D112" i="8"/>
  <c r="D111" i="8"/>
  <c r="C99" i="8"/>
  <c r="C101" i="8"/>
  <c r="C98" i="8"/>
  <c r="C22" i="8"/>
  <c r="E99" i="8"/>
  <c r="E101" i="8"/>
  <c r="E98" i="8"/>
  <c r="E22" i="8"/>
  <c r="D43" i="5"/>
  <c r="E35" i="5"/>
  <c r="F35" i="5"/>
  <c r="C43" i="5"/>
  <c r="D90" i="18"/>
  <c r="E90" i="18"/>
  <c r="E84" i="18"/>
  <c r="C116" i="18"/>
  <c r="E116" i="18"/>
  <c r="C271" i="18"/>
  <c r="D131" i="18"/>
  <c r="E83" i="18"/>
  <c r="E96" i="18"/>
  <c r="D102" i="18"/>
  <c r="E102" i="18"/>
  <c r="D103" i="18"/>
  <c r="E103" i="18"/>
  <c r="E95" i="18"/>
  <c r="E258" i="18"/>
  <c r="D264" i="18"/>
  <c r="C129" i="18"/>
  <c r="E129" i="18"/>
  <c r="D309" i="17"/>
  <c r="C63" i="17"/>
  <c r="C106" i="17"/>
  <c r="C141" i="17"/>
  <c r="E62" i="17"/>
  <c r="F62" i="17"/>
  <c r="C113" i="17"/>
  <c r="C305" i="17"/>
  <c r="E140" i="17"/>
  <c r="F140" i="17"/>
  <c r="C197" i="17"/>
  <c r="F139" i="17"/>
  <c r="E304" i="17"/>
  <c r="F304" i="17"/>
  <c r="E291" i="17"/>
  <c r="F291" i="17"/>
  <c r="F175" i="17"/>
  <c r="C176" i="17"/>
  <c r="E176" i="17"/>
  <c r="E63" i="17"/>
  <c r="C323" i="17"/>
  <c r="C183" i="17"/>
  <c r="C70" i="17"/>
  <c r="D148" i="17"/>
  <c r="E127" i="17"/>
  <c r="F127" i="17"/>
  <c r="E92" i="17"/>
  <c r="F92" i="17"/>
  <c r="E289" i="17"/>
  <c r="F289" i="17"/>
  <c r="E208" i="17"/>
  <c r="F208" i="17"/>
  <c r="D210" i="17"/>
  <c r="D209" i="17"/>
  <c r="E209" i="17"/>
  <c r="F209" i="17"/>
  <c r="D322" i="17"/>
  <c r="E141" i="17"/>
  <c r="E105" i="17"/>
  <c r="F105" i="17"/>
  <c r="D106" i="17"/>
  <c r="E106" i="17"/>
  <c r="F174" i="17"/>
  <c r="F104" i="17"/>
  <c r="E273" i="17"/>
  <c r="F273" i="17"/>
  <c r="D323" i="17"/>
  <c r="E323" i="17"/>
  <c r="D183" i="17"/>
  <c r="E183" i="17"/>
  <c r="E162" i="17"/>
  <c r="F162" i="17"/>
  <c r="D70" i="17"/>
  <c r="E70" i="17"/>
  <c r="E50" i="17"/>
  <c r="F50" i="17"/>
  <c r="D49" i="12"/>
  <c r="C42" i="12"/>
  <c r="E34" i="12"/>
  <c r="F34" i="12"/>
  <c r="D99" i="8"/>
  <c r="D101" i="8"/>
  <c r="D98" i="8"/>
  <c r="D22" i="8"/>
  <c r="D50" i="5"/>
  <c r="E43" i="5"/>
  <c r="F43" i="5"/>
  <c r="C50" i="5"/>
  <c r="C117" i="18"/>
  <c r="D91" i="18"/>
  <c r="E264" i="18"/>
  <c r="D266" i="18"/>
  <c r="D211" i="17"/>
  <c r="E211" i="17"/>
  <c r="E210" i="17"/>
  <c r="F210" i="17"/>
  <c r="D113" i="17"/>
  <c r="E113" i="17"/>
  <c r="F113" i="17"/>
  <c r="E197" i="17"/>
  <c r="F197" i="17"/>
  <c r="C309" i="17"/>
  <c r="C322" i="17"/>
  <c r="C211" i="17"/>
  <c r="F141" i="17"/>
  <c r="F106" i="17"/>
  <c r="E309" i="17"/>
  <c r="D324" i="17"/>
  <c r="F70" i="17"/>
  <c r="F183" i="17"/>
  <c r="F323" i="17"/>
  <c r="F176" i="17"/>
  <c r="D310" i="17"/>
  <c r="C148" i="17"/>
  <c r="C324" i="17"/>
  <c r="F63" i="17"/>
  <c r="E305" i="17"/>
  <c r="F305" i="17"/>
  <c r="C49" i="12"/>
  <c r="E42" i="12"/>
  <c r="F42" i="12"/>
  <c r="F50" i="5"/>
  <c r="E50" i="5"/>
  <c r="E266" i="18"/>
  <c r="D267" i="18"/>
  <c r="E91" i="18"/>
  <c r="D105" i="18"/>
  <c r="E105" i="18"/>
  <c r="C131" i="18"/>
  <c r="E131" i="18"/>
  <c r="E117" i="18"/>
  <c r="C325" i="17"/>
  <c r="D312" i="17"/>
  <c r="D325" i="17"/>
  <c r="E325" i="17"/>
  <c r="E324" i="17"/>
  <c r="F324" i="17"/>
  <c r="E148" i="17"/>
  <c r="F148" i="17"/>
  <c r="E322" i="17"/>
  <c r="F322" i="17"/>
  <c r="F211" i="17"/>
  <c r="F309" i="17"/>
  <c r="C310" i="17"/>
  <c r="F49" i="12"/>
  <c r="E49" i="12"/>
  <c r="D269" i="18"/>
  <c r="E269" i="18"/>
  <c r="E267" i="18"/>
  <c r="D268" i="18"/>
  <c r="C312" i="17"/>
  <c r="E312" i="17"/>
  <c r="D313" i="17"/>
  <c r="E310" i="17"/>
  <c r="F310" i="17"/>
  <c r="F325" i="17"/>
  <c r="D271" i="18"/>
  <c r="E271" i="18"/>
  <c r="E268" i="18"/>
  <c r="D315" i="17"/>
  <c r="D314" i="17"/>
  <c r="D251" i="17"/>
  <c r="D256" i="17"/>
  <c r="F312" i="17"/>
  <c r="C313" i="17"/>
  <c r="F313" i="17"/>
  <c r="C251" i="17"/>
  <c r="C314" i="17"/>
  <c r="C315" i="17"/>
  <c r="C256" i="17"/>
  <c r="D257" i="17"/>
  <c r="E256" i="17"/>
  <c r="E313" i="17"/>
  <c r="E315" i="17"/>
  <c r="E251" i="17"/>
  <c r="D318" i="17"/>
  <c r="F256" i="17"/>
  <c r="C257" i="17"/>
  <c r="C318" i="17"/>
  <c r="E314" i="17"/>
  <c r="F314" i="17"/>
  <c r="E257" i="17"/>
  <c r="F315" i="17"/>
  <c r="F251" i="17"/>
  <c r="F257" i="17"/>
  <c r="E318" i="17"/>
  <c r="F318" i="17"/>
</calcChain>
</file>

<file path=xl/sharedStrings.xml><?xml version="1.0" encoding="utf-8"?>
<sst xmlns="http://schemas.openxmlformats.org/spreadsheetml/2006/main" count="2333" uniqueCount="1008">
  <si>
    <t>ESSENT-SHARON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</si>
  <si>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</si>
  <si>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</si>
  <si>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</si>
  <si>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</si>
  <si>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</si>
  <si>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</si>
  <si>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</si>
  <si>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</si>
  <si>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</si>
  <si>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</si>
  <si>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</si>
  <si>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</si>
  <si>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</si>
  <si>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</si>
  <si>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</si>
  <si>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</si>
  <si>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</si>
  <si>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</si>
  <si>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</si>
  <si>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</si>
  <si>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</si>
  <si>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</si>
  <si>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</si>
  <si>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</si>
  <si>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</si>
  <si>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</si>
  <si>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</si>
  <si>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</si>
  <si>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</si>
  <si>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</si>
  <si>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</si>
  <si>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</si>
  <si>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</si>
  <si>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</si>
  <si>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</si>
  <si>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</si>
  <si>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</si>
  <si>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</si>
  <si>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</si>
  <si>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</si>
  <si>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</si>
  <si>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</si>
  <si>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</si>
  <si>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</si>
  <si>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</si>
  <si>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</si>
  <si>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</si>
  <si>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</si>
  <si>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</si>
  <si>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</si>
  <si>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</si>
  <si>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</si>
  <si>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</si>
  <si>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</si>
  <si>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</si>
  <si>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</si>
  <si>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</si>
  <si>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</si>
  <si>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</si>
  <si>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</si>
  <si>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</si>
  <si>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</si>
  <si>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</si>
  <si>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</si>
  <si>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</si>
  <si>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</si>
  <si>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</si>
  <si>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</si>
  <si>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</si>
  <si>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</si>
  <si>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</si>
  <si>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</si>
  <si>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</si>
  <si>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</si>
  <si>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</si>
  <si>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</si>
  <si>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</si>
  <si>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</si>
  <si>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</si>
  <si>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</si>
  <si>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</si>
  <si>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</si>
  <si>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</si>
  <si>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</si>
  <si>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</si>
  <si>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</si>
  <si>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</si>
  <si>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</si>
  <si>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</si>
  <si>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</si>
  <si>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</si>
  <si>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</si>
  <si>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</si>
  <si>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</si>
  <si>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</si>
  <si>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</si>
  <si>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</si>
  <si>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</si>
  <si>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</si>
  <si>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</si>
  <si>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</si>
  <si>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</si>
  <si>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</si>
  <si>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</si>
  <si>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</si>
  <si>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</si>
  <si>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</si>
  <si>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</si>
  <si>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</si>
  <si>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</si>
  <si>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</si>
  <si>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</si>
  <si>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</si>
  <si>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</si>
  <si>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</si>
  <si>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</si>
  <si>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</si>
  <si>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</si>
  <si>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</si>
  <si>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</si>
  <si>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</si>
  <si>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</si>
  <si>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</si>
  <si>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</si>
  <si>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</si>
  <si>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</si>
  <si>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</si>
  <si>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</si>
  <si>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</si>
  <si>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</si>
  <si>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</si>
  <si>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</si>
  <si>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</si>
  <si>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</si>
  <si>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</si>
  <si>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</si>
  <si>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</si>
  <si>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</si>
  <si>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</si>
  <si>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</si>
  <si>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</si>
  <si>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</si>
  <si>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</si>
  <si>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</si>
  <si>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</si>
  <si>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</si>
  <si>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</si>
  <si>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</si>
  <si>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</si>
  <si>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</si>
  <si>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</si>
  <si>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</si>
  <si>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</si>
  <si>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</si>
  <si>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</si>
  <si>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</si>
  <si>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</si>
  <si>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</si>
  <si>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</si>
  <si>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</si>
  <si>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</si>
  <si>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</si>
  <si>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</si>
  <si>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</si>
  <si>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</si>
  <si>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</si>
  <si>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</si>
  <si>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</si>
  <si>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</si>
  <si>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</si>
  <si>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</si>
  <si>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</si>
  <si>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</si>
  <si>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</si>
  <si>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</si>
  <si>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</si>
  <si>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</si>
  <si>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</si>
  <si>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</si>
  <si>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</si>
  <si>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</si>
  <si>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</si>
  <si>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</si>
  <si>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</si>
  <si>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</si>
  <si>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</si>
  <si>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</si>
  <si>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</si>
  <si>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</si>
  <si>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</si>
  <si>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</si>
  <si>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</si>
  <si>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</si>
  <si>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</si>
  <si>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</si>
  <si>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</si>
  <si>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</si>
  <si>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</si>
  <si>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</si>
  <si>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</si>
  <si>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</si>
  <si>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</si>
  <si>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</si>
  <si>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</si>
  <si>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</si>
  <si>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</si>
  <si>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</si>
  <si>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</si>
  <si>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</si>
  <si>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</si>
  <si>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</si>
  <si>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</si>
  <si>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</si>
  <si>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</si>
  <si>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</si>
  <si>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</si>
  <si>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</si>
  <si>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</si>
  <si>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</si>
  <si>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</si>
  <si>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</si>
  <si>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</si>
  <si>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</si>
  <si>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</si>
  <si>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</si>
  <si>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</si>
  <si>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</si>
  <si>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</si>
  <si>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</si>
  <si>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</si>
  <si>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</si>
  <si>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</si>
  <si>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</si>
  <si>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</si>
  <si>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</si>
  <si>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</si>
  <si>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</si>
  <si>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</si>
  <si>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</si>
  <si>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</si>
  <si>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</si>
  <si>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</si>
  <si>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</si>
  <si>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</si>
  <si>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</si>
  <si>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</si>
  <si>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</si>
  <si>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</si>
  <si>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</si>
  <si>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</si>
  <si>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</si>
  <si>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</si>
  <si>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</si>
  <si>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</si>
  <si>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</si>
  <si>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</si>
  <si>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</si>
  <si>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</si>
  <si>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</si>
  <si>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</si>
  <si>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</si>
  <si>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</si>
  <si>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</si>
  <si>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</si>
  <si>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</si>
  <si>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</si>
  <si>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</si>
  <si>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</si>
  <si>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</si>
  <si>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</si>
  <si>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</si>
  <si>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</si>
  <si>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</si>
  <si>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</si>
  <si>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</si>
  <si>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</si>
  <si>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</si>
  <si>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</si>
  <si>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</si>
  <si>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</si>
  <si>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</si>
  <si>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</si>
  <si>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</si>
  <si>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</si>
  <si>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</si>
  <si>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</si>
  <si>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</si>
  <si>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</si>
  <si>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</si>
  <si>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</si>
  <si>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</si>
  <si>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</si>
  <si>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</si>
  <si>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</si>
  <si>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</si>
  <si>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</si>
  <si>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</si>
  <si>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</si>
  <si>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</si>
  <si>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</si>
  <si>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</si>
  <si>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</si>
  <si>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</si>
  <si>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</si>
  <si>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</si>
  <si>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</si>
  <si>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</si>
  <si>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</si>
  <si>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</si>
  <si>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</si>
  <si>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</si>
  <si>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</si>
  <si>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</si>
  <si>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</si>
  <si>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</si>
  <si>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</si>
  <si>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</si>
  <si>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</si>
  <si>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</si>
  <si>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</si>
  <si>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</si>
  <si>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</si>
  <si>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</si>
  <si>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</si>
  <si>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</si>
  <si>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</si>
  <si>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</si>
  <si>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</si>
  <si>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</si>
  <si>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</si>
  <si>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</si>
  <si>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</si>
  <si>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</si>
  <si>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</si>
  <si>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</si>
  <si>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</si>
  <si>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</si>
  <si>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</si>
  <si>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</si>
  <si>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</si>
  <si>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</si>
  <si>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</si>
  <si>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</si>
  <si>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</si>
  <si>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</si>
  <si>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</si>
  <si>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</si>
  <si>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</si>
  <si>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</si>
  <si>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</si>
  <si>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</si>
  <si>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</si>
  <si>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</si>
  <si>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</si>
  <si>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</si>
  <si>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</si>
  <si>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</si>
  <si>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</si>
  <si>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</si>
  <si>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</si>
  <si>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</si>
  <si>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</si>
  <si>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</si>
  <si>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</si>
  <si>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</si>
  <si>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</si>
  <si>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</si>
  <si>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</si>
  <si>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</si>
  <si>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</si>
  <si>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</si>
  <si>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</si>
  <si>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</si>
  <si>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</si>
  <si>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</si>
  <si>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</si>
  <si>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</si>
  <si>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</si>
  <si>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</si>
  <si>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</si>
  <si>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</si>
  <si>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</si>
  <si>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</si>
  <si>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</si>
  <si>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</si>
  <si>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</si>
  <si>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</si>
  <si>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</si>
  <si>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</si>
  <si>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</si>
  <si>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</si>
  <si>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</si>
  <si>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</si>
  <si>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</si>
  <si>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</si>
  <si>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</si>
  <si>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</si>
  <si>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</si>
  <si>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</si>
  <si>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</si>
  <si>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</si>
  <si>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</si>
  <si>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</si>
  <si>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</si>
  <si>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</si>
  <si>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</si>
  <si>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</si>
  <si>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</si>
  <si>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</si>
  <si>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</si>
  <si>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</si>
  <si>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</si>
  <si>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</si>
  <si>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</si>
  <si>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</si>
  <si>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</si>
  <si>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</si>
  <si>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</si>
  <si>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</si>
  <si>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</si>
  <si>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</si>
  <si>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</si>
  <si>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</si>
  <si>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</si>
  <si>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</si>
  <si>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</si>
  <si>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</si>
  <si>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</si>
  <si>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</si>
  <si>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</si>
  <si>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</si>
  <si>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</si>
  <si>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</si>
  <si>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</si>
  <si>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</si>
  <si>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</si>
  <si>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</si>
  <si>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</si>
  <si>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</si>
  <si>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</si>
  <si>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</si>
  <si>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</si>
  <si>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</si>
  <si>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</si>
  <si>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</si>
  <si>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</si>
  <si>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</si>
  <si>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</si>
  <si>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</si>
  <si>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</si>
  <si>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</si>
  <si>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</si>
  <si>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</si>
  <si>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</si>
  <si>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</si>
  <si>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</si>
  <si>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</si>
  <si>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</si>
  <si>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</si>
  <si>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</si>
  <si>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</si>
  <si>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</si>
  <si>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</si>
  <si>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</si>
  <si>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</si>
  <si>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</si>
  <si>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</si>
  <si>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</si>
  <si>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</si>
  <si>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</si>
  <si>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</si>
  <si>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</si>
  <si>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</si>
  <si>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</si>
  <si>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</si>
  <si>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</si>
  <si>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</si>
  <si>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</si>
  <si>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</si>
  <si>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</si>
  <si>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</si>
  <si>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</si>
  <si>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</si>
  <si>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</si>
  <si>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</si>
  <si>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</si>
  <si>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</si>
  <si>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</si>
  <si>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</si>
  <si>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</si>
  <si>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</si>
  <si>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</si>
  <si>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</si>
  <si>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</si>
  <si>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</si>
  <si>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</si>
  <si>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</si>
  <si>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</si>
  <si>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</si>
  <si>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SHARON HOSPITAL HOLDING CO,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</si>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</sst>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0</v>
      </c>
      <c r="D13" s="22">
        <v>0</v>
      </c>
      <c r="E13" s="22">
        <f t="shared" ref="E13:E22" si="0">D13-C13</f>
        <v>0</v>
      </c>
      <c r="F13" s="23">
        <f t="shared" ref="F13:F22" si="1">IF(C13=0,0,E13/C13)</f>
        <v>0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7018848</v>
      </c>
      <c r="D15" s="22">
        <v>6272473</v>
      </c>
      <c r="E15" s="22">
        <f t="shared" si="0"/>
        <v>-746375</v>
      </c>
      <c r="F15" s="23">
        <f t="shared" si="1"/>
        <v>-0.10633867552054126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137029</v>
      </c>
      <c r="E18" s="22">
        <f t="shared" si="0"/>
        <v>137029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1238168</v>
      </c>
      <c r="D19" s="22">
        <v>1159614</v>
      </c>
      <c r="E19" s="22">
        <f t="shared" si="0"/>
        <v>-78554</v>
      </c>
      <c r="F19" s="23">
        <f t="shared" si="1"/>
        <v>-6.3443732999076061E-2</v>
      </c>
    </row>
    <row r="20" spans="1:11" ht="24" customHeight="1" x14ac:dyDescent="0.2">
      <c r="A20" s="20">
        <v>8</v>
      </c>
      <c r="B20" s="21" t="s">
        <v>23</v>
      </c>
      <c r="C20" s="22">
        <v>1722975</v>
      </c>
      <c r="D20" s="22">
        <v>952893</v>
      </c>
      <c r="E20" s="22">
        <f t="shared" si="0"/>
        <v>-770082</v>
      </c>
      <c r="F20" s="23">
        <f t="shared" si="1"/>
        <v>-0.44694902711879164</v>
      </c>
    </row>
    <row r="21" spans="1:11" ht="24" customHeight="1" x14ac:dyDescent="0.2">
      <c r="A21" s="20">
        <v>9</v>
      </c>
      <c r="B21" s="21" t="s">
        <v>24</v>
      </c>
      <c r="C21" s="22">
        <v>1179591</v>
      </c>
      <c r="D21" s="22">
        <v>1484938</v>
      </c>
      <c r="E21" s="22">
        <f t="shared" si="0"/>
        <v>305347</v>
      </c>
      <c r="F21" s="23">
        <f t="shared" si="1"/>
        <v>0.25885836701026033</v>
      </c>
    </row>
    <row r="22" spans="1:11" ht="24" customHeight="1" x14ac:dyDescent="0.25">
      <c r="A22" s="24"/>
      <c r="B22" s="25" t="s">
        <v>25</v>
      </c>
      <c r="C22" s="26">
        <f>SUM(C13:C21)</f>
        <v>11159582</v>
      </c>
      <c r="D22" s="26">
        <f>SUM(D13:D21)</f>
        <v>10006947</v>
      </c>
      <c r="E22" s="26">
        <f t="shared" si="0"/>
        <v>-1152635</v>
      </c>
      <c r="F22" s="27">
        <f t="shared" si="1"/>
        <v>-0.10328657471220697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523669</v>
      </c>
      <c r="D33" s="22">
        <v>707178</v>
      </c>
      <c r="E33" s="22">
        <f>D33-C33</f>
        <v>183509</v>
      </c>
      <c r="F33" s="23">
        <f>IF(C33=0,0,E33/C33)</f>
        <v>0.35042937428031828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62971937</v>
      </c>
      <c r="D36" s="22">
        <v>64190748</v>
      </c>
      <c r="E36" s="22">
        <f>D36-C36</f>
        <v>1218811</v>
      </c>
      <c r="F36" s="23">
        <f>IF(C36=0,0,E36/C36)</f>
        <v>1.9354827849745196E-2</v>
      </c>
    </row>
    <row r="37" spans="1:8" ht="24" customHeight="1" x14ac:dyDescent="0.2">
      <c r="A37" s="20">
        <v>2</v>
      </c>
      <c r="B37" s="21" t="s">
        <v>39</v>
      </c>
      <c r="C37" s="22">
        <v>28550693</v>
      </c>
      <c r="D37" s="22">
        <v>31083584</v>
      </c>
      <c r="E37" s="22">
        <f>D37-C37</f>
        <v>2532891</v>
      </c>
      <c r="F37" s="23">
        <f>IF(C37=0,0,E37/C37)</f>
        <v>8.8715569881263473E-2</v>
      </c>
    </row>
    <row r="38" spans="1:8" ht="24" customHeight="1" x14ac:dyDescent="0.25">
      <c r="A38" s="24"/>
      <c r="B38" s="25" t="s">
        <v>40</v>
      </c>
      <c r="C38" s="26">
        <f>C36-C37</f>
        <v>34421244</v>
      </c>
      <c r="D38" s="26">
        <f>D36-D37</f>
        <v>33107164</v>
      </c>
      <c r="E38" s="26">
        <f>D38-C38</f>
        <v>-1314080</v>
      </c>
      <c r="F38" s="27">
        <f>IF(C38=0,0,E38/C38)</f>
        <v>-3.8176423838720067E-2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34421244</v>
      </c>
      <c r="D41" s="26">
        <f>+D38+D40</f>
        <v>33107164</v>
      </c>
      <c r="E41" s="26">
        <f>D41-C41</f>
        <v>-1314080</v>
      </c>
      <c r="F41" s="27">
        <f>IF(C41=0,0,E41/C41)</f>
        <v>-3.8176423838720067E-2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46104495</v>
      </c>
      <c r="D43" s="26">
        <f>D22+D29+D31+D32+D33+D41</f>
        <v>43821289</v>
      </c>
      <c r="E43" s="26">
        <f>D43-C43</f>
        <v>-2283206</v>
      </c>
      <c r="F43" s="27">
        <f>IF(C43=0,0,E43/C43)</f>
        <v>-4.952241641514564E-2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1553296</v>
      </c>
      <c r="D49" s="22">
        <v>1693632</v>
      </c>
      <c r="E49" s="22">
        <f t="shared" ref="E49:E56" si="2">D49-C49</f>
        <v>140336</v>
      </c>
      <c r="F49" s="23">
        <f t="shared" ref="F49:F56" si="3">IF(C49=0,0,E49/C49)</f>
        <v>9.0347235813392934E-2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3501910</v>
      </c>
      <c r="D50" s="22">
        <v>2929986</v>
      </c>
      <c r="E50" s="22">
        <f t="shared" si="2"/>
        <v>-571924</v>
      </c>
      <c r="F50" s="23">
        <f t="shared" si="3"/>
        <v>-0.16331773232321789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291175</v>
      </c>
      <c r="D51" s="22">
        <v>0</v>
      </c>
      <c r="E51" s="22">
        <f t="shared" si="2"/>
        <v>-291175</v>
      </c>
      <c r="F51" s="23">
        <f t="shared" si="3"/>
        <v>-1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54591</v>
      </c>
      <c r="D54" s="22">
        <v>165055</v>
      </c>
      <c r="E54" s="22">
        <f t="shared" si="2"/>
        <v>110464</v>
      </c>
      <c r="F54" s="23">
        <f t="shared" si="3"/>
        <v>2.0234837244234396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5400972</v>
      </c>
      <c r="D56" s="26">
        <f>SUM(D49:D55)</f>
        <v>4788673</v>
      </c>
      <c r="E56" s="26">
        <f t="shared" si="2"/>
        <v>-612299</v>
      </c>
      <c r="F56" s="27">
        <f t="shared" si="3"/>
        <v>-0.11336829741016988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8826637</v>
      </c>
      <c r="D60" s="22">
        <v>4264339</v>
      </c>
      <c r="E60" s="22">
        <f>D60-C60</f>
        <v>-4562298</v>
      </c>
      <c r="F60" s="23">
        <f>IF(C60=0,0,E60/C60)</f>
        <v>-0.51687839887377263</v>
      </c>
    </row>
    <row r="61" spans="1:6" ht="24" customHeight="1" x14ac:dyDescent="0.25">
      <c r="A61" s="24"/>
      <c r="B61" s="25" t="s">
        <v>58</v>
      </c>
      <c r="C61" s="26">
        <f>SUM(C59:C60)</f>
        <v>8826637</v>
      </c>
      <c r="D61" s="26">
        <f>SUM(D59:D60)</f>
        <v>4264339</v>
      </c>
      <c r="E61" s="26">
        <f>D61-C61</f>
        <v>-4562298</v>
      </c>
      <c r="F61" s="27">
        <f>IF(C61=0,0,E61/C61)</f>
        <v>-0.51687839887377263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1268000</v>
      </c>
      <c r="D63" s="22">
        <v>1450000</v>
      </c>
      <c r="E63" s="22">
        <f>D63-C63</f>
        <v>182000</v>
      </c>
      <c r="F63" s="23">
        <f>IF(C63=0,0,E63/C63)</f>
        <v>0.14353312302839116</v>
      </c>
    </row>
    <row r="64" spans="1:6" ht="24" customHeight="1" x14ac:dyDescent="0.2">
      <c r="A64" s="20">
        <v>4</v>
      </c>
      <c r="B64" s="21" t="s">
        <v>60</v>
      </c>
      <c r="C64" s="22">
        <v>554304</v>
      </c>
      <c r="D64" s="22">
        <v>508824</v>
      </c>
      <c r="E64" s="22">
        <f>D64-C64</f>
        <v>-45480</v>
      </c>
      <c r="F64" s="23">
        <f>IF(C64=0,0,E64/C64)</f>
        <v>-8.2048839625909253E-2</v>
      </c>
    </row>
    <row r="65" spans="1:6" ht="24" customHeight="1" x14ac:dyDescent="0.25">
      <c r="A65" s="24"/>
      <c r="B65" s="25" t="s">
        <v>61</v>
      </c>
      <c r="C65" s="26">
        <f>SUM(C61:C64)</f>
        <v>10648941</v>
      </c>
      <c r="D65" s="26">
        <f>SUM(D61:D64)</f>
        <v>6223163</v>
      </c>
      <c r="E65" s="26">
        <f>D65-C65</f>
        <v>-4425778</v>
      </c>
      <c r="F65" s="27">
        <f>IF(C65=0,0,E65/C65)</f>
        <v>-0.41560733597829119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30054582</v>
      </c>
      <c r="D70" s="22">
        <v>32809453</v>
      </c>
      <c r="E70" s="22">
        <f>D70-C70</f>
        <v>2754871</v>
      </c>
      <c r="F70" s="23">
        <f>IF(C70=0,0,E70/C70)</f>
        <v>9.166226301200929E-2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30054582</v>
      </c>
      <c r="D73" s="26">
        <f>SUM(D70:D72)</f>
        <v>32809453</v>
      </c>
      <c r="E73" s="26">
        <f>D73-C73</f>
        <v>2754871</v>
      </c>
      <c r="F73" s="27">
        <f>IF(C73=0,0,E73/C73)</f>
        <v>9.166226301200929E-2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46104495</v>
      </c>
      <c r="D75" s="26">
        <f>D56+D65+D67+D73</f>
        <v>43821289</v>
      </c>
      <c r="E75" s="26">
        <f>D75-C75</f>
        <v>-2283206</v>
      </c>
      <c r="F75" s="27">
        <f>IF(C75=0,0,E75/C75)</f>
        <v>-4.952241641514564E-2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59379084</v>
      </c>
      <c r="D11" s="76">
        <v>60248744</v>
      </c>
      <c r="E11" s="76">
        <v>56110242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482704</v>
      </c>
      <c r="D12" s="185">
        <v>429185</v>
      </c>
      <c r="E12" s="185">
        <v>1205475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59861788</v>
      </c>
      <c r="D13" s="76">
        <f>+D11+D12</f>
        <v>60677929</v>
      </c>
      <c r="E13" s="76">
        <f>+E11+E12</f>
        <v>57315717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59882389</v>
      </c>
      <c r="D14" s="185">
        <v>59153702</v>
      </c>
      <c r="E14" s="185">
        <v>58726061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-20601</v>
      </c>
      <c r="D15" s="76">
        <f>+D13-D14</f>
        <v>1524227</v>
      </c>
      <c r="E15" s="76">
        <f>+E13-E14</f>
        <v>-1410344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0</v>
      </c>
      <c r="D16" s="185">
        <v>0</v>
      </c>
      <c r="E16" s="185">
        <v>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-20601</v>
      </c>
      <c r="D17" s="76">
        <f>D15+D16</f>
        <v>1524227</v>
      </c>
      <c r="E17" s="76">
        <f>E15+E16</f>
        <v>-1410344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-3.4414274428288042E-4</v>
      </c>
      <c r="D20" s="189">
        <f>IF(+D27=0,0,+D24/+D27)</f>
        <v>2.5119957538432137E-2</v>
      </c>
      <c r="E20" s="189">
        <f>IF(+E27=0,0,+E24/+E27)</f>
        <v>-2.4606583914844857E-2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</v>
      </c>
      <c r="D21" s="189">
        <f>IF(+D27=0,0,+D26/+D27)</f>
        <v>0</v>
      </c>
      <c r="E21" s="189">
        <f>IF(+E27=0,0,+E26/+E27)</f>
        <v>0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-3.4414274428288042E-4</v>
      </c>
      <c r="D22" s="189">
        <f>IF(+D27=0,0,+D28/+D27)</f>
        <v>2.5119957538432137E-2</v>
      </c>
      <c r="E22" s="189">
        <f>IF(+E27=0,0,+E28/+E27)</f>
        <v>-2.4606583914844857E-2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-20601</v>
      </c>
      <c r="D24" s="76">
        <f>+D15</f>
        <v>1524227</v>
      </c>
      <c r="E24" s="76">
        <f>+E15</f>
        <v>-1410344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59861788</v>
      </c>
      <c r="D25" s="76">
        <f>+D13</f>
        <v>60677929</v>
      </c>
      <c r="E25" s="76">
        <f>+E13</f>
        <v>57315717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59861788</v>
      </c>
      <c r="D27" s="76">
        <f>SUM(D25:D26)</f>
        <v>60677929</v>
      </c>
      <c r="E27" s="76">
        <f>SUM(E25:E26)</f>
        <v>57315717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-20601</v>
      </c>
      <c r="D28" s="76">
        <f>+D17</f>
        <v>1524227</v>
      </c>
      <c r="E28" s="76">
        <f>+E17</f>
        <v>-1410344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15992819</v>
      </c>
      <c r="D31" s="76">
        <v>17604993</v>
      </c>
      <c r="E31" s="76">
        <v>16068631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15992819</v>
      </c>
      <c r="D32" s="76">
        <v>17604993</v>
      </c>
      <c r="E32" s="76">
        <v>16068631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-42106</v>
      </c>
      <c r="D33" s="76">
        <f>+D32-C32</f>
        <v>1612174</v>
      </c>
      <c r="E33" s="76">
        <f>+E32-D32</f>
        <v>-1536362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0.99729999999999996</v>
      </c>
      <c r="D34" s="193">
        <f>IF(C32=0,0,+D33/C32)</f>
        <v>0.10080611804585546</v>
      </c>
      <c r="E34" s="193">
        <f>IF(D32=0,0,+E33/D32)</f>
        <v>-8.7268537965337442E-2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1.6679840372069239</v>
      </c>
      <c r="D38" s="338">
        <f>IF(+D40=0,0,+D39/+D40)</f>
        <v>1.9451293640492726</v>
      </c>
      <c r="E38" s="338">
        <f>IF(+E40=0,0,+E39/+E40)</f>
        <v>1.9318854825960778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9942204</v>
      </c>
      <c r="D39" s="341">
        <v>12350418</v>
      </c>
      <c r="E39" s="341">
        <v>10714886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5960611</v>
      </c>
      <c r="D40" s="341">
        <v>6349407</v>
      </c>
      <c r="E40" s="341">
        <v>5546336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0</v>
      </c>
      <c r="D42" s="343">
        <f>IF((D48/365)=0,0,+D45/(D48/365))</f>
        <v>0.76080432784746899</v>
      </c>
      <c r="E42" s="343">
        <f>IF((E48/365)=0,0,+E45/(E48/365))</f>
        <v>6.8027522854084713E-2</v>
      </c>
    </row>
    <row r="43" spans="1:14" ht="24" customHeight="1" x14ac:dyDescent="0.2">
      <c r="A43" s="339">
        <v>5</v>
      </c>
      <c r="B43" s="344" t="s">
        <v>16</v>
      </c>
      <c r="C43" s="345">
        <v>0</v>
      </c>
      <c r="D43" s="345">
        <v>117062</v>
      </c>
      <c r="E43" s="345">
        <v>10465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0</v>
      </c>
      <c r="D45" s="341">
        <f>+D43+D44</f>
        <v>117062</v>
      </c>
      <c r="E45" s="341">
        <f>+E43+E44</f>
        <v>10465</v>
      </c>
    </row>
    <row r="46" spans="1:14" ht="24" customHeight="1" x14ac:dyDescent="0.2">
      <c r="A46" s="339">
        <v>8</v>
      </c>
      <c r="B46" s="340" t="s">
        <v>334</v>
      </c>
      <c r="C46" s="341">
        <f>+C14</f>
        <v>59882389</v>
      </c>
      <c r="D46" s="341">
        <f>+D14</f>
        <v>59153702</v>
      </c>
      <c r="E46" s="341">
        <f>+E14</f>
        <v>58726061</v>
      </c>
    </row>
    <row r="47" spans="1:14" ht="24" customHeight="1" x14ac:dyDescent="0.2">
      <c r="A47" s="339">
        <v>9</v>
      </c>
      <c r="B47" s="340" t="s">
        <v>356</v>
      </c>
      <c r="C47" s="341">
        <v>3213579</v>
      </c>
      <c r="D47" s="341">
        <v>2992573</v>
      </c>
      <c r="E47" s="341">
        <v>2576361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56668810</v>
      </c>
      <c r="D48" s="341">
        <f>+D46-D47</f>
        <v>56161129</v>
      </c>
      <c r="E48" s="341">
        <f>+E46-E47</f>
        <v>56149700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46.149608000015633</v>
      </c>
      <c r="D50" s="350">
        <f>IF((D55/365)=0,0,+D54/(D55/365))</f>
        <v>45.974383465985611</v>
      </c>
      <c r="E50" s="350">
        <f>IF((E55/365)=0,0,+E54/(E55/365))</f>
        <v>45.808375768545076</v>
      </c>
    </row>
    <row r="51" spans="1:5" ht="24" customHeight="1" x14ac:dyDescent="0.2">
      <c r="A51" s="339">
        <v>12</v>
      </c>
      <c r="B51" s="344" t="s">
        <v>359</v>
      </c>
      <c r="C51" s="351">
        <v>7516850</v>
      </c>
      <c r="D51" s="351">
        <v>7934530</v>
      </c>
      <c r="E51" s="351">
        <v>6904941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137029</v>
      </c>
    </row>
    <row r="53" spans="1:5" ht="24" customHeight="1" x14ac:dyDescent="0.2">
      <c r="A53" s="339">
        <v>14</v>
      </c>
      <c r="B53" s="344" t="s">
        <v>49</v>
      </c>
      <c r="C53" s="341">
        <v>9120</v>
      </c>
      <c r="D53" s="341">
        <v>345766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7507730</v>
      </c>
      <c r="D54" s="352">
        <f>+D51+D52-D53</f>
        <v>7588764</v>
      </c>
      <c r="E54" s="352">
        <f>+E51+E52-E53</f>
        <v>7041970</v>
      </c>
    </row>
    <row r="55" spans="1:5" ht="24" customHeight="1" x14ac:dyDescent="0.2">
      <c r="A55" s="339">
        <v>16</v>
      </c>
      <c r="B55" s="340" t="s">
        <v>75</v>
      </c>
      <c r="C55" s="341">
        <f>+C11</f>
        <v>59379084</v>
      </c>
      <c r="D55" s="341">
        <f>+D11</f>
        <v>60248744</v>
      </c>
      <c r="E55" s="341">
        <f>+E11</f>
        <v>56110242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38.391895206551887</v>
      </c>
      <c r="D57" s="355">
        <f>IF((D61/365)=0,0,+D58/(D61/365))</f>
        <v>41.265793552690148</v>
      </c>
      <c r="E57" s="355">
        <f>IF((E61/365)=0,0,+E58/(E61/365))</f>
        <v>36.053846057948668</v>
      </c>
    </row>
    <row r="58" spans="1:5" ht="24" customHeight="1" x14ac:dyDescent="0.2">
      <c r="A58" s="339">
        <v>18</v>
      </c>
      <c r="B58" s="340" t="s">
        <v>54</v>
      </c>
      <c r="C58" s="353">
        <f>+C40</f>
        <v>5960611</v>
      </c>
      <c r="D58" s="353">
        <f>+D40</f>
        <v>6349407</v>
      </c>
      <c r="E58" s="353">
        <f>+E40</f>
        <v>5546336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59882389</v>
      </c>
      <c r="D59" s="353">
        <f t="shared" si="0"/>
        <v>59153702</v>
      </c>
      <c r="E59" s="353">
        <f t="shared" si="0"/>
        <v>58726061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3213579</v>
      </c>
      <c r="D60" s="356">
        <f t="shared" si="0"/>
        <v>2992573</v>
      </c>
      <c r="E60" s="356">
        <f t="shared" si="0"/>
        <v>2576361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56668810</v>
      </c>
      <c r="D61" s="353">
        <f>+D59-D60</f>
        <v>56161129</v>
      </c>
      <c r="E61" s="353">
        <f>+E59-E60</f>
        <v>56149700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33.209490758165288</v>
      </c>
      <c r="D65" s="357">
        <f>IF(D67=0,0,(D66/D67)*100)</f>
        <v>36.964371245138565</v>
      </c>
      <c r="E65" s="357">
        <f>IF(E67=0,0,(E66/E67)*100)</f>
        <v>36.0860915475917</v>
      </c>
    </row>
    <row r="66" spans="1:5" ht="24" customHeight="1" x14ac:dyDescent="0.2">
      <c r="A66" s="339">
        <v>2</v>
      </c>
      <c r="B66" s="340" t="s">
        <v>67</v>
      </c>
      <c r="C66" s="353">
        <f>+C32</f>
        <v>15992819</v>
      </c>
      <c r="D66" s="353">
        <f>+D32</f>
        <v>17604993</v>
      </c>
      <c r="E66" s="353">
        <f>+E32</f>
        <v>16068631</v>
      </c>
    </row>
    <row r="67" spans="1:5" ht="24" customHeight="1" x14ac:dyDescent="0.2">
      <c r="A67" s="339">
        <v>3</v>
      </c>
      <c r="B67" s="340" t="s">
        <v>43</v>
      </c>
      <c r="C67" s="353">
        <v>48157375</v>
      </c>
      <c r="D67" s="353">
        <v>47626924</v>
      </c>
      <c r="E67" s="353">
        <v>44528599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10.587711220159726</v>
      </c>
      <c r="D69" s="357">
        <f>IF(D75=0,0,(D72/D75)*100)</f>
        <v>16.160501891492149</v>
      </c>
      <c r="E69" s="357">
        <f>IF(E75=0,0,(E72/E75)*100)</f>
        <v>4.4417759469834914</v>
      </c>
    </row>
    <row r="70" spans="1:5" ht="24" customHeight="1" x14ac:dyDescent="0.2">
      <c r="A70" s="339">
        <v>5</v>
      </c>
      <c r="B70" s="340" t="s">
        <v>366</v>
      </c>
      <c r="C70" s="353">
        <f>+C28</f>
        <v>-20601</v>
      </c>
      <c r="D70" s="353">
        <f>+D28</f>
        <v>1524227</v>
      </c>
      <c r="E70" s="353">
        <f>+E28</f>
        <v>-1410344</v>
      </c>
    </row>
    <row r="71" spans="1:5" ht="24" customHeight="1" x14ac:dyDescent="0.2">
      <c r="A71" s="339">
        <v>6</v>
      </c>
      <c r="B71" s="340" t="s">
        <v>356</v>
      </c>
      <c r="C71" s="356">
        <f>+C47</f>
        <v>3213579</v>
      </c>
      <c r="D71" s="356">
        <f>+D47</f>
        <v>2992573</v>
      </c>
      <c r="E71" s="356">
        <f>+E47</f>
        <v>2576361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3192978</v>
      </c>
      <c r="D72" s="353">
        <f>+D70+D71</f>
        <v>4516800</v>
      </c>
      <c r="E72" s="353">
        <f>+E70+E71</f>
        <v>1166017</v>
      </c>
    </row>
    <row r="73" spans="1:5" ht="24" customHeight="1" x14ac:dyDescent="0.2">
      <c r="A73" s="339">
        <v>8</v>
      </c>
      <c r="B73" s="340" t="s">
        <v>54</v>
      </c>
      <c r="C73" s="341">
        <f>+C40</f>
        <v>5960611</v>
      </c>
      <c r="D73" s="341">
        <f>+D40</f>
        <v>6349407</v>
      </c>
      <c r="E73" s="341">
        <f>+E40</f>
        <v>5546336</v>
      </c>
    </row>
    <row r="74" spans="1:5" ht="24" customHeight="1" x14ac:dyDescent="0.2">
      <c r="A74" s="339">
        <v>9</v>
      </c>
      <c r="B74" s="340" t="s">
        <v>58</v>
      </c>
      <c r="C74" s="353">
        <v>24196785</v>
      </c>
      <c r="D74" s="353">
        <v>21600220</v>
      </c>
      <c r="E74" s="353">
        <v>20704808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30157396</v>
      </c>
      <c r="D75" s="341">
        <f>+D73+D74</f>
        <v>27949627</v>
      </c>
      <c r="E75" s="341">
        <f>+E73+E74</f>
        <v>26251144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60.206577302926398</v>
      </c>
      <c r="D77" s="359">
        <f>IF(D80=0,0,(D78/D80)*100)</f>
        <v>55.095275212508085</v>
      </c>
      <c r="E77" s="359">
        <f>IF(E80=0,0,(E78/E80)*100)</f>
        <v>56.303703333267251</v>
      </c>
    </row>
    <row r="78" spans="1:5" ht="24" customHeight="1" x14ac:dyDescent="0.2">
      <c r="A78" s="339">
        <v>12</v>
      </c>
      <c r="B78" s="340" t="s">
        <v>58</v>
      </c>
      <c r="C78" s="341">
        <f>+C74</f>
        <v>24196785</v>
      </c>
      <c r="D78" s="341">
        <f>+D74</f>
        <v>21600220</v>
      </c>
      <c r="E78" s="341">
        <f>+E74</f>
        <v>20704808</v>
      </c>
    </row>
    <row r="79" spans="1:5" ht="24" customHeight="1" x14ac:dyDescent="0.2">
      <c r="A79" s="339">
        <v>13</v>
      </c>
      <c r="B79" s="340" t="s">
        <v>67</v>
      </c>
      <c r="C79" s="341">
        <f>+C32</f>
        <v>15992819</v>
      </c>
      <c r="D79" s="341">
        <f>+D32</f>
        <v>17604993</v>
      </c>
      <c r="E79" s="341">
        <f>+E32</f>
        <v>16068631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40189604</v>
      </c>
      <c r="D80" s="341">
        <f>+D78+D79</f>
        <v>39205213</v>
      </c>
      <c r="E80" s="341">
        <f>+E78+E79</f>
        <v>36773439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FILING&amp;R&amp;8SHARON HOSPITAL HOLDING CO,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5633</v>
      </c>
      <c r="D11" s="376">
        <v>1737</v>
      </c>
      <c r="E11" s="376">
        <v>1161</v>
      </c>
      <c r="F11" s="377">
        <v>22</v>
      </c>
      <c r="G11" s="377">
        <v>47</v>
      </c>
      <c r="H11" s="378">
        <f>IF(F11=0,0,$C11/(F11*365))</f>
        <v>0.70149439601494401</v>
      </c>
      <c r="I11" s="378">
        <f>IF(G11=0,0,$C11/(G11*365))</f>
        <v>0.32835907898571842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884</v>
      </c>
      <c r="D13" s="376">
        <v>334</v>
      </c>
      <c r="E13" s="376">
        <v>0</v>
      </c>
      <c r="F13" s="377">
        <v>7</v>
      </c>
      <c r="G13" s="377">
        <v>11</v>
      </c>
      <c r="H13" s="378">
        <f>IF(F13=0,0,$C13/(F13*365))</f>
        <v>0.34598825831702545</v>
      </c>
      <c r="I13" s="378">
        <f>IF(G13=0,0,$C13/(G13*365))</f>
        <v>0.22017434620174345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3895</v>
      </c>
      <c r="D16" s="376">
        <v>343</v>
      </c>
      <c r="E16" s="376">
        <v>342</v>
      </c>
      <c r="F16" s="377">
        <v>12</v>
      </c>
      <c r="G16" s="377">
        <v>12</v>
      </c>
      <c r="H16" s="378">
        <f t="shared" si="0"/>
        <v>0.88926940639269403</v>
      </c>
      <c r="I16" s="378">
        <f t="shared" si="0"/>
        <v>0.88926940639269403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3895</v>
      </c>
      <c r="D17" s="381">
        <f>SUM(D15:D16)</f>
        <v>343</v>
      </c>
      <c r="E17" s="381">
        <f>SUM(E15:E16)</f>
        <v>342</v>
      </c>
      <c r="F17" s="381">
        <f>SUM(F15:F16)</f>
        <v>12</v>
      </c>
      <c r="G17" s="381">
        <f>SUM(G15:G16)</f>
        <v>12</v>
      </c>
      <c r="H17" s="382">
        <f t="shared" si="0"/>
        <v>0.88926940639269403</v>
      </c>
      <c r="I17" s="382">
        <f t="shared" si="0"/>
        <v>0.88926940639269403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699</v>
      </c>
      <c r="D21" s="376">
        <v>281</v>
      </c>
      <c r="E21" s="376">
        <v>279</v>
      </c>
      <c r="F21" s="377">
        <v>4</v>
      </c>
      <c r="G21" s="377">
        <v>8</v>
      </c>
      <c r="H21" s="378">
        <f>IF(F21=0,0,$C21/(F21*365))</f>
        <v>0.47876712328767124</v>
      </c>
      <c r="I21" s="378">
        <f>IF(G21=0,0,$C21/(G21*365))</f>
        <v>0.23938356164383562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579</v>
      </c>
      <c r="D23" s="376">
        <v>255</v>
      </c>
      <c r="E23" s="376">
        <v>259</v>
      </c>
      <c r="F23" s="377">
        <v>4</v>
      </c>
      <c r="G23" s="377">
        <v>16</v>
      </c>
      <c r="H23" s="378">
        <f>IF(F23=0,0,$C23/(F23*365))</f>
        <v>0.39657534246575343</v>
      </c>
      <c r="I23" s="378">
        <f>IF(G23=0,0,$C23/(G23*365))</f>
        <v>9.9143835616438358E-2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11111</v>
      </c>
      <c r="D31" s="384">
        <f>SUM(D10:D29)-D13-D17-D23</f>
        <v>2361</v>
      </c>
      <c r="E31" s="384">
        <f>SUM(E10:E29)-E17-E23</f>
        <v>1782</v>
      </c>
      <c r="F31" s="384">
        <f>SUM(F10:F29)-F17-F23</f>
        <v>45</v>
      </c>
      <c r="G31" s="384">
        <f>SUM(G10:G29)-G17-G23</f>
        <v>78</v>
      </c>
      <c r="H31" s="385">
        <f>IF(F31=0,0,$C31/(F31*365))</f>
        <v>0.67646879756468803</v>
      </c>
      <c r="I31" s="385">
        <f>IF(G31=0,0,$C31/(G31*365))</f>
        <v>0.39027046013347383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11690</v>
      </c>
      <c r="D33" s="384">
        <f>SUM(D10:D29)-D13-D17</f>
        <v>2616</v>
      </c>
      <c r="E33" s="384">
        <f>SUM(E10:E29)-E17</f>
        <v>2041</v>
      </c>
      <c r="F33" s="384">
        <f>SUM(F10:F29)-F17</f>
        <v>49</v>
      </c>
      <c r="G33" s="384">
        <f>SUM(G10:G29)-G17</f>
        <v>94</v>
      </c>
      <c r="H33" s="385">
        <f>IF(F33=0,0,$C33/(F33*365))</f>
        <v>0.6536203522504892</v>
      </c>
      <c r="I33" s="385">
        <f>IF(G33=0,0,$C33/(G33*365))</f>
        <v>0.34071699213057416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11690</v>
      </c>
      <c r="D36" s="384">
        <f t="shared" si="1"/>
        <v>2616</v>
      </c>
      <c r="E36" s="384">
        <f t="shared" si="1"/>
        <v>2041</v>
      </c>
      <c r="F36" s="384">
        <f t="shared" si="1"/>
        <v>49</v>
      </c>
      <c r="G36" s="384">
        <f t="shared" si="1"/>
        <v>94</v>
      </c>
      <c r="H36" s="387">
        <f t="shared" si="1"/>
        <v>0.6536203522504892</v>
      </c>
      <c r="I36" s="387">
        <f t="shared" si="1"/>
        <v>0.34071699213057416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12338</v>
      </c>
      <c r="D37" s="384">
        <v>2878</v>
      </c>
      <c r="E37" s="384">
        <v>2195</v>
      </c>
      <c r="F37" s="386">
        <v>49</v>
      </c>
      <c r="G37" s="386">
        <v>94</v>
      </c>
      <c r="H37" s="385">
        <f>IF(F37=0,0,$C37/(F37*365))</f>
        <v>0.68985183114341631</v>
      </c>
      <c r="I37" s="385">
        <f>IF(G37=0,0,$C37/(G37*365))</f>
        <v>0.35960361410667446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-648</v>
      </c>
      <c r="D38" s="384">
        <f t="shared" si="2"/>
        <v>-262</v>
      </c>
      <c r="E38" s="384">
        <f t="shared" si="2"/>
        <v>-154</v>
      </c>
      <c r="F38" s="384">
        <f t="shared" si="2"/>
        <v>0</v>
      </c>
      <c r="G38" s="384">
        <f t="shared" si="2"/>
        <v>0</v>
      </c>
      <c r="H38" s="387">
        <f t="shared" si="2"/>
        <v>-3.6231478892927105E-2</v>
      </c>
      <c r="I38" s="387">
        <f t="shared" si="2"/>
        <v>-1.8886621976100304E-2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-5.2520667855406065E-2</v>
      </c>
      <c r="D40" s="389">
        <f t="shared" si="3"/>
        <v>-9.1035441278665738E-2</v>
      </c>
      <c r="E40" s="389">
        <f t="shared" si="3"/>
        <v>-7.0159453302961278E-2</v>
      </c>
      <c r="F40" s="389">
        <f t="shared" si="3"/>
        <v>0</v>
      </c>
      <c r="G40" s="389">
        <f t="shared" si="3"/>
        <v>0</v>
      </c>
      <c r="H40" s="389">
        <f t="shared" si="3"/>
        <v>-5.2520667855406163E-2</v>
      </c>
      <c r="I40" s="389">
        <f t="shared" si="3"/>
        <v>-5.2520667855406176E-2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94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427</v>
      </c>
      <c r="D12" s="409">
        <v>361</v>
      </c>
      <c r="E12" s="409">
        <f>+D12-C12</f>
        <v>-66</v>
      </c>
      <c r="F12" s="410">
        <f>IF(C12=0,0,+E12/C12)</f>
        <v>-0.15456674473067916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1419</v>
      </c>
      <c r="D13" s="409">
        <v>1487</v>
      </c>
      <c r="E13" s="409">
        <f>+D13-C13</f>
        <v>68</v>
      </c>
      <c r="F13" s="410">
        <f>IF(C13=0,0,+E13/C13)</f>
        <v>4.7921071176885127E-2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2889</v>
      </c>
      <c r="D14" s="409">
        <v>3161</v>
      </c>
      <c r="E14" s="409">
        <f>+D14-C14</f>
        <v>272</v>
      </c>
      <c r="F14" s="410">
        <f>IF(C14=0,0,+E14/C14)</f>
        <v>9.4150224991346482E-2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4735</v>
      </c>
      <c r="D16" s="401">
        <f>SUM(D12:D15)</f>
        <v>5009</v>
      </c>
      <c r="E16" s="401">
        <f>+D16-C16</f>
        <v>274</v>
      </c>
      <c r="F16" s="402">
        <f>IF(C16=0,0,+E16/C16)</f>
        <v>5.7866948257655752E-2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208</v>
      </c>
      <c r="D19" s="409">
        <v>175</v>
      </c>
      <c r="E19" s="409">
        <f>+D19-C19</f>
        <v>-33</v>
      </c>
      <c r="F19" s="410">
        <f>IF(C19=0,0,+E19/C19)</f>
        <v>-0.15865384615384615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1503</v>
      </c>
      <c r="D20" s="409">
        <v>1668</v>
      </c>
      <c r="E20" s="409">
        <f>+D20-C20</f>
        <v>165</v>
      </c>
      <c r="F20" s="410">
        <f>IF(C20=0,0,+E20/C20)</f>
        <v>0.10978043912175649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80</v>
      </c>
      <c r="D21" s="409">
        <v>92</v>
      </c>
      <c r="E21" s="409">
        <f>+D21-C21</f>
        <v>12</v>
      </c>
      <c r="F21" s="410">
        <f>IF(C21=0,0,+E21/C21)</f>
        <v>0.15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1791</v>
      </c>
      <c r="D23" s="401">
        <f>SUM(D19:D22)</f>
        <v>1935</v>
      </c>
      <c r="E23" s="401">
        <f>+D23-C23</f>
        <v>144</v>
      </c>
      <c r="F23" s="402">
        <f>IF(C23=0,0,+E23/C23)</f>
        <v>8.0402010050251257E-2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404</v>
      </c>
      <c r="D63" s="409">
        <v>409</v>
      </c>
      <c r="E63" s="409">
        <f>+D63-C63</f>
        <v>5</v>
      </c>
      <c r="F63" s="410">
        <f>IF(C63=0,0,+E63/C63)</f>
        <v>1.2376237623762377E-2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1376</v>
      </c>
      <c r="D64" s="409">
        <v>1297</v>
      </c>
      <c r="E64" s="409">
        <f>+D64-C64</f>
        <v>-79</v>
      </c>
      <c r="F64" s="410">
        <f>IF(C64=0,0,+E64/C64)</f>
        <v>-5.7412790697674417E-2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1780</v>
      </c>
      <c r="D65" s="401">
        <f>SUM(D63:D64)</f>
        <v>1706</v>
      </c>
      <c r="E65" s="401">
        <f>+D65-C65</f>
        <v>-74</v>
      </c>
      <c r="F65" s="402">
        <f>IF(C65=0,0,+E65/C65)</f>
        <v>-4.1573033707865172E-2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114</v>
      </c>
      <c r="D68" s="409">
        <v>96</v>
      </c>
      <c r="E68" s="409">
        <f>+D68-C68</f>
        <v>-18</v>
      </c>
      <c r="F68" s="410">
        <f>IF(C68=0,0,+E68/C68)</f>
        <v>-0.15789473684210525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852</v>
      </c>
      <c r="D69" s="409">
        <v>860</v>
      </c>
      <c r="E69" s="409">
        <f>+D69-C69</f>
        <v>8</v>
      </c>
      <c r="F69" s="412">
        <f>IF(C69=0,0,+E69/C69)</f>
        <v>9.3896713615023476E-3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966</v>
      </c>
      <c r="D70" s="401">
        <f>SUM(D68:D69)</f>
        <v>956</v>
      </c>
      <c r="E70" s="401">
        <f>+D70-C70</f>
        <v>-10</v>
      </c>
      <c r="F70" s="402">
        <f>IF(C70=0,0,+E70/C70)</f>
        <v>-1.0351966873706004E-2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1878</v>
      </c>
      <c r="D73" s="376">
        <v>1593</v>
      </c>
      <c r="E73" s="409">
        <f>+D73-C73</f>
        <v>-285</v>
      </c>
      <c r="F73" s="410">
        <f>IF(C73=0,0,+E73/C73)</f>
        <v>-0.15175718849840256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15746</v>
      </c>
      <c r="D74" s="376">
        <v>14825</v>
      </c>
      <c r="E74" s="409">
        <f>+D74-C74</f>
        <v>-921</v>
      </c>
      <c r="F74" s="410">
        <f>IF(C74=0,0,+E74/C74)</f>
        <v>-5.8491045344849488E-2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17624</v>
      </c>
      <c r="D75" s="401">
        <f>SUM(D73:D74)</f>
        <v>16418</v>
      </c>
      <c r="E75" s="401">
        <f>SUM(E73:E74)</f>
        <v>-1206</v>
      </c>
      <c r="F75" s="402">
        <f>IF(C75=0,0,+E75/C75)</f>
        <v>-6.8429414434861557E-2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</v>
      </c>
      <c r="D81" s="376">
        <v>0</v>
      </c>
      <c r="E81" s="409">
        <f t="shared" si="0"/>
        <v>-1</v>
      </c>
      <c r="F81" s="410">
        <f t="shared" si="1"/>
        <v>-1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405</v>
      </c>
      <c r="D90" s="376">
        <v>468</v>
      </c>
      <c r="E90" s="409">
        <f t="shared" si="0"/>
        <v>63</v>
      </c>
      <c r="F90" s="410">
        <f t="shared" si="1"/>
        <v>0.15555555555555556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1913</v>
      </c>
      <c r="D91" s="376">
        <v>1669</v>
      </c>
      <c r="E91" s="409">
        <f t="shared" si="0"/>
        <v>-244</v>
      </c>
      <c r="F91" s="410">
        <f t="shared" si="1"/>
        <v>-0.12754835337166753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2319</v>
      </c>
      <c r="D92" s="381">
        <f>SUM(D79:D91)</f>
        <v>2137</v>
      </c>
      <c r="E92" s="401">
        <f t="shared" si="0"/>
        <v>-182</v>
      </c>
      <c r="F92" s="402">
        <f t="shared" si="1"/>
        <v>-7.8482104355325571E-2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8451</v>
      </c>
      <c r="D95" s="414">
        <v>8931</v>
      </c>
      <c r="E95" s="415">
        <f t="shared" ref="E95:E100" si="2">+D95-C95</f>
        <v>480</v>
      </c>
      <c r="F95" s="412">
        <f t="shared" ref="F95:F100" si="3">IF(C95=0,0,+E95/C95)</f>
        <v>5.6798012069577568E-2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4100</v>
      </c>
      <c r="D96" s="414">
        <v>4457</v>
      </c>
      <c r="E96" s="409">
        <f t="shared" si="2"/>
        <v>357</v>
      </c>
      <c r="F96" s="410">
        <f t="shared" si="3"/>
        <v>8.7073170731707311E-2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834</v>
      </c>
      <c r="D97" s="414">
        <v>468</v>
      </c>
      <c r="E97" s="409">
        <f t="shared" si="2"/>
        <v>-366</v>
      </c>
      <c r="F97" s="410">
        <f t="shared" si="3"/>
        <v>-0.43884892086330934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50300</v>
      </c>
      <c r="D99" s="414">
        <v>47995</v>
      </c>
      <c r="E99" s="409">
        <f t="shared" si="2"/>
        <v>-2305</v>
      </c>
      <c r="F99" s="410">
        <f t="shared" si="3"/>
        <v>-4.5825049701789265E-2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63685</v>
      </c>
      <c r="D100" s="381">
        <f>SUM(D95:D99)</f>
        <v>61851</v>
      </c>
      <c r="E100" s="401">
        <f t="shared" si="2"/>
        <v>-1834</v>
      </c>
      <c r="F100" s="402">
        <f t="shared" si="3"/>
        <v>-2.879799010756065E-2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95.5</v>
      </c>
      <c r="D104" s="416">
        <v>102.6</v>
      </c>
      <c r="E104" s="417">
        <f>+D104-C104</f>
        <v>7.0999999999999943</v>
      </c>
      <c r="F104" s="410">
        <f>IF(C104=0,0,+E104/C104)</f>
        <v>7.4345549738219829E-2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151.9</v>
      </c>
      <c r="D106" s="416">
        <v>157</v>
      </c>
      <c r="E106" s="417">
        <f>+D106-C106</f>
        <v>5.0999999999999943</v>
      </c>
      <c r="F106" s="410">
        <f>IF(C106=0,0,+E106/C106)</f>
        <v>3.357472021066487E-2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247.4</v>
      </c>
      <c r="D107" s="418">
        <f>SUM(D104:D106)</f>
        <v>259.60000000000002</v>
      </c>
      <c r="E107" s="418">
        <f>+D107-C107</f>
        <v>12.200000000000017</v>
      </c>
      <c r="F107" s="402">
        <f>IF(C107=0,0,+E107/C107)</f>
        <v>4.9312853678253908E-2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1376</v>
      </c>
      <c r="D12" s="409">
        <v>1297</v>
      </c>
      <c r="E12" s="409">
        <f>+D12-C12</f>
        <v>-79</v>
      </c>
      <c r="F12" s="410">
        <f>IF(C12=0,0,+E12/C12)</f>
        <v>-5.7412790697674417E-2</v>
      </c>
    </row>
    <row r="13" spans="1:6" ht="15.75" customHeight="1" x14ac:dyDescent="0.25">
      <c r="A13" s="374"/>
      <c r="B13" s="399" t="s">
        <v>622</v>
      </c>
      <c r="C13" s="401">
        <f>SUM(C11:C12)</f>
        <v>1376</v>
      </c>
      <c r="D13" s="401">
        <f>SUM(D11:D12)</f>
        <v>1297</v>
      </c>
      <c r="E13" s="401">
        <f>+D13-C13</f>
        <v>-79</v>
      </c>
      <c r="F13" s="402">
        <f>IF(C13=0,0,+E13/C13)</f>
        <v>-5.7412790697674417E-2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852</v>
      </c>
      <c r="D16" s="409">
        <v>860</v>
      </c>
      <c r="E16" s="409">
        <f>+D16-C16</f>
        <v>8</v>
      </c>
      <c r="F16" s="410">
        <f>IF(C16=0,0,+E16/C16)</f>
        <v>9.3896713615023476E-3</v>
      </c>
    </row>
    <row r="17" spans="1:6" ht="15.75" customHeight="1" x14ac:dyDescent="0.25">
      <c r="A17" s="374"/>
      <c r="B17" s="399" t="s">
        <v>623</v>
      </c>
      <c r="C17" s="401">
        <f>SUM(C15:C16)</f>
        <v>852</v>
      </c>
      <c r="D17" s="401">
        <f>SUM(D15:D16)</f>
        <v>860</v>
      </c>
      <c r="E17" s="401">
        <f>+D17-C17</f>
        <v>8</v>
      </c>
      <c r="F17" s="402">
        <f>IF(C17=0,0,+E17/C17)</f>
        <v>9.3896713615023476E-3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15746</v>
      </c>
      <c r="D20" s="409">
        <v>14825</v>
      </c>
      <c r="E20" s="409">
        <f>+D20-C20</f>
        <v>-921</v>
      </c>
      <c r="F20" s="410">
        <f>IF(C20=0,0,+E20/C20)</f>
        <v>-5.8491045344849488E-2</v>
      </c>
    </row>
    <row r="21" spans="1:6" ht="15.75" customHeight="1" x14ac:dyDescent="0.25">
      <c r="A21" s="374"/>
      <c r="B21" s="399" t="s">
        <v>625</v>
      </c>
      <c r="C21" s="401">
        <f>SUM(C19:C20)</f>
        <v>15746</v>
      </c>
      <c r="D21" s="401">
        <f>SUM(D19:D20)</f>
        <v>14825</v>
      </c>
      <c r="E21" s="401">
        <f>+D21-C21</f>
        <v>-921</v>
      </c>
      <c r="F21" s="402">
        <f>IF(C21=0,0,+E21/C21)</f>
        <v>-5.8491045344849488E-2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39105825</v>
      </c>
      <c r="D15" s="448">
        <v>38229340</v>
      </c>
      <c r="E15" s="448">
        <f t="shared" ref="E15:E24" si="0">D15-C15</f>
        <v>-876485</v>
      </c>
      <c r="F15" s="449">
        <f t="shared" ref="F15:F24" si="1">IF(C15=0,0,E15/C15)</f>
        <v>-2.2413157119175981E-2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17970764</v>
      </c>
      <c r="D16" s="448">
        <v>16145227</v>
      </c>
      <c r="E16" s="448">
        <f t="shared" si="0"/>
        <v>-1825537</v>
      </c>
      <c r="F16" s="449">
        <f t="shared" si="1"/>
        <v>-0.10158371675238738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0.45954187131968194</v>
      </c>
      <c r="D17" s="453">
        <f>IF(LN_IA1=0,0,LN_IA2/LN_IA1)</f>
        <v>0.42232554891086271</v>
      </c>
      <c r="E17" s="454">
        <f t="shared" si="0"/>
        <v>-3.7216322408819225E-2</v>
      </c>
      <c r="F17" s="449">
        <f t="shared" si="1"/>
        <v>-8.098570496295332E-2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1614</v>
      </c>
      <c r="D18" s="456">
        <v>1461</v>
      </c>
      <c r="E18" s="456">
        <f t="shared" si="0"/>
        <v>-153</v>
      </c>
      <c r="F18" s="449">
        <f t="shared" si="1"/>
        <v>-9.4795539033457249E-2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1.1823999999999999</v>
      </c>
      <c r="D19" s="459">
        <v>1.1961999999999999</v>
      </c>
      <c r="E19" s="460">
        <f t="shared" si="0"/>
        <v>1.3800000000000034E-2</v>
      </c>
      <c r="F19" s="449">
        <f t="shared" si="1"/>
        <v>1.1671177266576484E-2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1908.3935999999999</v>
      </c>
      <c r="D20" s="463">
        <f>LN_IA4*LN_IA5</f>
        <v>1747.6481999999999</v>
      </c>
      <c r="E20" s="463">
        <f t="shared" si="0"/>
        <v>-160.74540000000002</v>
      </c>
      <c r="F20" s="449">
        <f t="shared" si="1"/>
        <v>-8.423073730702095E-2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9416.6968491195948</v>
      </c>
      <c r="D21" s="465">
        <f>IF(LN_IA6=0,0,LN_IA2/LN_IA6)</f>
        <v>9238.2591645160628</v>
      </c>
      <c r="E21" s="465">
        <f t="shared" si="0"/>
        <v>-178.43768460353203</v>
      </c>
      <c r="F21" s="449">
        <f t="shared" si="1"/>
        <v>-1.8949073912283253E-2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8491</v>
      </c>
      <c r="D22" s="456">
        <v>8225</v>
      </c>
      <c r="E22" s="456">
        <f t="shared" si="0"/>
        <v>-266</v>
      </c>
      <c r="F22" s="449">
        <f t="shared" si="1"/>
        <v>-3.1327287716405604E-2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2116.4484748557297</v>
      </c>
      <c r="D23" s="465">
        <f>IF(LN_IA8=0,0,LN_IA2/LN_IA8)</f>
        <v>1962.9455319148935</v>
      </c>
      <c r="E23" s="465">
        <f t="shared" si="0"/>
        <v>-153.50294294083619</v>
      </c>
      <c r="F23" s="449">
        <f t="shared" si="1"/>
        <v>-7.2528551847358305E-2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5.2608426270136306</v>
      </c>
      <c r="D24" s="466">
        <f>IF(LN_IA4=0,0,LN_IA8/LN_IA4)</f>
        <v>5.6297056810403836</v>
      </c>
      <c r="E24" s="466">
        <f t="shared" si="0"/>
        <v>0.36886305402675301</v>
      </c>
      <c r="F24" s="449">
        <f t="shared" si="1"/>
        <v>7.0114823836907245E-2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36915275</v>
      </c>
      <c r="D27" s="448">
        <v>35294487</v>
      </c>
      <c r="E27" s="448">
        <f t="shared" ref="E27:E32" si="2">D27-C27</f>
        <v>-1620788</v>
      </c>
      <c r="F27" s="449">
        <f t="shared" ref="F27:F32" si="3">IF(C27=0,0,E27/C27)</f>
        <v>-4.3905619015434667E-2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7527778</v>
      </c>
      <c r="D28" s="448">
        <v>7500871</v>
      </c>
      <c r="E28" s="448">
        <f t="shared" si="2"/>
        <v>-26907</v>
      </c>
      <c r="F28" s="449">
        <f t="shared" si="3"/>
        <v>-3.5743615181000289E-3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0.20392040964072461</v>
      </c>
      <c r="D29" s="453">
        <f>IF(LN_IA11=0,0,LN_IA12/LN_IA11)</f>
        <v>0.21252245428584923</v>
      </c>
      <c r="E29" s="454">
        <f t="shared" si="2"/>
        <v>8.6020446451246235E-3</v>
      </c>
      <c r="F29" s="449">
        <f t="shared" si="3"/>
        <v>4.218334329692678E-2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0.94398404841222505</v>
      </c>
      <c r="D30" s="453">
        <f>IF(LN_IA1=0,0,LN_IA11/LN_IA1)</f>
        <v>0.92323035134794373</v>
      </c>
      <c r="E30" s="454">
        <f t="shared" si="2"/>
        <v>-2.0753697064281318E-2</v>
      </c>
      <c r="F30" s="449">
        <f t="shared" si="3"/>
        <v>-2.1985220088399694E-2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1523.5902541373312</v>
      </c>
      <c r="D31" s="463">
        <f>LN_IA14*LN_IA4</f>
        <v>1348.8395433193457</v>
      </c>
      <c r="E31" s="463">
        <f t="shared" si="2"/>
        <v>-174.75071081798546</v>
      </c>
      <c r="F31" s="449">
        <f t="shared" si="3"/>
        <v>-0.11469665833280793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4940.8152746830792</v>
      </c>
      <c r="D32" s="465">
        <f>IF(LN_IA15=0,0,LN_IA12/LN_IA15)</f>
        <v>5560.9809462889725</v>
      </c>
      <c r="E32" s="465">
        <f t="shared" si="2"/>
        <v>620.16567160589329</v>
      </c>
      <c r="F32" s="449">
        <f t="shared" si="3"/>
        <v>0.12551889458074766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76021100</v>
      </c>
      <c r="D35" s="448">
        <f>LN_IA1+LN_IA11</f>
        <v>73523827</v>
      </c>
      <c r="E35" s="448">
        <f>D35-C35</f>
        <v>-2497273</v>
      </c>
      <c r="F35" s="449">
        <f>IF(C35=0,0,E35/C35)</f>
        <v>-3.2849735139323162E-2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25498542</v>
      </c>
      <c r="D36" s="448">
        <f>LN_IA2+LN_IA12</f>
        <v>23646098</v>
      </c>
      <c r="E36" s="448">
        <f>D36-C36</f>
        <v>-1852444</v>
      </c>
      <c r="F36" s="449">
        <f>IF(C36=0,0,E36/C36)</f>
        <v>-7.2649016559456617E-2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50522558</v>
      </c>
      <c r="D37" s="448">
        <f>LN_IA17-LN_IA18</f>
        <v>49877729</v>
      </c>
      <c r="E37" s="448">
        <f>D37-C37</f>
        <v>-644829</v>
      </c>
      <c r="F37" s="449">
        <f>IF(C37=0,0,E37/C37)</f>
        <v>-1.2763189860655907E-2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15677757</v>
      </c>
      <c r="D42" s="448">
        <v>12430476</v>
      </c>
      <c r="E42" s="448">
        <f t="shared" ref="E42:E53" si="4">D42-C42</f>
        <v>-3247281</v>
      </c>
      <c r="F42" s="449">
        <f t="shared" ref="F42:F53" si="5">IF(C42=0,0,E42/C42)</f>
        <v>-0.20712663169865433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6677553</v>
      </c>
      <c r="D43" s="448">
        <v>5086670</v>
      </c>
      <c r="E43" s="448">
        <f t="shared" si="4"/>
        <v>-1590883</v>
      </c>
      <c r="F43" s="449">
        <f t="shared" si="5"/>
        <v>-0.23824341042294983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0.42592527744880854</v>
      </c>
      <c r="D44" s="453">
        <f>IF(LN_IB1=0,0,LN_IB2/LN_IB1)</f>
        <v>0.40920959100842158</v>
      </c>
      <c r="E44" s="454">
        <f t="shared" si="4"/>
        <v>-1.6715686440386957E-2</v>
      </c>
      <c r="F44" s="449">
        <f t="shared" si="5"/>
        <v>-3.9245584437979257E-2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830</v>
      </c>
      <c r="D45" s="456">
        <v>703</v>
      </c>
      <c r="E45" s="456">
        <f t="shared" si="4"/>
        <v>-127</v>
      </c>
      <c r="F45" s="449">
        <f t="shared" si="5"/>
        <v>-0.15301204819277109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1.0066999999999999</v>
      </c>
      <c r="D46" s="459">
        <v>0.92369999999999997</v>
      </c>
      <c r="E46" s="460">
        <f t="shared" si="4"/>
        <v>-8.2999999999999963E-2</v>
      </c>
      <c r="F46" s="449">
        <f t="shared" si="5"/>
        <v>-8.2447601072812127E-2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835.56099999999992</v>
      </c>
      <c r="D47" s="463">
        <f>LN_IB4*LN_IB5</f>
        <v>649.36109999999996</v>
      </c>
      <c r="E47" s="463">
        <f t="shared" si="4"/>
        <v>-186.19989999999996</v>
      </c>
      <c r="F47" s="449">
        <f t="shared" si="5"/>
        <v>-0.22284417295685172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7991.7001870599524</v>
      </c>
      <c r="D48" s="465">
        <f>IF(LN_IB6=0,0,LN_IB2/LN_IB6)</f>
        <v>7833.3457301338194</v>
      </c>
      <c r="E48" s="465">
        <f t="shared" si="4"/>
        <v>-158.35445692613303</v>
      </c>
      <c r="F48" s="449">
        <f t="shared" si="5"/>
        <v>-1.9814864574441659E-2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1424.9966620596424</v>
      </c>
      <c r="D49" s="465">
        <f>LN_IA7-LN_IB7</f>
        <v>1404.9134343822434</v>
      </c>
      <c r="E49" s="465">
        <f t="shared" si="4"/>
        <v>-20.083227677399009</v>
      </c>
      <c r="F49" s="449">
        <f t="shared" si="5"/>
        <v>-1.4093526119823596E-2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1190671.6359472168</v>
      </c>
      <c r="D50" s="479">
        <f>LN_IB8*LN_IB6</f>
        <v>912296.13315523136</v>
      </c>
      <c r="E50" s="479">
        <f t="shared" si="4"/>
        <v>-278375.5027919854</v>
      </c>
      <c r="F50" s="449">
        <f t="shared" si="5"/>
        <v>-0.23379703890445741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2558</v>
      </c>
      <c r="D51" s="456">
        <v>2110</v>
      </c>
      <c r="E51" s="456">
        <f t="shared" si="4"/>
        <v>-448</v>
      </c>
      <c r="F51" s="449">
        <f t="shared" si="5"/>
        <v>-0.17513682564503519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2610.4585613760751</v>
      </c>
      <c r="D52" s="465">
        <f>IF(LN_IB10=0,0,LN_IB2/LN_IB10)</f>
        <v>2410.7440758293837</v>
      </c>
      <c r="E52" s="465">
        <f t="shared" si="4"/>
        <v>-199.71448554669132</v>
      </c>
      <c r="F52" s="449">
        <f t="shared" si="5"/>
        <v>-7.6505518417964838E-2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3.0819277108433734</v>
      </c>
      <c r="D53" s="466">
        <f>IF(LN_IB4=0,0,LN_IB10/LN_IB4)</f>
        <v>3.0014224751066858</v>
      </c>
      <c r="E53" s="466">
        <f t="shared" si="4"/>
        <v>-8.0505235736687553E-2</v>
      </c>
      <c r="F53" s="449">
        <f t="shared" si="5"/>
        <v>-2.6121714488448269E-2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39566420</v>
      </c>
      <c r="D56" s="448">
        <v>39811467</v>
      </c>
      <c r="E56" s="448">
        <f t="shared" ref="E56:E63" si="6">D56-C56</f>
        <v>245047</v>
      </c>
      <c r="F56" s="449">
        <f t="shared" ref="F56:F63" si="7">IF(C56=0,0,E56/C56)</f>
        <v>6.1933073550753392E-3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16477995</v>
      </c>
      <c r="D57" s="448">
        <v>16229069</v>
      </c>
      <c r="E57" s="448">
        <f t="shared" si="6"/>
        <v>-248926</v>
      </c>
      <c r="F57" s="449">
        <f t="shared" si="7"/>
        <v>-1.5106570914725972E-2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0.41646413802411236</v>
      </c>
      <c r="D58" s="453">
        <f>IF(LN_IB13=0,0,LN_IB14/LN_IB13)</f>
        <v>0.40764810299504917</v>
      </c>
      <c r="E58" s="454">
        <f t="shared" si="6"/>
        <v>-8.8160350290631961E-3</v>
      </c>
      <c r="F58" s="449">
        <f t="shared" si="7"/>
        <v>-2.1168773548883017E-2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2.52372963811086</v>
      </c>
      <c r="D59" s="453">
        <f>IF(LN_IB1=0,0,LN_IB13/LN_IB1)</f>
        <v>3.2027306918898359</v>
      </c>
      <c r="E59" s="454">
        <f t="shared" si="6"/>
        <v>0.6790010537789759</v>
      </c>
      <c r="F59" s="449">
        <f t="shared" si="7"/>
        <v>0.26904666947099876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2094.6955996320139</v>
      </c>
      <c r="D60" s="463">
        <f>LN_IB16*LN_IB4</f>
        <v>2251.5196763985546</v>
      </c>
      <c r="E60" s="463">
        <f t="shared" si="6"/>
        <v>156.82407676654066</v>
      </c>
      <c r="F60" s="449">
        <f t="shared" si="7"/>
        <v>7.486723932302658E-2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7866.5344038030034</v>
      </c>
      <c r="D61" s="465">
        <f>IF(LN_IB17=0,0,LN_IB14/LN_IB17)</f>
        <v>7208.0511532368228</v>
      </c>
      <c r="E61" s="465">
        <f t="shared" si="6"/>
        <v>-658.48325056618069</v>
      </c>
      <c r="F61" s="449">
        <f t="shared" si="7"/>
        <v>-8.3706905323879727E-2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-2925.7191291199242</v>
      </c>
      <c r="D62" s="465">
        <f>LN_IA16-LN_IB18</f>
        <v>-1647.0702069478502</v>
      </c>
      <c r="E62" s="465">
        <f t="shared" si="6"/>
        <v>1278.648922172074</v>
      </c>
      <c r="F62" s="449">
        <f t="shared" si="7"/>
        <v>-0.43703748232206419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-6128490.9855267135</v>
      </c>
      <c r="D63" s="448">
        <f>LN_IB19*LN_IB17</f>
        <v>-3708410.979352924</v>
      </c>
      <c r="E63" s="448">
        <f t="shared" si="6"/>
        <v>2420080.0061737895</v>
      </c>
      <c r="F63" s="449">
        <f t="shared" si="7"/>
        <v>-0.39489003278117663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55244177</v>
      </c>
      <c r="D66" s="448">
        <f>LN_IB1+LN_IB13</f>
        <v>52241943</v>
      </c>
      <c r="E66" s="448">
        <f>D66-C66</f>
        <v>-3002234</v>
      </c>
      <c r="F66" s="449">
        <f>IF(C66=0,0,E66/C66)</f>
        <v>-5.4344804521207726E-2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23155548</v>
      </c>
      <c r="D67" s="448">
        <f>LN_IB2+LN_IB14</f>
        <v>21315739</v>
      </c>
      <c r="E67" s="448">
        <f>D67-C67</f>
        <v>-1839809</v>
      </c>
      <c r="F67" s="449">
        <f>IF(C67=0,0,E67/C67)</f>
        <v>-7.9454349342110153E-2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32088629</v>
      </c>
      <c r="D68" s="448">
        <f>LN_IB21-LN_IB22</f>
        <v>30926204</v>
      </c>
      <c r="E68" s="448">
        <f>D68-C68</f>
        <v>-1162425</v>
      </c>
      <c r="F68" s="449">
        <f>IF(C68=0,0,E68/C68)</f>
        <v>-3.6225449208191478E-2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-4937819.3495794963</v>
      </c>
      <c r="D70" s="441">
        <f>LN_IB9+LN_IB20</f>
        <v>-2796114.8461976927</v>
      </c>
      <c r="E70" s="448">
        <f>D70-C70</f>
        <v>2141704.5033818036</v>
      </c>
      <c r="F70" s="449">
        <f>IF(C70=0,0,E70/C70)</f>
        <v>-0.43373488411725525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55244177</v>
      </c>
      <c r="D73" s="488">
        <v>52241943</v>
      </c>
      <c r="E73" s="488">
        <f>D73-C73</f>
        <v>-3002234</v>
      </c>
      <c r="F73" s="489">
        <f>IF(C73=0,0,E73/C73)</f>
        <v>-5.4344804521207726E-2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27839311</v>
      </c>
      <c r="D74" s="488">
        <v>25479835</v>
      </c>
      <c r="E74" s="488">
        <f>D74-C74</f>
        <v>-2359476</v>
      </c>
      <c r="F74" s="489">
        <f>IF(C74=0,0,E74/C74)</f>
        <v>-8.4753390628094213E-2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27404866</v>
      </c>
      <c r="D76" s="441">
        <f>LN_IB32-LN_IB33</f>
        <v>26762108</v>
      </c>
      <c r="E76" s="488">
        <f>D76-C76</f>
        <v>-642758</v>
      </c>
      <c r="F76" s="489">
        <f>IF(E76=0,0,E76/C76)</f>
        <v>-2.3454155915230528E-2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0.49606795662826147</v>
      </c>
      <c r="D77" s="453">
        <f>IF(LN_IB32=0,0,LN_IB34/LN_IB32)</f>
        <v>0.51227244744706379</v>
      </c>
      <c r="E77" s="493">
        <f>D77-C77</f>
        <v>1.620449081880232E-2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1089118</v>
      </c>
      <c r="D83" s="448">
        <v>456951</v>
      </c>
      <c r="E83" s="448">
        <f t="shared" ref="E83:E95" si="8">D83-C83</f>
        <v>-632167</v>
      </c>
      <c r="F83" s="449">
        <f t="shared" ref="F83:F95" si="9">IF(C83=0,0,E83/C83)</f>
        <v>-0.58043940142390449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224283</v>
      </c>
      <c r="D84" s="448">
        <v>36844</v>
      </c>
      <c r="E84" s="448">
        <f t="shared" si="8"/>
        <v>-187439</v>
      </c>
      <c r="F84" s="449">
        <f t="shared" si="9"/>
        <v>-0.83572540049847732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0.20593085414068998</v>
      </c>
      <c r="D85" s="453">
        <f>IF(LN_IC1=0,0,LN_IC2/LN_IC1)</f>
        <v>8.0630089440662134E-2</v>
      </c>
      <c r="E85" s="454">
        <f t="shared" si="8"/>
        <v>-0.12530076470002785</v>
      </c>
      <c r="F85" s="449">
        <f t="shared" si="9"/>
        <v>-0.60846037483253268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93</v>
      </c>
      <c r="D86" s="456">
        <v>40</v>
      </c>
      <c r="E86" s="456">
        <f t="shared" si="8"/>
        <v>-53</v>
      </c>
      <c r="F86" s="449">
        <f t="shared" si="9"/>
        <v>-0.56989247311827962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0.89090000000000003</v>
      </c>
      <c r="D87" s="459">
        <v>0.75600000000000001</v>
      </c>
      <c r="E87" s="460">
        <f t="shared" si="8"/>
        <v>-0.13490000000000002</v>
      </c>
      <c r="F87" s="449">
        <f t="shared" si="9"/>
        <v>-0.15141991244808622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82.853700000000003</v>
      </c>
      <c r="D88" s="463">
        <f>LN_IC4*LN_IC5</f>
        <v>30.240000000000002</v>
      </c>
      <c r="E88" s="463">
        <f t="shared" si="8"/>
        <v>-52.613700000000001</v>
      </c>
      <c r="F88" s="449">
        <f t="shared" si="9"/>
        <v>-0.63501931718197258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2706.9762726347767</v>
      </c>
      <c r="D89" s="465">
        <f>IF(LN_IC6=0,0,LN_IC2/LN_IC6)</f>
        <v>1218.3862433862432</v>
      </c>
      <c r="E89" s="465">
        <f t="shared" si="8"/>
        <v>-1488.5900292485335</v>
      </c>
      <c r="F89" s="449">
        <f t="shared" si="9"/>
        <v>-0.54990878357409712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5284.7239144251762</v>
      </c>
      <c r="D90" s="465">
        <f>LN_IB7-LN_IC7</f>
        <v>6614.9594867475762</v>
      </c>
      <c r="E90" s="465">
        <f t="shared" si="8"/>
        <v>1330.2355723224</v>
      </c>
      <c r="F90" s="449">
        <f t="shared" si="9"/>
        <v>0.25171335227018965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6709.7205764848186</v>
      </c>
      <c r="D91" s="465">
        <f>LN_IA7-LN_IC7</f>
        <v>8019.8729211298196</v>
      </c>
      <c r="E91" s="465">
        <f t="shared" si="8"/>
        <v>1310.152344645001</v>
      </c>
      <c r="F91" s="449">
        <f t="shared" si="9"/>
        <v>0.19526183388867466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555925.17572790023</v>
      </c>
      <c r="D92" s="441">
        <f>LN_IC9*LN_IC6</f>
        <v>242520.95713496575</v>
      </c>
      <c r="E92" s="441">
        <f t="shared" si="8"/>
        <v>-313404.21859293449</v>
      </c>
      <c r="F92" s="449">
        <f t="shared" si="9"/>
        <v>-0.56375251972098384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241</v>
      </c>
      <c r="D93" s="456">
        <v>93</v>
      </c>
      <c r="E93" s="456">
        <f t="shared" si="8"/>
        <v>-148</v>
      </c>
      <c r="F93" s="449">
        <f t="shared" si="9"/>
        <v>-0.61410788381742742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930.63485477178426</v>
      </c>
      <c r="D94" s="499">
        <f>IF(LN_IC11=0,0,LN_IC2/LN_IC11)</f>
        <v>396.1720430107527</v>
      </c>
      <c r="E94" s="499">
        <f t="shared" si="8"/>
        <v>-534.46281176103162</v>
      </c>
      <c r="F94" s="449">
        <f t="shared" si="9"/>
        <v>-0.5742991561304629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2.5913978494623655</v>
      </c>
      <c r="D95" s="466">
        <f>IF(LN_IC4=0,0,LN_IC11/LN_IC4)</f>
        <v>2.3250000000000002</v>
      </c>
      <c r="E95" s="466">
        <f t="shared" si="8"/>
        <v>-0.26639784946236533</v>
      </c>
      <c r="F95" s="449">
        <f t="shared" si="9"/>
        <v>-0.10280082987551857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2713314</v>
      </c>
      <c r="D98" s="448">
        <v>2398137</v>
      </c>
      <c r="E98" s="448">
        <f t="shared" ref="E98:E106" si="10">D98-C98</f>
        <v>-315177</v>
      </c>
      <c r="F98" s="449">
        <f t="shared" ref="F98:F106" si="11">IF(C98=0,0,E98/C98)</f>
        <v>-0.11615942718019366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426841</v>
      </c>
      <c r="D99" s="448">
        <v>242542</v>
      </c>
      <c r="E99" s="448">
        <f t="shared" si="10"/>
        <v>-184299</v>
      </c>
      <c r="F99" s="449">
        <f t="shared" si="11"/>
        <v>-0.43177436094470772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0.15731352876961532</v>
      </c>
      <c r="D100" s="453">
        <f>IF(LN_IC14=0,0,LN_IC15/LN_IC14)</f>
        <v>0.10113767478671985</v>
      </c>
      <c r="E100" s="454">
        <f t="shared" si="10"/>
        <v>-5.6175853982895471E-2</v>
      </c>
      <c r="F100" s="449">
        <f t="shared" si="11"/>
        <v>-0.35709486922237094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2.4912947908307457</v>
      </c>
      <c r="D101" s="453">
        <f>IF(LN_IC1=0,0,LN_IC14/LN_IC1)</f>
        <v>5.2481272609098131</v>
      </c>
      <c r="E101" s="454">
        <f t="shared" si="10"/>
        <v>2.7568324700790674</v>
      </c>
      <c r="F101" s="449">
        <f t="shared" si="11"/>
        <v>1.1065862138136513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231.69041554725933</v>
      </c>
      <c r="D102" s="463">
        <f>LN_IC17*LN_IC4</f>
        <v>209.92509043639251</v>
      </c>
      <c r="E102" s="463">
        <f t="shared" si="10"/>
        <v>-21.765325110866826</v>
      </c>
      <c r="F102" s="449">
        <f t="shared" si="11"/>
        <v>-9.3941413413483291E-2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1842.2902777043644</v>
      </c>
      <c r="D103" s="465">
        <f>IF(LN_IC18=0,0,LN_IC15/LN_IC18)</f>
        <v>1155.3740407866608</v>
      </c>
      <c r="E103" s="465">
        <f t="shared" si="10"/>
        <v>-686.9162369177036</v>
      </c>
      <c r="F103" s="449">
        <f t="shared" si="11"/>
        <v>-0.37285993702016068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6024.2441260986388</v>
      </c>
      <c r="D104" s="465">
        <f>LN_IB18-LN_IC19</f>
        <v>6052.677112450162</v>
      </c>
      <c r="E104" s="465">
        <f t="shared" si="10"/>
        <v>28.432986351523141</v>
      </c>
      <c r="F104" s="449">
        <f t="shared" si="11"/>
        <v>4.7197599825584474E-3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3098.5249969787146</v>
      </c>
      <c r="D105" s="465">
        <f>LN_IA16-LN_IC19</f>
        <v>4405.6069055023117</v>
      </c>
      <c r="E105" s="465">
        <f t="shared" si="10"/>
        <v>1307.0819085235971</v>
      </c>
      <c r="F105" s="449">
        <f t="shared" si="11"/>
        <v>0.42184003995388009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717898.54413356888</v>
      </c>
      <c r="D106" s="448">
        <f>LN_IC21*LN_IC18</f>
        <v>924847.42806476809</v>
      </c>
      <c r="E106" s="448">
        <f t="shared" si="10"/>
        <v>206948.88393119921</v>
      </c>
      <c r="F106" s="449">
        <f t="shared" si="11"/>
        <v>0.28827037695272895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3802432</v>
      </c>
      <c r="D109" s="448">
        <f>LN_IC1+LN_IC14</f>
        <v>2855088</v>
      </c>
      <c r="E109" s="448">
        <f>D109-C109</f>
        <v>-947344</v>
      </c>
      <c r="F109" s="449">
        <f>IF(C109=0,0,E109/C109)</f>
        <v>-0.24914160200629493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651124</v>
      </c>
      <c r="D110" s="448">
        <f>LN_IC2+LN_IC15</f>
        <v>279386</v>
      </c>
      <c r="E110" s="448">
        <f>D110-C110</f>
        <v>-371738</v>
      </c>
      <c r="F110" s="449">
        <f>IF(C110=0,0,E110/C110)</f>
        <v>-0.57091736750603572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3151308</v>
      </c>
      <c r="D111" s="448">
        <f>LN_IC23-LN_IC24</f>
        <v>2575702</v>
      </c>
      <c r="E111" s="448">
        <f>D111-C111</f>
        <v>-575606</v>
      </c>
      <c r="F111" s="449">
        <f>IF(C111=0,0,E111/C111)</f>
        <v>-0.18265621767215393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1273823.7198614692</v>
      </c>
      <c r="D113" s="448">
        <f>LN_IC10+LN_IC22</f>
        <v>1167368.3851997338</v>
      </c>
      <c r="E113" s="448">
        <f>D113-C113</f>
        <v>-106455.33466173545</v>
      </c>
      <c r="F113" s="449">
        <f>IF(C113=0,0,E113/C113)</f>
        <v>-8.3571480890081623E-2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3175671</v>
      </c>
      <c r="D118" s="448">
        <v>3849691</v>
      </c>
      <c r="E118" s="448">
        <f t="shared" ref="E118:E130" si="12">D118-C118</f>
        <v>674020</v>
      </c>
      <c r="F118" s="449">
        <f t="shared" ref="F118:F130" si="13">IF(C118=0,0,E118/C118)</f>
        <v>0.21224490824143938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819553</v>
      </c>
      <c r="D119" s="448">
        <v>993888</v>
      </c>
      <c r="E119" s="448">
        <f t="shared" si="12"/>
        <v>174335</v>
      </c>
      <c r="F119" s="449">
        <f t="shared" si="13"/>
        <v>0.21271961666908668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0.25807238848104858</v>
      </c>
      <c r="D120" s="453">
        <f>IF(LN_ID1=0,0,LN_1D2/LN_ID1)</f>
        <v>0.2581734482066223</v>
      </c>
      <c r="E120" s="454">
        <f t="shared" si="12"/>
        <v>1.0105972557372667E-4</v>
      </c>
      <c r="F120" s="449">
        <f t="shared" si="13"/>
        <v>3.9159449086568181E-4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217</v>
      </c>
      <c r="D121" s="456">
        <v>235</v>
      </c>
      <c r="E121" s="456">
        <f t="shared" si="12"/>
        <v>18</v>
      </c>
      <c r="F121" s="449">
        <f t="shared" si="13"/>
        <v>8.294930875576037E-2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0.91049999999999998</v>
      </c>
      <c r="D122" s="459">
        <v>0.93440000000000001</v>
      </c>
      <c r="E122" s="460">
        <f t="shared" si="12"/>
        <v>2.3900000000000032E-2</v>
      </c>
      <c r="F122" s="449">
        <f t="shared" si="13"/>
        <v>2.6249313563975873E-2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197.57849999999999</v>
      </c>
      <c r="D123" s="463">
        <f>LN_ID4*LN_ID5</f>
        <v>219.584</v>
      </c>
      <c r="E123" s="463">
        <f t="shared" si="12"/>
        <v>22.005500000000012</v>
      </c>
      <c r="F123" s="449">
        <f t="shared" si="13"/>
        <v>0.11137598473518127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4147.9867495704239</v>
      </c>
      <c r="D124" s="465">
        <f>IF(LN_ID6=0,0,LN_1D2/LN_ID6)</f>
        <v>4526.2314194112505</v>
      </c>
      <c r="E124" s="465">
        <f t="shared" si="12"/>
        <v>378.24466984082665</v>
      </c>
      <c r="F124" s="449">
        <f t="shared" si="13"/>
        <v>9.1187530885916801E-2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3843.7134374895286</v>
      </c>
      <c r="D125" s="465">
        <f>LN_IB7-LN_ID7</f>
        <v>3307.1143107225689</v>
      </c>
      <c r="E125" s="465">
        <f t="shared" si="12"/>
        <v>-536.59912676695967</v>
      </c>
      <c r="F125" s="449">
        <f t="shared" si="13"/>
        <v>-0.13960435279416469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5268.710099549171</v>
      </c>
      <c r="D126" s="465">
        <f>LN_IA7-LN_ID7</f>
        <v>4712.0277451048123</v>
      </c>
      <c r="E126" s="465">
        <f t="shared" si="12"/>
        <v>-556.68235444435868</v>
      </c>
      <c r="F126" s="449">
        <f t="shared" si="13"/>
        <v>-0.10565818652500779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1040983.8384037758</v>
      </c>
      <c r="D127" s="479">
        <f>LN_ID9*LN_ID6</f>
        <v>1034685.9003810951</v>
      </c>
      <c r="E127" s="479">
        <f t="shared" si="12"/>
        <v>-6297.938022680697</v>
      </c>
      <c r="F127" s="449">
        <f t="shared" si="13"/>
        <v>-6.0499863593827079E-3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615</v>
      </c>
      <c r="D128" s="456">
        <v>711</v>
      </c>
      <c r="E128" s="456">
        <f t="shared" si="12"/>
        <v>96</v>
      </c>
      <c r="F128" s="449">
        <f t="shared" si="13"/>
        <v>0.15609756097560976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1332.6065040650406</v>
      </c>
      <c r="D129" s="465">
        <f>IF(LN_ID11=0,0,LN_1D2/LN_ID11)</f>
        <v>1397.873417721519</v>
      </c>
      <c r="E129" s="465">
        <f t="shared" si="12"/>
        <v>65.266913656478437</v>
      </c>
      <c r="F129" s="449">
        <f t="shared" si="13"/>
        <v>4.8976883616720632E-2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2.8341013824884791</v>
      </c>
      <c r="D130" s="466">
        <f>IF(LN_ID4=0,0,LN_ID11/LN_ID4)</f>
        <v>3.0255319148936168</v>
      </c>
      <c r="E130" s="466">
        <f t="shared" si="12"/>
        <v>0.19143053240513774</v>
      </c>
      <c r="F130" s="449">
        <f t="shared" si="13"/>
        <v>6.7545407368967303E-2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5267908</v>
      </c>
      <c r="D133" s="448">
        <v>6879873</v>
      </c>
      <c r="E133" s="448">
        <f t="shared" ref="E133:E141" si="14">D133-C133</f>
        <v>1611965</v>
      </c>
      <c r="F133" s="449">
        <f t="shared" ref="F133:F141" si="15">IF(C133=0,0,E133/C133)</f>
        <v>0.30599718142382137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1271376</v>
      </c>
      <c r="D134" s="448">
        <v>1453468</v>
      </c>
      <c r="E134" s="448">
        <f t="shared" si="14"/>
        <v>182092</v>
      </c>
      <c r="F134" s="449">
        <f t="shared" si="15"/>
        <v>0.14322434905173606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0.24134362255377276</v>
      </c>
      <c r="D135" s="453">
        <f>IF(LN_ID14=0,0,LN_ID15/LN_ID14)</f>
        <v>0.21126378350298036</v>
      </c>
      <c r="E135" s="454">
        <f t="shared" si="14"/>
        <v>-3.0079839050792395E-2</v>
      </c>
      <c r="F135" s="449">
        <f t="shared" si="15"/>
        <v>-0.12463490326573859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1.6588330466222729</v>
      </c>
      <c r="D136" s="453">
        <f>IF(LN_ID1=0,0,LN_ID14/LN_ID1)</f>
        <v>1.7871234340626299</v>
      </c>
      <c r="E136" s="454">
        <f t="shared" si="14"/>
        <v>0.12829038744035692</v>
      </c>
      <c r="F136" s="449">
        <f t="shared" si="15"/>
        <v>7.7337733114000037E-2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359.9667711170332</v>
      </c>
      <c r="D137" s="463">
        <f>LN_ID17*LN_ID4</f>
        <v>419.97400700471803</v>
      </c>
      <c r="E137" s="463">
        <f t="shared" si="14"/>
        <v>60.007235887684828</v>
      </c>
      <c r="F137" s="449">
        <f t="shared" si="15"/>
        <v>0.16670215337230432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3531.9260054330052</v>
      </c>
      <c r="D138" s="465">
        <f>IF(LN_ID18=0,0,LN_ID15/LN_ID18)</f>
        <v>3460.8522807547743</v>
      </c>
      <c r="E138" s="465">
        <f t="shared" si="14"/>
        <v>-71.073724678230974</v>
      </c>
      <c r="F138" s="449">
        <f t="shared" si="15"/>
        <v>-2.0123220183237533E-2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4334.6083983699982</v>
      </c>
      <c r="D139" s="465">
        <f>LN_IB18-LN_ID19</f>
        <v>3747.1988724820485</v>
      </c>
      <c r="E139" s="465">
        <f t="shared" si="14"/>
        <v>-587.40952588794971</v>
      </c>
      <c r="F139" s="449">
        <f t="shared" si="15"/>
        <v>-0.13551616937503311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1408.889269250074</v>
      </c>
      <c r="D140" s="465">
        <f>LN_IA16-LN_ID19</f>
        <v>2100.1286655341983</v>
      </c>
      <c r="E140" s="465">
        <f t="shared" si="14"/>
        <v>691.23939628412427</v>
      </c>
      <c r="F140" s="449">
        <f t="shared" si="15"/>
        <v>0.49062719929157977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507153.32111338555</v>
      </c>
      <c r="D141" s="441">
        <f>LN_ID21*LN_ID18</f>
        <v>881999.45088986855</v>
      </c>
      <c r="E141" s="441">
        <f t="shared" si="14"/>
        <v>374846.12977648299</v>
      </c>
      <c r="F141" s="449">
        <f t="shared" si="15"/>
        <v>0.73911796328881318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8443579</v>
      </c>
      <c r="D144" s="448">
        <f>LN_ID1+LN_ID14</f>
        <v>10729564</v>
      </c>
      <c r="E144" s="448">
        <f>D144-C144</f>
        <v>2285985</v>
      </c>
      <c r="F144" s="449">
        <f>IF(C144=0,0,E144/C144)</f>
        <v>0.27073649692861285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2090929</v>
      </c>
      <c r="D145" s="448">
        <f>LN_1D2+LN_ID15</f>
        <v>2447356</v>
      </c>
      <c r="E145" s="448">
        <f>D145-C145</f>
        <v>356427</v>
      </c>
      <c r="F145" s="449">
        <f>IF(C145=0,0,E145/C145)</f>
        <v>0.17046346384788771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6352650</v>
      </c>
      <c r="D146" s="448">
        <f>LN_ID23-LN_ID24</f>
        <v>8282208</v>
      </c>
      <c r="E146" s="448">
        <f>D146-C146</f>
        <v>1929558</v>
      </c>
      <c r="F146" s="449">
        <f>IF(C146=0,0,E146/C146)</f>
        <v>0.30374064366839038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1548137.1595171613</v>
      </c>
      <c r="D148" s="448">
        <f>LN_ID10+LN_ID22</f>
        <v>1916685.3512709637</v>
      </c>
      <c r="E148" s="448">
        <f>D148-C148</f>
        <v>368548.19175380236</v>
      </c>
      <c r="F148" s="503">
        <f>IF(C148=0,0,E148/C148)</f>
        <v>0.23805913415885355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3350285</v>
      </c>
      <c r="D153" s="448">
        <v>3308200</v>
      </c>
      <c r="E153" s="448">
        <f t="shared" ref="E153:E165" si="16">D153-C153</f>
        <v>-42085</v>
      </c>
      <c r="F153" s="449">
        <f t="shared" ref="F153:F165" si="17">IF(C153=0,0,E153/C153)</f>
        <v>-1.256161789220917E-2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1196216</v>
      </c>
      <c r="D154" s="448">
        <v>1236898</v>
      </c>
      <c r="E154" s="448">
        <f t="shared" si="16"/>
        <v>40682</v>
      </c>
      <c r="F154" s="449">
        <f t="shared" si="17"/>
        <v>3.4008908090177696E-2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0.35704902717231518</v>
      </c>
      <c r="D155" s="453">
        <f>IF(LN_IE1=0,0,LN_IE2/LN_IE1)</f>
        <v>0.3738885194365516</v>
      </c>
      <c r="E155" s="454">
        <f t="shared" si="16"/>
        <v>1.6839492264236422E-2</v>
      </c>
      <c r="F155" s="449">
        <f t="shared" si="17"/>
        <v>4.7162969179886681E-2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208</v>
      </c>
      <c r="D156" s="506">
        <v>212</v>
      </c>
      <c r="E156" s="506">
        <f t="shared" si="16"/>
        <v>4</v>
      </c>
      <c r="F156" s="449">
        <f t="shared" si="17"/>
        <v>1.9230769230769232E-2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0.96150000000000002</v>
      </c>
      <c r="D157" s="459">
        <v>0.87749999999999995</v>
      </c>
      <c r="E157" s="460">
        <f t="shared" si="16"/>
        <v>-8.4000000000000075E-2</v>
      </c>
      <c r="F157" s="449">
        <f t="shared" si="17"/>
        <v>-8.7363494539781664E-2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199.99200000000002</v>
      </c>
      <c r="D158" s="463">
        <f>LN_IE4*LN_IE5</f>
        <v>186.03</v>
      </c>
      <c r="E158" s="463">
        <f t="shared" si="16"/>
        <v>-13.962000000000018</v>
      </c>
      <c r="F158" s="449">
        <f t="shared" si="17"/>
        <v>-6.9812792511700555E-2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5981.3192527701103</v>
      </c>
      <c r="D159" s="465">
        <f>IF(LN_IE6=0,0,LN_IE2/LN_IE6)</f>
        <v>6648.9168413696716</v>
      </c>
      <c r="E159" s="465">
        <f t="shared" si="16"/>
        <v>667.59758859956128</v>
      </c>
      <c r="F159" s="449">
        <f t="shared" si="17"/>
        <v>0.11161376953593956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2010.3809342898421</v>
      </c>
      <c r="D160" s="465">
        <f>LN_IB7-LN_IE7</f>
        <v>1184.4288887641478</v>
      </c>
      <c r="E160" s="465">
        <f t="shared" si="16"/>
        <v>-825.9520455256943</v>
      </c>
      <c r="F160" s="449">
        <f t="shared" si="17"/>
        <v>-0.41084355280033436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3435.3775963494845</v>
      </c>
      <c r="D161" s="465">
        <f>LN_IA7-LN_IE7</f>
        <v>2589.3423231463912</v>
      </c>
      <c r="E161" s="465">
        <f t="shared" si="16"/>
        <v>-846.03527320309331</v>
      </c>
      <c r="F161" s="449">
        <f t="shared" si="17"/>
        <v>-0.24627140670129272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687048.03624912619</v>
      </c>
      <c r="D162" s="479">
        <f>LN_IE9*LN_IE6</f>
        <v>481695.35237492318</v>
      </c>
      <c r="E162" s="479">
        <f t="shared" si="16"/>
        <v>-205352.68387420301</v>
      </c>
      <c r="F162" s="449">
        <f t="shared" si="17"/>
        <v>-0.29889130459539126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653</v>
      </c>
      <c r="D163" s="456">
        <v>634</v>
      </c>
      <c r="E163" s="506">
        <f t="shared" si="16"/>
        <v>-19</v>
      </c>
      <c r="F163" s="449">
        <f t="shared" si="17"/>
        <v>-2.9096477794793262E-2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1831.8774885145483</v>
      </c>
      <c r="D164" s="465">
        <f>IF(LN_IE11=0,0,LN_IE2/LN_IE11)</f>
        <v>1950.9432176656151</v>
      </c>
      <c r="E164" s="465">
        <f t="shared" si="16"/>
        <v>119.06572915106676</v>
      </c>
      <c r="F164" s="449">
        <f t="shared" si="17"/>
        <v>6.4996556755340662E-2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3.1394230769230771</v>
      </c>
      <c r="D165" s="466">
        <f>IF(LN_IE4=0,0,LN_IE11/LN_IE4)</f>
        <v>2.9905660377358489</v>
      </c>
      <c r="E165" s="466">
        <f t="shared" si="16"/>
        <v>-0.14885703918722815</v>
      </c>
      <c r="F165" s="449">
        <f t="shared" si="17"/>
        <v>-4.7415412176023665E-2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4106382</v>
      </c>
      <c r="D168" s="511">
        <v>5144701</v>
      </c>
      <c r="E168" s="511">
        <f t="shared" ref="E168:E176" si="18">D168-C168</f>
        <v>1038319</v>
      </c>
      <c r="F168" s="449">
        <f t="shared" ref="F168:F176" si="19">IF(C168=0,0,E168/C168)</f>
        <v>0.25285494627630845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565931</v>
      </c>
      <c r="D169" s="511">
        <v>621811</v>
      </c>
      <c r="E169" s="511">
        <f t="shared" si="18"/>
        <v>55880</v>
      </c>
      <c r="F169" s="449">
        <f t="shared" si="19"/>
        <v>9.873995239702367E-2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0.13781742663006025</v>
      </c>
      <c r="D170" s="453">
        <f>IF(LN_IE14=0,0,LN_IE15/LN_IE14)</f>
        <v>0.120864361213606</v>
      </c>
      <c r="E170" s="454">
        <f t="shared" si="18"/>
        <v>-1.6953065416454249E-2</v>
      </c>
      <c r="F170" s="449">
        <f t="shared" si="19"/>
        <v>-0.12301104316771873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1.2256813972542635</v>
      </c>
      <c r="D171" s="453">
        <f>IF(LN_IE1=0,0,LN_IE14/LN_IE1)</f>
        <v>1.5551360256332749</v>
      </c>
      <c r="E171" s="454">
        <f t="shared" si="18"/>
        <v>0.3294546283790114</v>
      </c>
      <c r="F171" s="449">
        <f t="shared" si="19"/>
        <v>0.26879303962436424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254.9417306288868</v>
      </c>
      <c r="D172" s="463">
        <f>LN_IE17*LN_IE4</f>
        <v>329.68883743425425</v>
      </c>
      <c r="E172" s="463">
        <f t="shared" si="18"/>
        <v>74.747106805367451</v>
      </c>
      <c r="F172" s="449">
        <f t="shared" si="19"/>
        <v>0.29319290577098656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2219.8445056600544</v>
      </c>
      <c r="D173" s="465">
        <f>IF(LN_IE18=0,0,LN_IE15/LN_IE18)</f>
        <v>1886.0541498436387</v>
      </c>
      <c r="E173" s="465">
        <f t="shared" si="18"/>
        <v>-333.79035581641574</v>
      </c>
      <c r="F173" s="449">
        <f t="shared" si="19"/>
        <v>-0.1503665481817906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5646.6898981429495</v>
      </c>
      <c r="D174" s="465">
        <f>LN_IB18-LN_IE19</f>
        <v>5321.9970033931841</v>
      </c>
      <c r="E174" s="465">
        <f t="shared" si="18"/>
        <v>-324.6928947497654</v>
      </c>
      <c r="F174" s="449">
        <f t="shared" si="19"/>
        <v>-5.7501456712993664E-2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2720.9707690230248</v>
      </c>
      <c r="D175" s="465">
        <f>LN_IA16-LN_IE19</f>
        <v>3674.9267964453338</v>
      </c>
      <c r="E175" s="465">
        <f t="shared" si="18"/>
        <v>953.95602742230903</v>
      </c>
      <c r="F175" s="449">
        <f t="shared" si="19"/>
        <v>0.35059400059811396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693688.99684534292</v>
      </c>
      <c r="D176" s="441">
        <f>LN_IE21*LN_IE18</f>
        <v>1211582.3431760503</v>
      </c>
      <c r="E176" s="441">
        <f t="shared" si="18"/>
        <v>517893.34633070743</v>
      </c>
      <c r="F176" s="449">
        <f t="shared" si="19"/>
        <v>0.74657858015033662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7456667</v>
      </c>
      <c r="D179" s="448">
        <f>LN_IE1+LN_IE14</f>
        <v>8452901</v>
      </c>
      <c r="E179" s="448">
        <f>D179-C179</f>
        <v>996234</v>
      </c>
      <c r="F179" s="449">
        <f>IF(C179=0,0,E179/C179)</f>
        <v>0.13360312321845672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1762147</v>
      </c>
      <c r="D180" s="448">
        <f>LN_IE15+LN_IE2</f>
        <v>1858709</v>
      </c>
      <c r="E180" s="448">
        <f>D180-C180</f>
        <v>96562</v>
      </c>
      <c r="F180" s="449">
        <f>IF(C180=0,0,E180/C180)</f>
        <v>5.4797925485217745E-2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5694520</v>
      </c>
      <c r="D181" s="448">
        <f>LN_IE23-LN_IE24</f>
        <v>6594192</v>
      </c>
      <c r="E181" s="448">
        <f>D181-C181</f>
        <v>899672</v>
      </c>
      <c r="F181" s="449">
        <f>IF(C181=0,0,E181/C181)</f>
        <v>0.15798908424239444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1380737.033094469</v>
      </c>
      <c r="D183" s="448">
        <f>LN_IE10+LN_IE22</f>
        <v>1693277.6955509735</v>
      </c>
      <c r="E183" s="441">
        <f>D183-C183</f>
        <v>312540.66245650453</v>
      </c>
      <c r="F183" s="449">
        <f>IF(C183=0,0,E183/C183)</f>
        <v>0.22635784726947403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6525956</v>
      </c>
      <c r="D188" s="448">
        <f>LN_ID1+LN_IE1</f>
        <v>7157891</v>
      </c>
      <c r="E188" s="448">
        <f t="shared" ref="E188:E200" si="20">D188-C188</f>
        <v>631935</v>
      </c>
      <c r="F188" s="449">
        <f t="shared" ref="F188:F200" si="21">IF(C188=0,0,E188/C188)</f>
        <v>9.6834088369581406E-2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2015769</v>
      </c>
      <c r="D189" s="448">
        <f>LN_1D2+LN_IE2</f>
        <v>2230786</v>
      </c>
      <c r="E189" s="448">
        <f t="shared" si="20"/>
        <v>215017</v>
      </c>
      <c r="F189" s="449">
        <f t="shared" si="21"/>
        <v>0.10666748025195347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0.30888485916852643</v>
      </c>
      <c r="D190" s="453">
        <f>IF(LN_IF1=0,0,LN_IF2/LN_IF1)</f>
        <v>0.31165408917235538</v>
      </c>
      <c r="E190" s="454">
        <f t="shared" si="20"/>
        <v>2.7692300038289486E-3</v>
      </c>
      <c r="F190" s="449">
        <f t="shared" si="21"/>
        <v>8.9652500652939639E-3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425</v>
      </c>
      <c r="D191" s="456">
        <f>LN_ID4+LN_IE4</f>
        <v>447</v>
      </c>
      <c r="E191" s="456">
        <f t="shared" si="20"/>
        <v>22</v>
      </c>
      <c r="F191" s="449">
        <f t="shared" si="21"/>
        <v>5.1764705882352942E-2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0.93546000000000007</v>
      </c>
      <c r="D192" s="459">
        <f>IF((LN_ID4+LN_IE4)=0,0,(LN_ID6+LN_IE6)/(LN_ID4+LN_IE4))</f>
        <v>0.90741387024608511</v>
      </c>
      <c r="E192" s="460">
        <f t="shared" si="20"/>
        <v>-2.8046129753914961E-2</v>
      </c>
      <c r="F192" s="449">
        <f t="shared" si="21"/>
        <v>-2.9981110634249415E-2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397.57050000000004</v>
      </c>
      <c r="D193" s="463">
        <f>LN_IF4*LN_IF5</f>
        <v>405.61400000000003</v>
      </c>
      <c r="E193" s="463">
        <f t="shared" si="20"/>
        <v>8.0434999999999945</v>
      </c>
      <c r="F193" s="449">
        <f t="shared" si="21"/>
        <v>2.0231631874095272E-2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5070.2177349677595</v>
      </c>
      <c r="D194" s="465">
        <f>IF(LN_IF6=0,0,LN_IF2/LN_IF6)</f>
        <v>5499.7756487695196</v>
      </c>
      <c r="E194" s="465">
        <f t="shared" si="20"/>
        <v>429.55791380176015</v>
      </c>
      <c r="F194" s="449">
        <f t="shared" si="21"/>
        <v>8.4721788344360255E-2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2921.4824520921929</v>
      </c>
      <c r="D195" s="465">
        <f>LN_IB7-LN_IF7</f>
        <v>2333.5700813642998</v>
      </c>
      <c r="E195" s="465">
        <f t="shared" si="20"/>
        <v>-587.91237072789318</v>
      </c>
      <c r="F195" s="449">
        <f t="shared" si="21"/>
        <v>-0.20123768681439969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4346.4791141518353</v>
      </c>
      <c r="D196" s="465">
        <f>LN_IA7-LN_IF7</f>
        <v>3738.4835157465432</v>
      </c>
      <c r="E196" s="465">
        <f t="shared" si="20"/>
        <v>-607.99559840529218</v>
      </c>
      <c r="F196" s="449">
        <f t="shared" si="21"/>
        <v>-0.13988232370096995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1728031.8746529021</v>
      </c>
      <c r="D197" s="479">
        <f>LN_IF9*LN_IF6</f>
        <v>1516381.2527560184</v>
      </c>
      <c r="E197" s="479">
        <f t="shared" si="20"/>
        <v>-211650.62189688371</v>
      </c>
      <c r="F197" s="449">
        <f t="shared" si="21"/>
        <v>-0.12248073950568562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1268</v>
      </c>
      <c r="D198" s="456">
        <f>LN_ID11+LN_IE11</f>
        <v>1345</v>
      </c>
      <c r="E198" s="456">
        <f t="shared" si="20"/>
        <v>77</v>
      </c>
      <c r="F198" s="449">
        <f t="shared" si="21"/>
        <v>6.0725552050473183E-2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1589.7231861198738</v>
      </c>
      <c r="D199" s="519">
        <f>IF(LN_IF11=0,0,LN_IF2/LN_IF11)</f>
        <v>1658.5769516728624</v>
      </c>
      <c r="E199" s="519">
        <f t="shared" si="20"/>
        <v>68.853765552988534</v>
      </c>
      <c r="F199" s="449">
        <f t="shared" si="21"/>
        <v>4.3311795508904773E-2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2.9835294117647058</v>
      </c>
      <c r="D200" s="466">
        <f>IF(LN_IF4=0,0,LN_IF11/LN_IF4)</f>
        <v>3.0089485458612977</v>
      </c>
      <c r="E200" s="466">
        <f t="shared" si="20"/>
        <v>2.5419134096591911E-2</v>
      </c>
      <c r="F200" s="449">
        <f t="shared" si="21"/>
        <v>8.5198201822173202E-3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9374290</v>
      </c>
      <c r="D203" s="448">
        <f>LN_ID14+LN_IE14</f>
        <v>12024574</v>
      </c>
      <c r="E203" s="448">
        <f t="shared" ref="E203:E211" si="22">D203-C203</f>
        <v>2650284</v>
      </c>
      <c r="F203" s="449">
        <f t="shared" ref="F203:F211" si="23">IF(C203=0,0,E203/C203)</f>
        <v>0.28271837120464588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1837307</v>
      </c>
      <c r="D204" s="448">
        <f>LN_ID15+LN_IE15</f>
        <v>2075279</v>
      </c>
      <c r="E204" s="448">
        <f t="shared" si="22"/>
        <v>237972</v>
      </c>
      <c r="F204" s="449">
        <f t="shared" si="23"/>
        <v>0.12952217566253219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0.19599425663170225</v>
      </c>
      <c r="D205" s="453">
        <f>IF(LN_IF14=0,0,LN_IF15/LN_IF14)</f>
        <v>0.17258648830303677</v>
      </c>
      <c r="E205" s="454">
        <f t="shared" si="22"/>
        <v>-2.3407768328665479E-2</v>
      </c>
      <c r="F205" s="449">
        <f t="shared" si="23"/>
        <v>-0.11943088910330472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1.4364623359397459</v>
      </c>
      <c r="D206" s="453">
        <f>IF(LN_IF1=0,0,LN_IF14/LN_IF1)</f>
        <v>1.6799045975972531</v>
      </c>
      <c r="E206" s="454">
        <f t="shared" si="22"/>
        <v>0.24344226165750715</v>
      </c>
      <c r="F206" s="449">
        <f t="shared" si="23"/>
        <v>0.16947347352358191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614.90850174592003</v>
      </c>
      <c r="D207" s="463">
        <f>LN_ID18+LN_IE18</f>
        <v>749.66284443897234</v>
      </c>
      <c r="E207" s="463">
        <f t="shared" si="22"/>
        <v>134.75434269305231</v>
      </c>
      <c r="F207" s="449">
        <f t="shared" si="23"/>
        <v>0.21914535627730311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2987.9355949434807</v>
      </c>
      <c r="D208" s="465">
        <f>IF(LN_IF18=0,0,LN_IF15/LN_IF18)</f>
        <v>2768.2831227324377</v>
      </c>
      <c r="E208" s="465">
        <f t="shared" si="22"/>
        <v>-219.652472211043</v>
      </c>
      <c r="F208" s="449">
        <f t="shared" si="23"/>
        <v>-7.3513121428307737E-2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4878.5988088595223</v>
      </c>
      <c r="D209" s="465">
        <f>LN_IB18-LN_IF19</f>
        <v>4439.768030504385</v>
      </c>
      <c r="E209" s="465">
        <f t="shared" si="22"/>
        <v>-438.83077835513723</v>
      </c>
      <c r="F209" s="449">
        <f t="shared" si="23"/>
        <v>-8.9950167158287686E-2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1952.8796797395985</v>
      </c>
      <c r="D210" s="465">
        <f>LN_IA16-LN_IF19</f>
        <v>2792.6978235565348</v>
      </c>
      <c r="E210" s="465">
        <f t="shared" si="22"/>
        <v>839.8181438169363</v>
      </c>
      <c r="F210" s="449">
        <f t="shared" si="23"/>
        <v>0.43004090448056664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1200842.3179587284</v>
      </c>
      <c r="D211" s="441">
        <f>LN_IF21*LN_IF18</f>
        <v>2093581.7940659192</v>
      </c>
      <c r="E211" s="441">
        <f t="shared" si="22"/>
        <v>892739.47610719083</v>
      </c>
      <c r="F211" s="449">
        <f t="shared" si="23"/>
        <v>0.74342772798407764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15900246</v>
      </c>
      <c r="D214" s="448">
        <f>LN_IF1+LN_IF14</f>
        <v>19182465</v>
      </c>
      <c r="E214" s="448">
        <f>D214-C214</f>
        <v>3282219</v>
      </c>
      <c r="F214" s="449">
        <f>IF(C214=0,0,E214/C214)</f>
        <v>0.20642567416881474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3853076</v>
      </c>
      <c r="D215" s="448">
        <f>LN_IF2+LN_IF15</f>
        <v>4306065</v>
      </c>
      <c r="E215" s="448">
        <f>D215-C215</f>
        <v>452989</v>
      </c>
      <c r="F215" s="449">
        <f>IF(C215=0,0,E215/C215)</f>
        <v>0.11756555022532647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12047170</v>
      </c>
      <c r="D216" s="448">
        <f>LN_IF23-LN_IF24</f>
        <v>14876400</v>
      </c>
      <c r="E216" s="448">
        <f>D216-C216</f>
        <v>2829230</v>
      </c>
      <c r="F216" s="449">
        <f>IF(C216=0,0,E216/C216)</f>
        <v>0.23484602607915386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85024</v>
      </c>
      <c r="D221" s="448">
        <v>38140</v>
      </c>
      <c r="E221" s="448">
        <f t="shared" ref="E221:E230" si="24">D221-C221</f>
        <v>-46884</v>
      </c>
      <c r="F221" s="449">
        <f t="shared" ref="F221:F230" si="25">IF(C221=0,0,E221/C221)</f>
        <v>-0.5514207753105006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77524</v>
      </c>
      <c r="D222" s="448">
        <v>24273</v>
      </c>
      <c r="E222" s="448">
        <f t="shared" si="24"/>
        <v>-53251</v>
      </c>
      <c r="F222" s="449">
        <f t="shared" si="25"/>
        <v>-0.68689696094112795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0.91178961234474976</v>
      </c>
      <c r="D223" s="453">
        <f>IF(LN_IG1=0,0,LN_IG2/LN_IG1)</f>
        <v>0.63641845831148403</v>
      </c>
      <c r="E223" s="454">
        <f t="shared" si="24"/>
        <v>-0.27537115403326573</v>
      </c>
      <c r="F223" s="449">
        <f t="shared" si="25"/>
        <v>-0.30201172540793025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9</v>
      </c>
      <c r="D224" s="456">
        <v>5</v>
      </c>
      <c r="E224" s="456">
        <f t="shared" si="24"/>
        <v>-4</v>
      </c>
      <c r="F224" s="449">
        <f t="shared" si="25"/>
        <v>-0.44444444444444442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1.0219</v>
      </c>
      <c r="D225" s="459">
        <v>0.68859999999999999</v>
      </c>
      <c r="E225" s="460">
        <f t="shared" si="24"/>
        <v>-0.33330000000000004</v>
      </c>
      <c r="F225" s="449">
        <f t="shared" si="25"/>
        <v>-0.32615715823466096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9.1971000000000007</v>
      </c>
      <c r="D226" s="463">
        <f>LN_IG3*LN_IG4</f>
        <v>3.4430000000000001</v>
      </c>
      <c r="E226" s="463">
        <f t="shared" si="24"/>
        <v>-5.7541000000000011</v>
      </c>
      <c r="F226" s="449">
        <f t="shared" si="25"/>
        <v>-0.62564286568592276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8429.1787628709044</v>
      </c>
      <c r="D227" s="465">
        <f>IF(LN_IG5=0,0,LN_IG2/LN_IG5)</f>
        <v>7049.9564333430144</v>
      </c>
      <c r="E227" s="465">
        <f t="shared" si="24"/>
        <v>-1379.22232952789</v>
      </c>
      <c r="F227" s="449">
        <f t="shared" si="25"/>
        <v>-0.16362475732548576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21</v>
      </c>
      <c r="D228" s="456">
        <v>10</v>
      </c>
      <c r="E228" s="456">
        <f t="shared" si="24"/>
        <v>-11</v>
      </c>
      <c r="F228" s="449">
        <f t="shared" si="25"/>
        <v>-0.52380952380952384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3691.6190476190477</v>
      </c>
      <c r="D229" s="465">
        <f>IF(LN_IG6=0,0,LN_IG2/LN_IG6)</f>
        <v>2427.3000000000002</v>
      </c>
      <c r="E229" s="465">
        <f t="shared" si="24"/>
        <v>-1264.3190476190475</v>
      </c>
      <c r="F229" s="449">
        <f t="shared" si="25"/>
        <v>-0.34248361797636856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2.3333333333333335</v>
      </c>
      <c r="D230" s="466">
        <f>IF(LN_IG3=0,0,LN_IG6/LN_IG3)</f>
        <v>2</v>
      </c>
      <c r="E230" s="466">
        <f t="shared" si="24"/>
        <v>-0.33333333333333348</v>
      </c>
      <c r="F230" s="449">
        <f t="shared" si="25"/>
        <v>-0.1428571428571429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190495</v>
      </c>
      <c r="D233" s="448">
        <v>185972</v>
      </c>
      <c r="E233" s="448">
        <f>D233-C233</f>
        <v>-4523</v>
      </c>
      <c r="F233" s="449">
        <f>IF(C233=0,0,E233/C233)</f>
        <v>-2.3743405338722802E-2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41971</v>
      </c>
      <c r="D234" s="448">
        <v>40711</v>
      </c>
      <c r="E234" s="448">
        <f>D234-C234</f>
        <v>-1260</v>
      </c>
      <c r="F234" s="449">
        <f>IF(C234=0,0,E234/C234)</f>
        <v>-3.0020728598317885E-2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275519</v>
      </c>
      <c r="D237" s="448">
        <f>LN_IG1+LN_IG9</f>
        <v>224112</v>
      </c>
      <c r="E237" s="448">
        <f>D237-C237</f>
        <v>-51407</v>
      </c>
      <c r="F237" s="449">
        <f>IF(C237=0,0,E237/C237)</f>
        <v>-0.18658241355405616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119495</v>
      </c>
      <c r="D238" s="448">
        <f>LN_IG2+LN_IG10</f>
        <v>64984</v>
      </c>
      <c r="E238" s="448">
        <f>D238-C238</f>
        <v>-54511</v>
      </c>
      <c r="F238" s="449">
        <f>IF(C238=0,0,E238/C238)</f>
        <v>-0.45617808276496924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156024</v>
      </c>
      <c r="D239" s="448">
        <f>LN_IG13-LN_IG14</f>
        <v>159128</v>
      </c>
      <c r="E239" s="448">
        <f>D239-C239</f>
        <v>3104</v>
      </c>
      <c r="F239" s="449">
        <f>IF(C239=0,0,E239/C239)</f>
        <v>1.9894375224324464E-2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429185</v>
      </c>
      <c r="D243" s="448">
        <v>1092483</v>
      </c>
      <c r="E243" s="441">
        <f>D243-C243</f>
        <v>663298</v>
      </c>
      <c r="F243" s="503">
        <f>IF(C243=0,0,E243/C243)</f>
        <v>1.5454827172431469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49401485</v>
      </c>
      <c r="D244" s="448">
        <v>48236048</v>
      </c>
      <c r="E244" s="441">
        <f>D244-C244</f>
        <v>-1165437</v>
      </c>
      <c r="F244" s="503">
        <f>IF(C244=0,0,E244/C244)</f>
        <v>-2.3591132938615103E-2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941923</v>
      </c>
      <c r="D248" s="441">
        <v>892961</v>
      </c>
      <c r="E248" s="441">
        <f>D248-C248</f>
        <v>-48962</v>
      </c>
      <c r="F248" s="449">
        <f>IF(C248=0,0,E248/C248)</f>
        <v>-5.1980894404319675E-2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2293507</v>
      </c>
      <c r="D249" s="441">
        <v>2270701</v>
      </c>
      <c r="E249" s="441">
        <f>D249-C249</f>
        <v>-22806</v>
      </c>
      <c r="F249" s="449">
        <f>IF(C249=0,0,E249/C249)</f>
        <v>-9.9437237383622548E-3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3235430</v>
      </c>
      <c r="D250" s="441">
        <f>LN_IH4+LN_IH5</f>
        <v>3163662</v>
      </c>
      <c r="E250" s="441">
        <f>D250-C250</f>
        <v>-71768</v>
      </c>
      <c r="F250" s="449">
        <f>IF(C250=0,0,E250/C250)</f>
        <v>-2.2181904723637971E-2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1154833.1966834581</v>
      </c>
      <c r="D251" s="441">
        <f>LN_IH6*LN_III10</f>
        <v>1075084.7528044167</v>
      </c>
      <c r="E251" s="441">
        <f>D251-C251</f>
        <v>-79748.443879041355</v>
      </c>
      <c r="F251" s="449">
        <f>IF(C251=0,0,E251/C251)</f>
        <v>-6.9056244752981888E-2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15900246</v>
      </c>
      <c r="D254" s="441">
        <f>LN_IF23</f>
        <v>19182465</v>
      </c>
      <c r="E254" s="441">
        <f>D254-C254</f>
        <v>3282219</v>
      </c>
      <c r="F254" s="449">
        <f>IF(C254=0,0,E254/C254)</f>
        <v>0.20642567416881474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3853076</v>
      </c>
      <c r="D255" s="441">
        <f>LN_IF24</f>
        <v>4306065</v>
      </c>
      <c r="E255" s="441">
        <f>D255-C255</f>
        <v>452989</v>
      </c>
      <c r="F255" s="449">
        <f>IF(C255=0,0,E255/C255)</f>
        <v>0.11756555022532647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5675329.6829890832</v>
      </c>
      <c r="D256" s="441">
        <f>LN_IH8*LN_III10</f>
        <v>6518640.6268129703</v>
      </c>
      <c r="E256" s="441">
        <f>D256-C256</f>
        <v>843310.94382388704</v>
      </c>
      <c r="F256" s="449">
        <f>IF(C256=0,0,E256/C256)</f>
        <v>0.14859241505415627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1822253.6829890832</v>
      </c>
      <c r="D257" s="441">
        <f>LN_IH10-LN_IH9</f>
        <v>2212575.6268129703</v>
      </c>
      <c r="E257" s="441">
        <f>D257-C257</f>
        <v>390321.94382388704</v>
      </c>
      <c r="F257" s="449">
        <f>IF(C257=0,0,E257/C257)</f>
        <v>0.21419736860327443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61394562</v>
      </c>
      <c r="D261" s="448">
        <f>LN_IA1+LN_IB1+LN_IF1+LN_IG1</f>
        <v>57855847</v>
      </c>
      <c r="E261" s="448">
        <f t="shared" ref="E261:E274" si="26">D261-C261</f>
        <v>-3538715</v>
      </c>
      <c r="F261" s="503">
        <f t="shared" ref="F261:F274" si="27">IF(C261=0,0,E261/C261)</f>
        <v>-5.7638899679746877E-2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26741610</v>
      </c>
      <c r="D262" s="448">
        <f>+LN_IA2+LN_IB2+LN_IF2+LN_IG2</f>
        <v>23486956</v>
      </c>
      <c r="E262" s="448">
        <f t="shared" si="26"/>
        <v>-3254654</v>
      </c>
      <c r="F262" s="503">
        <f t="shared" si="27"/>
        <v>-0.12170748133713714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0.43556968449420652</v>
      </c>
      <c r="D263" s="453">
        <f>IF(LN_IIA1=0,0,LN_IIA2/LN_IIA1)</f>
        <v>0.40595648007711305</v>
      </c>
      <c r="E263" s="454">
        <f t="shared" si="26"/>
        <v>-2.9613204417093475E-2</v>
      </c>
      <c r="F263" s="458">
        <f t="shared" si="27"/>
        <v>-6.7987294504852885E-2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2878</v>
      </c>
      <c r="D264" s="456">
        <f>LN_IA4+LN_IB4+LN_IF4+LN_IG3</f>
        <v>2616</v>
      </c>
      <c r="E264" s="456">
        <f t="shared" si="26"/>
        <v>-262</v>
      </c>
      <c r="F264" s="503">
        <f t="shared" si="27"/>
        <v>-9.1035441278665738E-2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1.0947610145934676</v>
      </c>
      <c r="D265" s="525">
        <f>IF(LN_IIA4=0,0,LN_IIA6/LN_IIA4)</f>
        <v>1.0726553134556576</v>
      </c>
      <c r="E265" s="525">
        <f t="shared" si="26"/>
        <v>-2.2105701137810074E-2</v>
      </c>
      <c r="F265" s="503">
        <f t="shared" si="27"/>
        <v>-2.0192261912083963E-2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3150.7221999999997</v>
      </c>
      <c r="D266" s="463">
        <f>LN_IA6+LN_IB6+LN_IF6+LN_IG5</f>
        <v>2806.0663</v>
      </c>
      <c r="E266" s="463">
        <f t="shared" si="26"/>
        <v>-344.65589999999975</v>
      </c>
      <c r="F266" s="503">
        <f t="shared" si="27"/>
        <v>-0.10938949171716877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86046480</v>
      </c>
      <c r="D267" s="448">
        <f>LN_IA11+LN_IB13+LN_IF14+LN_IG9</f>
        <v>87316500</v>
      </c>
      <c r="E267" s="448">
        <f t="shared" si="26"/>
        <v>1270020</v>
      </c>
      <c r="F267" s="503">
        <f t="shared" si="27"/>
        <v>1.4759697317077932E-2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1.4015325982780038</v>
      </c>
      <c r="D268" s="453">
        <f>IF(LN_IIA1=0,0,LN_IIA7/LN_IIA1)</f>
        <v>1.5092078766040709</v>
      </c>
      <c r="E268" s="454">
        <f t="shared" si="26"/>
        <v>0.10767527832606705</v>
      </c>
      <c r="F268" s="458">
        <f t="shared" si="27"/>
        <v>7.6826809778354446E-2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25885051</v>
      </c>
      <c r="D269" s="448">
        <f>LN_IA12+LN_IB14+LN_IF15+LN_IG10</f>
        <v>25845930</v>
      </c>
      <c r="E269" s="448">
        <f t="shared" si="26"/>
        <v>-39121</v>
      </c>
      <c r="F269" s="503">
        <f t="shared" si="27"/>
        <v>-1.5113356353827544E-3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0.30082637895239878</v>
      </c>
      <c r="D270" s="453">
        <f>IF(LN_IIA7=0,0,LN_IIA9/LN_IIA7)</f>
        <v>0.29600281733692946</v>
      </c>
      <c r="E270" s="454">
        <f t="shared" si="26"/>
        <v>-4.8235616154693184E-3</v>
      </c>
      <c r="F270" s="458">
        <f t="shared" si="27"/>
        <v>-1.603437049725142E-2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147441042</v>
      </c>
      <c r="D271" s="441">
        <f>LN_IIA1+LN_IIA7</f>
        <v>145172347</v>
      </c>
      <c r="E271" s="441">
        <f t="shared" si="26"/>
        <v>-2268695</v>
      </c>
      <c r="F271" s="503">
        <f t="shared" si="27"/>
        <v>-1.538713352283552E-2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52626661</v>
      </c>
      <c r="D272" s="441">
        <f>LN_IIA2+LN_IIA9</f>
        <v>49332886</v>
      </c>
      <c r="E272" s="441">
        <f t="shared" si="26"/>
        <v>-3293775</v>
      </c>
      <c r="F272" s="503">
        <f t="shared" si="27"/>
        <v>-6.2587573245431627E-2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0.35693359383610435</v>
      </c>
      <c r="D273" s="453">
        <f>IF(LN_IIA11=0,0,LN_IIA12/LN_IIA11)</f>
        <v>0.33982288651708581</v>
      </c>
      <c r="E273" s="454">
        <f t="shared" si="26"/>
        <v>-1.7110707319018537E-2</v>
      </c>
      <c r="F273" s="458">
        <f t="shared" si="27"/>
        <v>-4.7938069194112837E-2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12338</v>
      </c>
      <c r="D274" s="508">
        <f>LN_IA8+LN_IB10+LN_IF11+LN_IG6</f>
        <v>11690</v>
      </c>
      <c r="E274" s="528">
        <f t="shared" si="26"/>
        <v>-648</v>
      </c>
      <c r="F274" s="458">
        <f t="shared" si="27"/>
        <v>-5.2520667855406065E-2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45716805</v>
      </c>
      <c r="D277" s="448">
        <f>LN_IA1+LN_IF1+LN_IG1</f>
        <v>45425371</v>
      </c>
      <c r="E277" s="448">
        <f t="shared" ref="E277:E291" si="28">D277-C277</f>
        <v>-291434</v>
      </c>
      <c r="F277" s="503">
        <f t="shared" ref="F277:F291" si="29">IF(C277=0,0,E277/C277)</f>
        <v>-6.3747674405505812E-3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20064057</v>
      </c>
      <c r="D278" s="448">
        <f>LN_IA2+LN_IF2+LN_IG2</f>
        <v>18400286</v>
      </c>
      <c r="E278" s="448">
        <f t="shared" si="28"/>
        <v>-1663771</v>
      </c>
      <c r="F278" s="503">
        <f t="shared" si="29"/>
        <v>-8.2922960196933251E-2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0.43887706063448662</v>
      </c>
      <c r="D279" s="453">
        <f>IF(D277=0,0,LN_IIB2/D277)</f>
        <v>0.40506627893033609</v>
      </c>
      <c r="E279" s="454">
        <f t="shared" si="28"/>
        <v>-3.3810781704150528E-2</v>
      </c>
      <c r="F279" s="458">
        <f t="shared" si="29"/>
        <v>-7.7039300380088493E-2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2048</v>
      </c>
      <c r="D280" s="456">
        <f>LN_IA4+LN_IF4+LN_IG3</f>
        <v>1913</v>
      </c>
      <c r="E280" s="456">
        <f t="shared" si="28"/>
        <v>-135</v>
      </c>
      <c r="F280" s="503">
        <f t="shared" si="29"/>
        <v>-6.591796875E-2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1.1304498046875</v>
      </c>
      <c r="D281" s="525">
        <f>IF(LN_IIB4=0,0,LN_IIB6/LN_IIB4)</f>
        <v>1.1273942498693155</v>
      </c>
      <c r="E281" s="525">
        <f t="shared" si="28"/>
        <v>-3.055554818184536E-3</v>
      </c>
      <c r="F281" s="503">
        <f t="shared" si="29"/>
        <v>-2.7029548817775321E-3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2315.1612</v>
      </c>
      <c r="D282" s="463">
        <f>LN_IA6+LN_IF6+LN_IG5</f>
        <v>2156.7052000000003</v>
      </c>
      <c r="E282" s="463">
        <f t="shared" si="28"/>
        <v>-158.45599999999968</v>
      </c>
      <c r="F282" s="503">
        <f t="shared" si="29"/>
        <v>-6.8442750336347932E-2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46480060</v>
      </c>
      <c r="D283" s="448">
        <f>LN_IA11+LN_IF14+LN_IG9</f>
        <v>47505033</v>
      </c>
      <c r="E283" s="448">
        <f t="shared" si="28"/>
        <v>1024973</v>
      </c>
      <c r="F283" s="503">
        <f t="shared" si="29"/>
        <v>2.2051886335774953E-2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1.0166952830583853</v>
      </c>
      <c r="D284" s="453">
        <f>IF(D277=0,0,LN_IIB7/D277)</f>
        <v>1.0457819485943218</v>
      </c>
      <c r="E284" s="454">
        <f t="shared" si="28"/>
        <v>2.9086665535936529E-2</v>
      </c>
      <c r="F284" s="458">
        <f t="shared" si="29"/>
        <v>2.8609029687281615E-2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9407056</v>
      </c>
      <c r="D285" s="448">
        <f>LN_IA12+LN_IF15+LN_IG10</f>
        <v>9616861</v>
      </c>
      <c r="E285" s="448">
        <f t="shared" si="28"/>
        <v>209805</v>
      </c>
      <c r="F285" s="503">
        <f t="shared" si="29"/>
        <v>2.2302939410587117E-2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0.20238906748399205</v>
      </c>
      <c r="D286" s="453">
        <f>IF(LN_IIB7=0,0,LN_IIB9/LN_IIB7)</f>
        <v>0.20243878159183681</v>
      </c>
      <c r="E286" s="454">
        <f t="shared" si="28"/>
        <v>4.9714107844767152E-5</v>
      </c>
      <c r="F286" s="458">
        <f t="shared" si="29"/>
        <v>2.4563633037490666E-4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92196865</v>
      </c>
      <c r="D287" s="441">
        <f>D277+LN_IIB7</f>
        <v>92930404</v>
      </c>
      <c r="E287" s="441">
        <f t="shared" si="28"/>
        <v>733539</v>
      </c>
      <c r="F287" s="503">
        <f t="shared" si="29"/>
        <v>7.9562249757624617E-3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29471113</v>
      </c>
      <c r="D288" s="441">
        <f>LN_IIB2+LN_IIB9</f>
        <v>28017147</v>
      </c>
      <c r="E288" s="441">
        <f t="shared" si="28"/>
        <v>-1453966</v>
      </c>
      <c r="F288" s="503">
        <f t="shared" si="29"/>
        <v>-4.9335293173352494E-2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0.31965417696144005</v>
      </c>
      <c r="D289" s="453">
        <f>IF(LN_IIB11=0,0,LN_IIB12/LN_IIB11)</f>
        <v>0.3014852598725386</v>
      </c>
      <c r="E289" s="454">
        <f t="shared" si="28"/>
        <v>-1.8168917088901448E-2</v>
      </c>
      <c r="F289" s="458">
        <f t="shared" si="29"/>
        <v>-5.6839291954858984E-2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9780</v>
      </c>
      <c r="D290" s="508">
        <f>LN_IA8+LN_IF11+LN_IG6</f>
        <v>9580</v>
      </c>
      <c r="E290" s="528">
        <f t="shared" si="28"/>
        <v>-200</v>
      </c>
      <c r="F290" s="458">
        <f t="shared" si="29"/>
        <v>-2.0449897750511249E-2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62725752</v>
      </c>
      <c r="D291" s="516">
        <f>LN_IIB11-LN_IIB12</f>
        <v>64913257</v>
      </c>
      <c r="E291" s="441">
        <f t="shared" si="28"/>
        <v>2187505</v>
      </c>
      <c r="F291" s="503">
        <f t="shared" si="29"/>
        <v>3.4874113585756615E-2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5.2608426270136306</v>
      </c>
      <c r="D294" s="466">
        <f>IF(LN_IA4=0,0,LN_IA8/LN_IA4)</f>
        <v>5.6297056810403836</v>
      </c>
      <c r="E294" s="466">
        <f t="shared" ref="E294:E300" si="30">D294-C294</f>
        <v>0.36886305402675301</v>
      </c>
      <c r="F294" s="503">
        <f t="shared" ref="F294:F300" si="31">IF(C294=0,0,E294/C294)</f>
        <v>7.0114823836907245E-2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3.0819277108433734</v>
      </c>
      <c r="D295" s="466">
        <f>IF(LN_IB4=0,0,(LN_IB10)/(LN_IB4))</f>
        <v>3.0014224751066858</v>
      </c>
      <c r="E295" s="466">
        <f t="shared" si="30"/>
        <v>-8.0505235736687553E-2</v>
      </c>
      <c r="F295" s="503">
        <f t="shared" si="31"/>
        <v>-2.6121714488448269E-2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2.5913978494623655</v>
      </c>
      <c r="D296" s="466">
        <f>IF(LN_IC4=0,0,LN_IC11/LN_IC4)</f>
        <v>2.3250000000000002</v>
      </c>
      <c r="E296" s="466">
        <f t="shared" si="30"/>
        <v>-0.26639784946236533</v>
      </c>
      <c r="F296" s="503">
        <f t="shared" si="31"/>
        <v>-0.10280082987551857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2.8341013824884791</v>
      </c>
      <c r="D297" s="466">
        <f>IF(LN_ID4=0,0,LN_ID11/LN_ID4)</f>
        <v>3.0255319148936168</v>
      </c>
      <c r="E297" s="466">
        <f t="shared" si="30"/>
        <v>0.19143053240513774</v>
      </c>
      <c r="F297" s="503">
        <f t="shared" si="31"/>
        <v>6.7545407368967303E-2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3.1394230769230771</v>
      </c>
      <c r="D298" s="466">
        <f>IF(LN_IE4=0,0,LN_IE11/LN_IE4)</f>
        <v>2.9905660377358489</v>
      </c>
      <c r="E298" s="466">
        <f t="shared" si="30"/>
        <v>-0.14885703918722815</v>
      </c>
      <c r="F298" s="503">
        <f t="shared" si="31"/>
        <v>-4.7415412176023665E-2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2.3333333333333335</v>
      </c>
      <c r="D299" s="466">
        <f>IF(LN_IG3=0,0,LN_IG6/LN_IG3)</f>
        <v>2</v>
      </c>
      <c r="E299" s="466">
        <f t="shared" si="30"/>
        <v>-0.33333333333333348</v>
      </c>
      <c r="F299" s="503">
        <f t="shared" si="31"/>
        <v>-0.1428571428571429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4.2870048644892282</v>
      </c>
      <c r="D300" s="466">
        <f>IF(LN_IIA4=0,0,LN_IIA14/LN_IIA4)</f>
        <v>4.4686544342507641</v>
      </c>
      <c r="E300" s="466">
        <f t="shared" si="30"/>
        <v>0.1816495697615359</v>
      </c>
      <c r="F300" s="503">
        <f t="shared" si="31"/>
        <v>4.2372139874671776E-2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147441042</v>
      </c>
      <c r="D304" s="441">
        <f>LN_IIA11</f>
        <v>145172347</v>
      </c>
      <c r="E304" s="441">
        <f t="shared" ref="E304:E316" si="32">D304-C304</f>
        <v>-2268695</v>
      </c>
      <c r="F304" s="449">
        <f>IF(C304=0,0,E304/C304)</f>
        <v>-1.538713352283552E-2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62725752</v>
      </c>
      <c r="D305" s="441">
        <f>LN_IIB14</f>
        <v>64913257</v>
      </c>
      <c r="E305" s="441">
        <f t="shared" si="32"/>
        <v>2187505</v>
      </c>
      <c r="F305" s="449">
        <f>IF(C305=0,0,E305/C305)</f>
        <v>3.4874113585756615E-2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3235430</v>
      </c>
      <c r="D306" s="441">
        <f>LN_IH6</f>
        <v>3163662</v>
      </c>
      <c r="E306" s="441">
        <f t="shared" si="32"/>
        <v>-71768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27404866</v>
      </c>
      <c r="D307" s="441">
        <f>LN_IB32-LN_IB33</f>
        <v>26762108</v>
      </c>
      <c r="E307" s="441">
        <f t="shared" si="32"/>
        <v>-642758</v>
      </c>
      <c r="F307" s="449">
        <f t="shared" ref="F307:F316" si="33">IF(C307=0,0,E307/C307)</f>
        <v>-2.3454155915230528E-2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1448354</v>
      </c>
      <c r="D308" s="441">
        <v>1000434</v>
      </c>
      <c r="E308" s="441">
        <f t="shared" si="32"/>
        <v>-447920</v>
      </c>
      <c r="F308" s="449">
        <f t="shared" si="33"/>
        <v>-0.30926140984869721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94814402</v>
      </c>
      <c r="D309" s="441">
        <f>LN_III2+LN_III3+LN_III4+LN_III5</f>
        <v>95839461</v>
      </c>
      <c r="E309" s="441">
        <f t="shared" si="32"/>
        <v>1025059</v>
      </c>
      <c r="F309" s="449">
        <f t="shared" si="33"/>
        <v>1.0811216211646834E-2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52626640</v>
      </c>
      <c r="D310" s="441">
        <f>LN_III1-LN_III6</f>
        <v>49332886</v>
      </c>
      <c r="E310" s="441">
        <f t="shared" si="32"/>
        <v>-3293754</v>
      </c>
      <c r="F310" s="449">
        <f t="shared" si="33"/>
        <v>-6.2587199182771308E-2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52626640</v>
      </c>
      <c r="D312" s="441">
        <f>LN_III7+LN_III8</f>
        <v>49332886</v>
      </c>
      <c r="E312" s="441">
        <f t="shared" si="32"/>
        <v>-3293754</v>
      </c>
      <c r="F312" s="449">
        <f t="shared" si="33"/>
        <v>-6.2587199182771308E-2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0.35693345140629162</v>
      </c>
      <c r="D313" s="532">
        <f>IF(LN_III1=0,0,LN_III9/LN_III1)</f>
        <v>0.33982288651708581</v>
      </c>
      <c r="E313" s="532">
        <f t="shared" si="32"/>
        <v>-1.7110564889205815E-2</v>
      </c>
      <c r="F313" s="449">
        <f t="shared" si="33"/>
        <v>-4.7937689285751851E-2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1154833.1966834581</v>
      </c>
      <c r="D314" s="441">
        <f>D313*LN_III5</f>
        <v>1075084.7528044167</v>
      </c>
      <c r="E314" s="441">
        <f t="shared" si="32"/>
        <v>-79748.443879041355</v>
      </c>
      <c r="F314" s="449">
        <f t="shared" si="33"/>
        <v>-6.9056244752981888E-2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1822253.6829890832</v>
      </c>
      <c r="D315" s="441">
        <f>D313*LN_IH8-LN_IH9</f>
        <v>2212575.6268129703</v>
      </c>
      <c r="E315" s="441">
        <f t="shared" si="32"/>
        <v>390321.94382388704</v>
      </c>
      <c r="F315" s="449">
        <f t="shared" si="33"/>
        <v>0.21419736860327443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2977086.8796725413</v>
      </c>
      <c r="D318" s="441">
        <f>D314+D315+D316</f>
        <v>3287660.379617387</v>
      </c>
      <c r="E318" s="441">
        <f>D318-C318</f>
        <v>310573.49994484568</v>
      </c>
      <c r="F318" s="449">
        <f>IF(C318=0,0,E318/C318)</f>
        <v>0.10432127529278104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507153.32111338555</v>
      </c>
      <c r="D322" s="441">
        <f>LN_ID22</f>
        <v>881999.45088986855</v>
      </c>
      <c r="E322" s="441">
        <f>LN_IV2-C322</f>
        <v>374846.12977648299</v>
      </c>
      <c r="F322" s="449">
        <f>IF(C322=0,0,E322/C322)</f>
        <v>0.73911796328881318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1380737.033094469</v>
      </c>
      <c r="D323" s="441">
        <f>LN_IE10+LN_IE22</f>
        <v>1693277.6955509735</v>
      </c>
      <c r="E323" s="441">
        <f>LN_IV3-C323</f>
        <v>312540.66245650453</v>
      </c>
      <c r="F323" s="449">
        <f>IF(C323=0,0,E323/C323)</f>
        <v>0.22635784726947403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1273823.7198614692</v>
      </c>
      <c r="D324" s="441">
        <f>LN_IC10+LN_IC22</f>
        <v>1167368.3851997338</v>
      </c>
      <c r="E324" s="441">
        <f>LN_IV1-C324</f>
        <v>-106455.33466173545</v>
      </c>
      <c r="F324" s="449">
        <f>IF(C324=0,0,E324/C324)</f>
        <v>-8.3571480890081623E-2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3161714.0740693239</v>
      </c>
      <c r="D325" s="516">
        <f>LN_IV1+LN_IV2+LN_IV3</f>
        <v>3742645.5316405757</v>
      </c>
      <c r="E325" s="441">
        <f>LN_IV4-C325</f>
        <v>580931.45757125178</v>
      </c>
      <c r="F325" s="449">
        <f>IF(C325=0,0,E325/C325)</f>
        <v>0.18373940336216318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2174989</v>
      </c>
      <c r="D329" s="518">
        <v>1748963</v>
      </c>
      <c r="E329" s="518">
        <f t="shared" ref="E329:E335" si="34">D329-C329</f>
        <v>-426026</v>
      </c>
      <c r="F329" s="542">
        <f t="shared" ref="F329:F335" si="35">IF(C329=0,0,E329/C329)</f>
        <v>-0.19587501362075854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1120243</v>
      </c>
      <c r="D330" s="516">
        <v>753030</v>
      </c>
      <c r="E330" s="518">
        <f t="shared" si="34"/>
        <v>-367213</v>
      </c>
      <c r="F330" s="543">
        <f t="shared" si="35"/>
        <v>-0.32779762962143033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53746903</v>
      </c>
      <c r="D331" s="516">
        <v>50085912</v>
      </c>
      <c r="E331" s="518">
        <f t="shared" si="34"/>
        <v>-3660991</v>
      </c>
      <c r="F331" s="542">
        <f t="shared" si="35"/>
        <v>-6.8115385178565538E-2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147441041</v>
      </c>
      <c r="D333" s="516">
        <v>145172348</v>
      </c>
      <c r="E333" s="518">
        <f t="shared" si="34"/>
        <v>-2268693</v>
      </c>
      <c r="F333" s="542">
        <f t="shared" si="35"/>
        <v>-1.5387120062452625E-2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3235430</v>
      </c>
      <c r="D335" s="516">
        <v>3163662</v>
      </c>
      <c r="E335" s="516">
        <f t="shared" si="34"/>
        <v>-71768</v>
      </c>
      <c r="F335" s="542">
        <f t="shared" si="35"/>
        <v>-2.2181904723637971E-2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15677757</v>
      </c>
      <c r="D14" s="589">
        <v>12430476</v>
      </c>
      <c r="E14" s="590">
        <f t="shared" ref="E14:E22" si="0">D14-C14</f>
        <v>-3247281</v>
      </c>
    </row>
    <row r="15" spans="1:5" s="421" customFormat="1" x14ac:dyDescent="0.2">
      <c r="A15" s="588">
        <v>2</v>
      </c>
      <c r="B15" s="587" t="s">
        <v>635</v>
      </c>
      <c r="C15" s="589">
        <v>39105825</v>
      </c>
      <c r="D15" s="591">
        <v>38229340</v>
      </c>
      <c r="E15" s="590">
        <f t="shared" si="0"/>
        <v>-876485</v>
      </c>
    </row>
    <row r="16" spans="1:5" s="421" customFormat="1" x14ac:dyDescent="0.2">
      <c r="A16" s="588">
        <v>3</v>
      </c>
      <c r="B16" s="587" t="s">
        <v>777</v>
      </c>
      <c r="C16" s="589">
        <v>6525956</v>
      </c>
      <c r="D16" s="591">
        <v>7157891</v>
      </c>
      <c r="E16" s="590">
        <f t="shared" si="0"/>
        <v>631935</v>
      </c>
    </row>
    <row r="17" spans="1:5" s="421" customFormat="1" x14ac:dyDescent="0.2">
      <c r="A17" s="588">
        <v>4</v>
      </c>
      <c r="B17" s="587" t="s">
        <v>115</v>
      </c>
      <c r="C17" s="589">
        <v>3175671</v>
      </c>
      <c r="D17" s="591">
        <v>3849691</v>
      </c>
      <c r="E17" s="590">
        <f t="shared" si="0"/>
        <v>674020</v>
      </c>
    </row>
    <row r="18" spans="1:5" s="421" customFormat="1" x14ac:dyDescent="0.2">
      <c r="A18" s="588">
        <v>5</v>
      </c>
      <c r="B18" s="587" t="s">
        <v>743</v>
      </c>
      <c r="C18" s="589">
        <v>3350285</v>
      </c>
      <c r="D18" s="591">
        <v>3308200</v>
      </c>
      <c r="E18" s="590">
        <f t="shared" si="0"/>
        <v>-42085</v>
      </c>
    </row>
    <row r="19" spans="1:5" s="421" customFormat="1" x14ac:dyDescent="0.2">
      <c r="A19" s="588">
        <v>6</v>
      </c>
      <c r="B19" s="587" t="s">
        <v>424</v>
      </c>
      <c r="C19" s="589">
        <v>85024</v>
      </c>
      <c r="D19" s="591">
        <v>38140</v>
      </c>
      <c r="E19" s="590">
        <f t="shared" si="0"/>
        <v>-46884</v>
      </c>
    </row>
    <row r="20" spans="1:5" s="421" customFormat="1" x14ac:dyDescent="0.2">
      <c r="A20" s="588">
        <v>7</v>
      </c>
      <c r="B20" s="587" t="s">
        <v>758</v>
      </c>
      <c r="C20" s="589">
        <v>1089118</v>
      </c>
      <c r="D20" s="591">
        <v>456951</v>
      </c>
      <c r="E20" s="590">
        <f t="shared" si="0"/>
        <v>-632167</v>
      </c>
    </row>
    <row r="21" spans="1:5" s="421" customFormat="1" x14ac:dyDescent="0.2">
      <c r="A21" s="588"/>
      <c r="B21" s="592" t="s">
        <v>778</v>
      </c>
      <c r="C21" s="593">
        <f>SUM(C15+C16+C19)</f>
        <v>45716805</v>
      </c>
      <c r="D21" s="593">
        <f>SUM(D15+D16+D19)</f>
        <v>45425371</v>
      </c>
      <c r="E21" s="593">
        <f t="shared" si="0"/>
        <v>-291434</v>
      </c>
    </row>
    <row r="22" spans="1:5" s="421" customFormat="1" x14ac:dyDescent="0.2">
      <c r="A22" s="588"/>
      <c r="B22" s="592" t="s">
        <v>465</v>
      </c>
      <c r="C22" s="593">
        <f>SUM(C14+C21)</f>
        <v>61394562</v>
      </c>
      <c r="D22" s="593">
        <f>SUM(D14+D21)</f>
        <v>57855847</v>
      </c>
      <c r="E22" s="593">
        <f t="shared" si="0"/>
        <v>-3538715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39566420</v>
      </c>
      <c r="D25" s="589">
        <v>39811467</v>
      </c>
      <c r="E25" s="590">
        <f t="shared" ref="E25:E33" si="1">D25-C25</f>
        <v>245047</v>
      </c>
    </row>
    <row r="26" spans="1:5" s="421" customFormat="1" x14ac:dyDescent="0.2">
      <c r="A26" s="588">
        <v>2</v>
      </c>
      <c r="B26" s="587" t="s">
        <v>635</v>
      </c>
      <c r="C26" s="589">
        <v>36915275</v>
      </c>
      <c r="D26" s="591">
        <v>35294487</v>
      </c>
      <c r="E26" s="590">
        <f t="shared" si="1"/>
        <v>-1620788</v>
      </c>
    </row>
    <row r="27" spans="1:5" s="421" customFormat="1" x14ac:dyDescent="0.2">
      <c r="A27" s="588">
        <v>3</v>
      </c>
      <c r="B27" s="587" t="s">
        <v>777</v>
      </c>
      <c r="C27" s="589">
        <v>9374290</v>
      </c>
      <c r="D27" s="591">
        <v>12024574</v>
      </c>
      <c r="E27" s="590">
        <f t="shared" si="1"/>
        <v>2650284</v>
      </c>
    </row>
    <row r="28" spans="1:5" s="421" customFormat="1" x14ac:dyDescent="0.2">
      <c r="A28" s="588">
        <v>4</v>
      </c>
      <c r="B28" s="587" t="s">
        <v>115</v>
      </c>
      <c r="C28" s="589">
        <v>5267908</v>
      </c>
      <c r="D28" s="591">
        <v>6879873</v>
      </c>
      <c r="E28" s="590">
        <f t="shared" si="1"/>
        <v>1611965</v>
      </c>
    </row>
    <row r="29" spans="1:5" s="421" customFormat="1" x14ac:dyDescent="0.2">
      <c r="A29" s="588">
        <v>5</v>
      </c>
      <c r="B29" s="587" t="s">
        <v>743</v>
      </c>
      <c r="C29" s="589">
        <v>4106382</v>
      </c>
      <c r="D29" s="591">
        <v>5144701</v>
      </c>
      <c r="E29" s="590">
        <f t="shared" si="1"/>
        <v>1038319</v>
      </c>
    </row>
    <row r="30" spans="1:5" s="421" customFormat="1" x14ac:dyDescent="0.2">
      <c r="A30" s="588">
        <v>6</v>
      </c>
      <c r="B30" s="587" t="s">
        <v>424</v>
      </c>
      <c r="C30" s="589">
        <v>190495</v>
      </c>
      <c r="D30" s="591">
        <v>185972</v>
      </c>
      <c r="E30" s="590">
        <f t="shared" si="1"/>
        <v>-4523</v>
      </c>
    </row>
    <row r="31" spans="1:5" s="421" customFormat="1" x14ac:dyDescent="0.2">
      <c r="A31" s="588">
        <v>7</v>
      </c>
      <c r="B31" s="587" t="s">
        <v>758</v>
      </c>
      <c r="C31" s="590">
        <v>2713314</v>
      </c>
      <c r="D31" s="594">
        <v>2398137</v>
      </c>
      <c r="E31" s="590">
        <f t="shared" si="1"/>
        <v>-315177</v>
      </c>
    </row>
    <row r="32" spans="1:5" s="421" customFormat="1" x14ac:dyDescent="0.2">
      <c r="A32" s="588"/>
      <c r="B32" s="592" t="s">
        <v>780</v>
      </c>
      <c r="C32" s="593">
        <f>SUM(C26+C27+C30)</f>
        <v>46480060</v>
      </c>
      <c r="D32" s="593">
        <f>SUM(D26+D27+D30)</f>
        <v>47505033</v>
      </c>
      <c r="E32" s="593">
        <f t="shared" si="1"/>
        <v>1024973</v>
      </c>
    </row>
    <row r="33" spans="1:5" s="421" customFormat="1" x14ac:dyDescent="0.2">
      <c r="A33" s="588"/>
      <c r="B33" s="592" t="s">
        <v>467</v>
      </c>
      <c r="C33" s="593">
        <f>SUM(C25+C32)</f>
        <v>86046480</v>
      </c>
      <c r="D33" s="593">
        <f>SUM(D25+D32)</f>
        <v>87316500</v>
      </c>
      <c r="E33" s="593">
        <f t="shared" si="1"/>
        <v>1270020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55244177</v>
      </c>
      <c r="D36" s="590">
        <f t="shared" si="2"/>
        <v>52241943</v>
      </c>
      <c r="E36" s="590">
        <f t="shared" ref="E36:E44" si="3">D36-C36</f>
        <v>-3002234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76021100</v>
      </c>
      <c r="D37" s="590">
        <f t="shared" si="2"/>
        <v>73523827</v>
      </c>
      <c r="E37" s="590">
        <f t="shared" si="3"/>
        <v>-2497273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15900246</v>
      </c>
      <c r="D38" s="590">
        <f t="shared" si="2"/>
        <v>19182465</v>
      </c>
      <c r="E38" s="590">
        <f t="shared" si="3"/>
        <v>3282219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8443579</v>
      </c>
      <c r="D39" s="590">
        <f t="shared" si="2"/>
        <v>10729564</v>
      </c>
      <c r="E39" s="590">
        <f t="shared" si="3"/>
        <v>2285985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7456667</v>
      </c>
      <c r="D40" s="590">
        <f t="shared" si="2"/>
        <v>8452901</v>
      </c>
      <c r="E40" s="590">
        <f t="shared" si="3"/>
        <v>996234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275519</v>
      </c>
      <c r="D41" s="590">
        <f t="shared" si="2"/>
        <v>224112</v>
      </c>
      <c r="E41" s="590">
        <f t="shared" si="3"/>
        <v>-51407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3802432</v>
      </c>
      <c r="D42" s="590">
        <f t="shared" si="2"/>
        <v>2855088</v>
      </c>
      <c r="E42" s="590">
        <f t="shared" si="3"/>
        <v>-947344</v>
      </c>
    </row>
    <row r="43" spans="1:5" s="421" customFormat="1" x14ac:dyDescent="0.2">
      <c r="A43" s="588"/>
      <c r="B43" s="592" t="s">
        <v>788</v>
      </c>
      <c r="C43" s="593">
        <f>SUM(C37+C38+C41)</f>
        <v>92196865</v>
      </c>
      <c r="D43" s="593">
        <f>SUM(D37+D38+D41)</f>
        <v>92930404</v>
      </c>
      <c r="E43" s="593">
        <f t="shared" si="3"/>
        <v>733539</v>
      </c>
    </row>
    <row r="44" spans="1:5" s="421" customFormat="1" x14ac:dyDescent="0.2">
      <c r="A44" s="588"/>
      <c r="B44" s="592" t="s">
        <v>725</v>
      </c>
      <c r="C44" s="593">
        <f>SUM(C36+C43)</f>
        <v>147441042</v>
      </c>
      <c r="D44" s="593">
        <f>SUM(D36+D43)</f>
        <v>145172347</v>
      </c>
      <c r="E44" s="593">
        <f t="shared" si="3"/>
        <v>-2268695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6677553</v>
      </c>
      <c r="D47" s="589">
        <v>5086670</v>
      </c>
      <c r="E47" s="590">
        <f t="shared" ref="E47:E55" si="4">D47-C47</f>
        <v>-1590883</v>
      </c>
    </row>
    <row r="48" spans="1:5" s="421" customFormat="1" x14ac:dyDescent="0.2">
      <c r="A48" s="588">
        <v>2</v>
      </c>
      <c r="B48" s="587" t="s">
        <v>635</v>
      </c>
      <c r="C48" s="589">
        <v>17970764</v>
      </c>
      <c r="D48" s="591">
        <v>16145227</v>
      </c>
      <c r="E48" s="590">
        <f t="shared" si="4"/>
        <v>-1825537</v>
      </c>
    </row>
    <row r="49" spans="1:5" s="421" customFormat="1" x14ac:dyDescent="0.2">
      <c r="A49" s="588">
        <v>3</v>
      </c>
      <c r="B49" s="587" t="s">
        <v>777</v>
      </c>
      <c r="C49" s="589">
        <v>2015769</v>
      </c>
      <c r="D49" s="591">
        <v>2230786</v>
      </c>
      <c r="E49" s="590">
        <f t="shared" si="4"/>
        <v>215017</v>
      </c>
    </row>
    <row r="50" spans="1:5" s="421" customFormat="1" x14ac:dyDescent="0.2">
      <c r="A50" s="588">
        <v>4</v>
      </c>
      <c r="B50" s="587" t="s">
        <v>115</v>
      </c>
      <c r="C50" s="589">
        <v>819553</v>
      </c>
      <c r="D50" s="591">
        <v>993888</v>
      </c>
      <c r="E50" s="590">
        <f t="shared" si="4"/>
        <v>174335</v>
      </c>
    </row>
    <row r="51" spans="1:5" s="421" customFormat="1" x14ac:dyDescent="0.2">
      <c r="A51" s="588">
        <v>5</v>
      </c>
      <c r="B51" s="587" t="s">
        <v>743</v>
      </c>
      <c r="C51" s="589">
        <v>1196216</v>
      </c>
      <c r="D51" s="591">
        <v>1236898</v>
      </c>
      <c r="E51" s="590">
        <f t="shared" si="4"/>
        <v>40682</v>
      </c>
    </row>
    <row r="52" spans="1:5" s="421" customFormat="1" x14ac:dyDescent="0.2">
      <c r="A52" s="588">
        <v>6</v>
      </c>
      <c r="B52" s="587" t="s">
        <v>424</v>
      </c>
      <c r="C52" s="589">
        <v>77524</v>
      </c>
      <c r="D52" s="591">
        <v>24273</v>
      </c>
      <c r="E52" s="590">
        <f t="shared" si="4"/>
        <v>-53251</v>
      </c>
    </row>
    <row r="53" spans="1:5" s="421" customFormat="1" x14ac:dyDescent="0.2">
      <c r="A53" s="588">
        <v>7</v>
      </c>
      <c r="B53" s="587" t="s">
        <v>758</v>
      </c>
      <c r="C53" s="589">
        <v>224283</v>
      </c>
      <c r="D53" s="591">
        <v>36844</v>
      </c>
      <c r="E53" s="590">
        <f t="shared" si="4"/>
        <v>-187439</v>
      </c>
    </row>
    <row r="54" spans="1:5" s="421" customFormat="1" x14ac:dyDescent="0.2">
      <c r="A54" s="588"/>
      <c r="B54" s="592" t="s">
        <v>790</v>
      </c>
      <c r="C54" s="593">
        <f>SUM(C48+C49+C52)</f>
        <v>20064057</v>
      </c>
      <c r="D54" s="593">
        <f>SUM(D48+D49+D52)</f>
        <v>18400286</v>
      </c>
      <c r="E54" s="593">
        <f t="shared" si="4"/>
        <v>-1663771</v>
      </c>
    </row>
    <row r="55" spans="1:5" s="421" customFormat="1" x14ac:dyDescent="0.2">
      <c r="A55" s="588"/>
      <c r="B55" s="592" t="s">
        <v>466</v>
      </c>
      <c r="C55" s="593">
        <f>SUM(C47+C54)</f>
        <v>26741610</v>
      </c>
      <c r="D55" s="593">
        <f>SUM(D47+D54)</f>
        <v>23486956</v>
      </c>
      <c r="E55" s="593">
        <f t="shared" si="4"/>
        <v>-3254654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16477995</v>
      </c>
      <c r="D58" s="589">
        <v>16229069</v>
      </c>
      <c r="E58" s="590">
        <f t="shared" ref="E58:E66" si="5">D58-C58</f>
        <v>-248926</v>
      </c>
    </row>
    <row r="59" spans="1:5" s="421" customFormat="1" x14ac:dyDescent="0.2">
      <c r="A59" s="588">
        <v>2</v>
      </c>
      <c r="B59" s="587" t="s">
        <v>635</v>
      </c>
      <c r="C59" s="589">
        <v>7527778</v>
      </c>
      <c r="D59" s="591">
        <v>7500871</v>
      </c>
      <c r="E59" s="590">
        <f t="shared" si="5"/>
        <v>-26907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1837307</v>
      </c>
      <c r="D60" s="591">
        <f>D61+D62</f>
        <v>2075279</v>
      </c>
      <c r="E60" s="590">
        <f t="shared" si="5"/>
        <v>237972</v>
      </c>
    </row>
    <row r="61" spans="1:5" s="421" customFormat="1" x14ac:dyDescent="0.2">
      <c r="A61" s="588">
        <v>4</v>
      </c>
      <c r="B61" s="587" t="s">
        <v>115</v>
      </c>
      <c r="C61" s="589">
        <v>1271376</v>
      </c>
      <c r="D61" s="591">
        <v>1453468</v>
      </c>
      <c r="E61" s="590">
        <f t="shared" si="5"/>
        <v>182092</v>
      </c>
    </row>
    <row r="62" spans="1:5" s="421" customFormat="1" x14ac:dyDescent="0.2">
      <c r="A62" s="588">
        <v>5</v>
      </c>
      <c r="B62" s="587" t="s">
        <v>743</v>
      </c>
      <c r="C62" s="589">
        <v>565931</v>
      </c>
      <c r="D62" s="591">
        <v>621811</v>
      </c>
      <c r="E62" s="590">
        <f t="shared" si="5"/>
        <v>55880</v>
      </c>
    </row>
    <row r="63" spans="1:5" s="421" customFormat="1" x14ac:dyDescent="0.2">
      <c r="A63" s="588">
        <v>6</v>
      </c>
      <c r="B63" s="587" t="s">
        <v>424</v>
      </c>
      <c r="C63" s="589">
        <v>41971</v>
      </c>
      <c r="D63" s="591">
        <v>40711</v>
      </c>
      <c r="E63" s="590">
        <f t="shared" si="5"/>
        <v>-1260</v>
      </c>
    </row>
    <row r="64" spans="1:5" s="421" customFormat="1" x14ac:dyDescent="0.2">
      <c r="A64" s="588">
        <v>7</v>
      </c>
      <c r="B64" s="587" t="s">
        <v>758</v>
      </c>
      <c r="C64" s="589">
        <v>426841</v>
      </c>
      <c r="D64" s="591">
        <v>242542</v>
      </c>
      <c r="E64" s="590">
        <f t="shared" si="5"/>
        <v>-184299</v>
      </c>
    </row>
    <row r="65" spans="1:5" s="421" customFormat="1" x14ac:dyDescent="0.2">
      <c r="A65" s="588"/>
      <c r="B65" s="592" t="s">
        <v>792</v>
      </c>
      <c r="C65" s="593">
        <f>SUM(C59+C60+C63)</f>
        <v>9407056</v>
      </c>
      <c r="D65" s="593">
        <f>SUM(D59+D60+D63)</f>
        <v>9616861</v>
      </c>
      <c r="E65" s="593">
        <f t="shared" si="5"/>
        <v>209805</v>
      </c>
    </row>
    <row r="66" spans="1:5" s="421" customFormat="1" x14ac:dyDescent="0.2">
      <c r="A66" s="588"/>
      <c r="B66" s="592" t="s">
        <v>468</v>
      </c>
      <c r="C66" s="593">
        <f>SUM(C58+C65)</f>
        <v>25885051</v>
      </c>
      <c r="D66" s="593">
        <f>SUM(D58+D65)</f>
        <v>25845930</v>
      </c>
      <c r="E66" s="593">
        <f t="shared" si="5"/>
        <v>-39121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23155548</v>
      </c>
      <c r="D69" s="590">
        <f t="shared" si="6"/>
        <v>21315739</v>
      </c>
      <c r="E69" s="590">
        <f t="shared" ref="E69:E77" si="7">D69-C69</f>
        <v>-1839809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25498542</v>
      </c>
      <c r="D70" s="590">
        <f t="shared" si="6"/>
        <v>23646098</v>
      </c>
      <c r="E70" s="590">
        <f t="shared" si="7"/>
        <v>-1852444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3853076</v>
      </c>
      <c r="D71" s="590">
        <f t="shared" si="6"/>
        <v>4306065</v>
      </c>
      <c r="E71" s="590">
        <f t="shared" si="7"/>
        <v>452989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2090929</v>
      </c>
      <c r="D72" s="590">
        <f t="shared" si="6"/>
        <v>2447356</v>
      </c>
      <c r="E72" s="590">
        <f t="shared" si="7"/>
        <v>356427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1762147</v>
      </c>
      <c r="D73" s="590">
        <f t="shared" si="6"/>
        <v>1858709</v>
      </c>
      <c r="E73" s="590">
        <f t="shared" si="7"/>
        <v>96562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119495</v>
      </c>
      <c r="D74" s="590">
        <f t="shared" si="6"/>
        <v>64984</v>
      </c>
      <c r="E74" s="590">
        <f t="shared" si="7"/>
        <v>-54511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651124</v>
      </c>
      <c r="D75" s="590">
        <f t="shared" si="6"/>
        <v>279386</v>
      </c>
      <c r="E75" s="590">
        <f t="shared" si="7"/>
        <v>-371738</v>
      </c>
    </row>
    <row r="76" spans="1:5" s="421" customFormat="1" x14ac:dyDescent="0.2">
      <c r="A76" s="588"/>
      <c r="B76" s="592" t="s">
        <v>793</v>
      </c>
      <c r="C76" s="593">
        <f>SUM(C70+C71+C74)</f>
        <v>29471113</v>
      </c>
      <c r="D76" s="593">
        <f>SUM(D70+D71+D74)</f>
        <v>28017147</v>
      </c>
      <c r="E76" s="593">
        <f t="shared" si="7"/>
        <v>-1453966</v>
      </c>
    </row>
    <row r="77" spans="1:5" s="421" customFormat="1" x14ac:dyDescent="0.2">
      <c r="A77" s="588"/>
      <c r="B77" s="592" t="s">
        <v>726</v>
      </c>
      <c r="C77" s="593">
        <f>SUM(C69+C76)</f>
        <v>52626661</v>
      </c>
      <c r="D77" s="593">
        <f>SUM(D69+D76)</f>
        <v>49332886</v>
      </c>
      <c r="E77" s="593">
        <f t="shared" si="7"/>
        <v>-3293775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0.10633238064066314</v>
      </c>
      <c r="D83" s="599">
        <f t="shared" si="8"/>
        <v>8.5625646046763995E-2</v>
      </c>
      <c r="E83" s="599">
        <f t="shared" ref="E83:E91" si="9">D83-C83</f>
        <v>-2.0706734593899143E-2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0.26523025386649124</v>
      </c>
      <c r="D84" s="599">
        <f t="shared" si="8"/>
        <v>0.26333761759737895</v>
      </c>
      <c r="E84" s="599">
        <f t="shared" si="9"/>
        <v>-1.8926362691122911E-3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4.4261461472850962E-2</v>
      </c>
      <c r="D85" s="599">
        <f t="shared" si="8"/>
        <v>4.9306160215209581E-2</v>
      </c>
      <c r="E85" s="599">
        <f t="shared" si="9"/>
        <v>5.0446987423586193E-3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2.1538582181208403E-2</v>
      </c>
      <c r="D86" s="599">
        <f t="shared" si="8"/>
        <v>2.6518073721023466E-2</v>
      </c>
      <c r="E86" s="599">
        <f t="shared" si="9"/>
        <v>4.9794915398150633E-3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2.2722879291642555E-2</v>
      </c>
      <c r="D87" s="599">
        <f t="shared" si="8"/>
        <v>2.2788086494186115E-2</v>
      </c>
      <c r="E87" s="599">
        <f t="shared" si="9"/>
        <v>6.5207202543559467E-5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5.7666439986228527E-4</v>
      </c>
      <c r="D88" s="599">
        <f t="shared" si="8"/>
        <v>2.6272221113846149E-4</v>
      </c>
      <c r="E88" s="599">
        <f t="shared" si="9"/>
        <v>-3.1394218872382378E-4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7.3868034654828336E-3</v>
      </c>
      <c r="D89" s="599">
        <f t="shared" si="8"/>
        <v>3.1476449161492166E-3</v>
      </c>
      <c r="E89" s="599">
        <f t="shared" si="9"/>
        <v>-4.2391585493336166E-3</v>
      </c>
    </row>
    <row r="90" spans="1:5" s="421" customFormat="1" x14ac:dyDescent="0.2">
      <c r="A90" s="588"/>
      <c r="B90" s="592" t="s">
        <v>796</v>
      </c>
      <c r="C90" s="600">
        <f>SUM(C84+C85+C88)</f>
        <v>0.31006837973920448</v>
      </c>
      <c r="D90" s="600">
        <f>SUM(D84+D85+D88)</f>
        <v>0.312906500023727</v>
      </c>
      <c r="E90" s="601">
        <f t="shared" si="9"/>
        <v>2.8381202845225162E-3</v>
      </c>
    </row>
    <row r="91" spans="1:5" s="421" customFormat="1" x14ac:dyDescent="0.2">
      <c r="A91" s="588"/>
      <c r="B91" s="592" t="s">
        <v>797</v>
      </c>
      <c r="C91" s="600">
        <f>SUM(C83+C90)</f>
        <v>0.41640076037986762</v>
      </c>
      <c r="D91" s="600">
        <f>SUM(D83+D90)</f>
        <v>0.39853214607049098</v>
      </c>
      <c r="E91" s="601">
        <f t="shared" si="9"/>
        <v>-1.786861430937664E-2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0.26835418051372695</v>
      </c>
      <c r="D95" s="599">
        <f t="shared" si="10"/>
        <v>0.2742358846068666</v>
      </c>
      <c r="E95" s="599">
        <f t="shared" ref="E95:E103" si="11">D95-C95</f>
        <v>5.8817040931396503E-3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0.25037312880629264</v>
      </c>
      <c r="D96" s="599">
        <f t="shared" si="10"/>
        <v>0.2431212812175586</v>
      </c>
      <c r="E96" s="599">
        <f t="shared" si="11"/>
        <v>-7.2518475887340395E-3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6.3579922339398548E-2</v>
      </c>
      <c r="D97" s="599">
        <f t="shared" si="10"/>
        <v>8.2829645235397348E-2</v>
      </c>
      <c r="E97" s="599">
        <f t="shared" si="11"/>
        <v>1.92497228959988E-2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3.5728911899578136E-2</v>
      </c>
      <c r="D98" s="599">
        <f t="shared" si="10"/>
        <v>4.739107097304144E-2</v>
      </c>
      <c r="E98" s="599">
        <f t="shared" si="11"/>
        <v>1.1662159073463303E-2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2.7851010439820412E-2</v>
      </c>
      <c r="D99" s="599">
        <f t="shared" si="10"/>
        <v>3.5438574262355901E-2</v>
      </c>
      <c r="E99" s="599">
        <f t="shared" si="11"/>
        <v>7.5875638225354897E-3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1.2920079607142223E-3</v>
      </c>
      <c r="D100" s="599">
        <f t="shared" si="10"/>
        <v>1.28104286968647E-3</v>
      </c>
      <c r="E100" s="599">
        <f t="shared" si="11"/>
        <v>-1.0965091027752326E-5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1.8402704994447884E-2</v>
      </c>
      <c r="D101" s="599">
        <f t="shared" si="10"/>
        <v>1.6519241092106889E-2</v>
      </c>
      <c r="E101" s="599">
        <f t="shared" si="11"/>
        <v>-1.8834639023409955E-3</v>
      </c>
    </row>
    <row r="102" spans="1:5" s="421" customFormat="1" x14ac:dyDescent="0.2">
      <c r="A102" s="588"/>
      <c r="B102" s="592" t="s">
        <v>799</v>
      </c>
      <c r="C102" s="600">
        <f>SUM(C96+C97+C100)</f>
        <v>0.31524505910640538</v>
      </c>
      <c r="D102" s="600">
        <f>SUM(D96+D97+D100)</f>
        <v>0.32723196932264242</v>
      </c>
      <c r="E102" s="601">
        <f t="shared" si="11"/>
        <v>1.1986910216237046E-2</v>
      </c>
    </row>
    <row r="103" spans="1:5" s="421" customFormat="1" x14ac:dyDescent="0.2">
      <c r="A103" s="588"/>
      <c r="B103" s="592" t="s">
        <v>800</v>
      </c>
      <c r="C103" s="600">
        <f>SUM(C95+C102)</f>
        <v>0.58359923962013238</v>
      </c>
      <c r="D103" s="600">
        <f>SUM(D95+D102)</f>
        <v>0.60146785392950908</v>
      </c>
      <c r="E103" s="601">
        <f t="shared" si="11"/>
        <v>1.7868614309376696E-2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0.12688536329523167</v>
      </c>
      <c r="D109" s="599">
        <f t="shared" si="12"/>
        <v>0.10310911062450309</v>
      </c>
      <c r="E109" s="599">
        <f t="shared" ref="E109:E117" si="13">D109-C109</f>
        <v>-2.3776252670728582E-2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0.34147642389852551</v>
      </c>
      <c r="D110" s="599">
        <f t="shared" si="12"/>
        <v>0.32727108241751762</v>
      </c>
      <c r="E110" s="599">
        <f t="shared" si="13"/>
        <v>-1.4205341481007883E-2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3.830319008838505E-2</v>
      </c>
      <c r="D111" s="599">
        <f t="shared" si="12"/>
        <v>4.5219045161882479E-2</v>
      </c>
      <c r="E111" s="599">
        <f t="shared" si="13"/>
        <v>6.9158550734974289E-3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1.5572962153156553E-2</v>
      </c>
      <c r="D112" s="599">
        <f t="shared" si="12"/>
        <v>2.0146561058682032E-2</v>
      </c>
      <c r="E112" s="599">
        <f t="shared" si="13"/>
        <v>4.5735989055254792E-3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2.2730227935228494E-2</v>
      </c>
      <c r="D113" s="599">
        <f t="shared" si="12"/>
        <v>2.5072484103200451E-2</v>
      </c>
      <c r="E113" s="599">
        <f t="shared" si="13"/>
        <v>2.3422561679719567E-3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1.4730936473435015E-3</v>
      </c>
      <c r="D114" s="599">
        <f t="shared" si="12"/>
        <v>4.9202473173777018E-4</v>
      </c>
      <c r="E114" s="599">
        <f t="shared" si="13"/>
        <v>-9.8106891560573129E-4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4.2617752245387563E-3</v>
      </c>
      <c r="D115" s="599">
        <f t="shared" si="12"/>
        <v>7.4684460990180059E-4</v>
      </c>
      <c r="E115" s="599">
        <f t="shared" si="13"/>
        <v>-3.5149306146369558E-3</v>
      </c>
    </row>
    <row r="116" spans="1:5" s="421" customFormat="1" x14ac:dyDescent="0.2">
      <c r="A116" s="588"/>
      <c r="B116" s="592" t="s">
        <v>796</v>
      </c>
      <c r="C116" s="600">
        <f>SUM(C110+C111+C114)</f>
        <v>0.38125270763425406</v>
      </c>
      <c r="D116" s="600">
        <f>SUM(D110+D111+D114)</f>
        <v>0.37298215231113785</v>
      </c>
      <c r="E116" s="601">
        <f t="shared" si="13"/>
        <v>-8.2705553231162132E-3</v>
      </c>
    </row>
    <row r="117" spans="1:5" s="421" customFormat="1" x14ac:dyDescent="0.2">
      <c r="A117" s="588"/>
      <c r="B117" s="592" t="s">
        <v>797</v>
      </c>
      <c r="C117" s="600">
        <f>SUM(C109+C116)</f>
        <v>0.50813807092948571</v>
      </c>
      <c r="D117" s="600">
        <f>SUM(D109+D116)</f>
        <v>0.47609126293564097</v>
      </c>
      <c r="E117" s="601">
        <f t="shared" si="13"/>
        <v>-3.2046807993844739E-2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0.31311116242012771</v>
      </c>
      <c r="D121" s="599">
        <f t="shared" si="14"/>
        <v>0.32897059782798843</v>
      </c>
      <c r="E121" s="599">
        <f t="shared" ref="E121:E129" si="15">D121-C121</f>
        <v>1.5859435407860722E-2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0.14304114790790165</v>
      </c>
      <c r="D122" s="599">
        <f t="shared" si="14"/>
        <v>0.15204606112036503</v>
      </c>
      <c r="E122" s="599">
        <f t="shared" si="15"/>
        <v>9.0049132124633835E-3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3.4912095221089554E-2</v>
      </c>
      <c r="D123" s="599">
        <f t="shared" si="14"/>
        <v>4.2066847660199733E-2</v>
      </c>
      <c r="E123" s="599">
        <f t="shared" si="15"/>
        <v>7.1547524391101791E-3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2.4158401385183832E-2</v>
      </c>
      <c r="D124" s="599">
        <f t="shared" si="14"/>
        <v>2.9462456342002778E-2</v>
      </c>
      <c r="E124" s="599">
        <f t="shared" si="15"/>
        <v>5.304054956818946E-3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1.0753693835905721E-2</v>
      </c>
      <c r="D125" s="599">
        <f t="shared" si="14"/>
        <v>1.2604391318196953E-2</v>
      </c>
      <c r="E125" s="599">
        <f t="shared" si="15"/>
        <v>1.8506974822912314E-3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7.9752352139536272E-4</v>
      </c>
      <c r="D126" s="599">
        <f t="shared" si="14"/>
        <v>8.2523045580588982E-4</v>
      </c>
      <c r="E126" s="599">
        <f t="shared" si="15"/>
        <v>2.7706934410527098E-5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8.1107368753643716E-3</v>
      </c>
      <c r="D127" s="599">
        <f t="shared" si="14"/>
        <v>4.9164364720117931E-3</v>
      </c>
      <c r="E127" s="599">
        <f t="shared" si="15"/>
        <v>-3.1943004033525785E-3</v>
      </c>
    </row>
    <row r="128" spans="1:5" s="421" customFormat="1" x14ac:dyDescent="0.2">
      <c r="A128" s="588"/>
      <c r="B128" s="592" t="s">
        <v>799</v>
      </c>
      <c r="C128" s="600">
        <f>SUM(C122+C123+C126)</f>
        <v>0.17875076665038656</v>
      </c>
      <c r="D128" s="600">
        <f>SUM(D122+D123+D126)</f>
        <v>0.19493813923637066</v>
      </c>
      <c r="E128" s="601">
        <f t="shared" si="15"/>
        <v>1.61873725859841E-2</v>
      </c>
    </row>
    <row r="129" spans="1:5" s="421" customFormat="1" x14ac:dyDescent="0.2">
      <c r="A129" s="588"/>
      <c r="B129" s="592" t="s">
        <v>800</v>
      </c>
      <c r="C129" s="600">
        <f>SUM(C121+C128)</f>
        <v>0.49186192907051429</v>
      </c>
      <c r="D129" s="600">
        <f>SUM(D121+D128)</f>
        <v>0.52390873706435914</v>
      </c>
      <c r="E129" s="601">
        <f t="shared" si="15"/>
        <v>3.204680799384485E-2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830</v>
      </c>
      <c r="D137" s="606">
        <v>703</v>
      </c>
      <c r="E137" s="607">
        <f t="shared" ref="E137:E145" si="16">D137-C137</f>
        <v>-127</v>
      </c>
    </row>
    <row r="138" spans="1:5" s="421" customFormat="1" x14ac:dyDescent="0.2">
      <c r="A138" s="588">
        <v>2</v>
      </c>
      <c r="B138" s="587" t="s">
        <v>635</v>
      </c>
      <c r="C138" s="606">
        <v>1614</v>
      </c>
      <c r="D138" s="606">
        <v>1461</v>
      </c>
      <c r="E138" s="607">
        <f t="shared" si="16"/>
        <v>-153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425</v>
      </c>
      <c r="D139" s="606">
        <f>D140+D141</f>
        <v>447</v>
      </c>
      <c r="E139" s="607">
        <f t="shared" si="16"/>
        <v>22</v>
      </c>
    </row>
    <row r="140" spans="1:5" s="421" customFormat="1" x14ac:dyDescent="0.2">
      <c r="A140" s="588">
        <v>4</v>
      </c>
      <c r="B140" s="587" t="s">
        <v>115</v>
      </c>
      <c r="C140" s="606">
        <v>217</v>
      </c>
      <c r="D140" s="606">
        <v>235</v>
      </c>
      <c r="E140" s="607">
        <f t="shared" si="16"/>
        <v>18</v>
      </c>
    </row>
    <row r="141" spans="1:5" s="421" customFormat="1" x14ac:dyDescent="0.2">
      <c r="A141" s="588">
        <v>5</v>
      </c>
      <c r="B141" s="587" t="s">
        <v>743</v>
      </c>
      <c r="C141" s="606">
        <v>208</v>
      </c>
      <c r="D141" s="606">
        <v>212</v>
      </c>
      <c r="E141" s="607">
        <f t="shared" si="16"/>
        <v>4</v>
      </c>
    </row>
    <row r="142" spans="1:5" s="421" customFormat="1" x14ac:dyDescent="0.2">
      <c r="A142" s="588">
        <v>6</v>
      </c>
      <c r="B142" s="587" t="s">
        <v>424</v>
      </c>
      <c r="C142" s="606">
        <v>9</v>
      </c>
      <c r="D142" s="606">
        <v>5</v>
      </c>
      <c r="E142" s="607">
        <f t="shared" si="16"/>
        <v>-4</v>
      </c>
    </row>
    <row r="143" spans="1:5" s="421" customFormat="1" x14ac:dyDescent="0.2">
      <c r="A143" s="588">
        <v>7</v>
      </c>
      <c r="B143" s="587" t="s">
        <v>758</v>
      </c>
      <c r="C143" s="606">
        <v>93</v>
      </c>
      <c r="D143" s="606">
        <v>40</v>
      </c>
      <c r="E143" s="607">
        <f t="shared" si="16"/>
        <v>-53</v>
      </c>
    </row>
    <row r="144" spans="1:5" s="421" customFormat="1" x14ac:dyDescent="0.2">
      <c r="A144" s="588"/>
      <c r="B144" s="592" t="s">
        <v>807</v>
      </c>
      <c r="C144" s="608">
        <f>SUM(C138+C139+C142)</f>
        <v>2048</v>
      </c>
      <c r="D144" s="608">
        <f>SUM(D138+D139+D142)</f>
        <v>1913</v>
      </c>
      <c r="E144" s="609">
        <f t="shared" si="16"/>
        <v>-135</v>
      </c>
    </row>
    <row r="145" spans="1:5" s="421" customFormat="1" x14ac:dyDescent="0.2">
      <c r="A145" s="588"/>
      <c r="B145" s="592" t="s">
        <v>138</v>
      </c>
      <c r="C145" s="608">
        <f>SUM(C137+C144)</f>
        <v>2878</v>
      </c>
      <c r="D145" s="608">
        <f>SUM(D137+D144)</f>
        <v>2616</v>
      </c>
      <c r="E145" s="609">
        <f t="shared" si="16"/>
        <v>-262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2558</v>
      </c>
      <c r="D149" s="610">
        <v>2110</v>
      </c>
      <c r="E149" s="607">
        <f t="shared" ref="E149:E157" si="17">D149-C149</f>
        <v>-448</v>
      </c>
    </row>
    <row r="150" spans="1:5" s="421" customFormat="1" x14ac:dyDescent="0.2">
      <c r="A150" s="588">
        <v>2</v>
      </c>
      <c r="B150" s="587" t="s">
        <v>635</v>
      </c>
      <c r="C150" s="610">
        <v>8491</v>
      </c>
      <c r="D150" s="610">
        <v>8225</v>
      </c>
      <c r="E150" s="607">
        <f t="shared" si="17"/>
        <v>-266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1268</v>
      </c>
      <c r="D151" s="610">
        <f>D152+D153</f>
        <v>1345</v>
      </c>
      <c r="E151" s="607">
        <f t="shared" si="17"/>
        <v>77</v>
      </c>
    </row>
    <row r="152" spans="1:5" s="421" customFormat="1" x14ac:dyDescent="0.2">
      <c r="A152" s="588">
        <v>4</v>
      </c>
      <c r="B152" s="587" t="s">
        <v>115</v>
      </c>
      <c r="C152" s="610">
        <v>615</v>
      </c>
      <c r="D152" s="610">
        <v>711</v>
      </c>
      <c r="E152" s="607">
        <f t="shared" si="17"/>
        <v>96</v>
      </c>
    </row>
    <row r="153" spans="1:5" s="421" customFormat="1" x14ac:dyDescent="0.2">
      <c r="A153" s="588">
        <v>5</v>
      </c>
      <c r="B153" s="587" t="s">
        <v>743</v>
      </c>
      <c r="C153" s="611">
        <v>653</v>
      </c>
      <c r="D153" s="610">
        <v>634</v>
      </c>
      <c r="E153" s="607">
        <f t="shared" si="17"/>
        <v>-19</v>
      </c>
    </row>
    <row r="154" spans="1:5" s="421" customFormat="1" x14ac:dyDescent="0.2">
      <c r="A154" s="588">
        <v>6</v>
      </c>
      <c r="B154" s="587" t="s">
        <v>424</v>
      </c>
      <c r="C154" s="610">
        <v>21</v>
      </c>
      <c r="D154" s="610">
        <v>10</v>
      </c>
      <c r="E154" s="607">
        <f t="shared" si="17"/>
        <v>-11</v>
      </c>
    </row>
    <row r="155" spans="1:5" s="421" customFormat="1" x14ac:dyDescent="0.2">
      <c r="A155" s="588">
        <v>7</v>
      </c>
      <c r="B155" s="587" t="s">
        <v>758</v>
      </c>
      <c r="C155" s="610">
        <v>241</v>
      </c>
      <c r="D155" s="610">
        <v>93</v>
      </c>
      <c r="E155" s="607">
        <f t="shared" si="17"/>
        <v>-148</v>
      </c>
    </row>
    <row r="156" spans="1:5" s="421" customFormat="1" x14ac:dyDescent="0.2">
      <c r="A156" s="588"/>
      <c r="B156" s="592" t="s">
        <v>808</v>
      </c>
      <c r="C156" s="608">
        <f>SUM(C150+C151+C154)</f>
        <v>9780</v>
      </c>
      <c r="D156" s="608">
        <f>SUM(D150+D151+D154)</f>
        <v>9580</v>
      </c>
      <c r="E156" s="609">
        <f t="shared" si="17"/>
        <v>-200</v>
      </c>
    </row>
    <row r="157" spans="1:5" s="421" customFormat="1" x14ac:dyDescent="0.2">
      <c r="A157" s="588"/>
      <c r="B157" s="592" t="s">
        <v>140</v>
      </c>
      <c r="C157" s="608">
        <f>SUM(C149+C156)</f>
        <v>12338</v>
      </c>
      <c r="D157" s="608">
        <f>SUM(D149+D156)</f>
        <v>11690</v>
      </c>
      <c r="E157" s="609">
        <f t="shared" si="17"/>
        <v>-648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3.0819277108433734</v>
      </c>
      <c r="D161" s="612">
        <f t="shared" si="18"/>
        <v>3.0014224751066858</v>
      </c>
      <c r="E161" s="613">
        <f t="shared" ref="E161:E169" si="19">D161-C161</f>
        <v>-8.0505235736687553E-2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5.2608426270136306</v>
      </c>
      <c r="D162" s="612">
        <f t="shared" si="18"/>
        <v>5.6297056810403836</v>
      </c>
      <c r="E162" s="613">
        <f t="shared" si="19"/>
        <v>0.36886305402675301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2.9835294117647058</v>
      </c>
      <c r="D163" s="612">
        <f t="shared" si="18"/>
        <v>3.0089485458612977</v>
      </c>
      <c r="E163" s="613">
        <f t="shared" si="19"/>
        <v>2.5419134096591911E-2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2.8341013824884791</v>
      </c>
      <c r="D164" s="612">
        <f t="shared" si="18"/>
        <v>3.0255319148936168</v>
      </c>
      <c r="E164" s="613">
        <f t="shared" si="19"/>
        <v>0.19143053240513774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3.1394230769230771</v>
      </c>
      <c r="D165" s="612">
        <f t="shared" si="18"/>
        <v>2.9905660377358489</v>
      </c>
      <c r="E165" s="613">
        <f t="shared" si="19"/>
        <v>-0.14885703918722815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2.3333333333333335</v>
      </c>
      <c r="D166" s="612">
        <f t="shared" si="18"/>
        <v>2</v>
      </c>
      <c r="E166" s="613">
        <f t="shared" si="19"/>
        <v>-0.33333333333333348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2.5913978494623655</v>
      </c>
      <c r="D167" s="612">
        <f t="shared" si="18"/>
        <v>2.3250000000000002</v>
      </c>
      <c r="E167" s="613">
        <f t="shared" si="19"/>
        <v>-0.26639784946236533</v>
      </c>
    </row>
    <row r="168" spans="1:5" s="421" customFormat="1" x14ac:dyDescent="0.2">
      <c r="A168" s="588"/>
      <c r="B168" s="592" t="s">
        <v>810</v>
      </c>
      <c r="C168" s="614">
        <f t="shared" si="18"/>
        <v>4.775390625</v>
      </c>
      <c r="D168" s="614">
        <f t="shared" si="18"/>
        <v>5.0078410872974386</v>
      </c>
      <c r="E168" s="615">
        <f t="shared" si="19"/>
        <v>0.2324504622974386</v>
      </c>
    </row>
    <row r="169" spans="1:5" s="421" customFormat="1" x14ac:dyDescent="0.2">
      <c r="A169" s="588"/>
      <c r="B169" s="592" t="s">
        <v>744</v>
      </c>
      <c r="C169" s="614">
        <f t="shared" si="18"/>
        <v>4.2870048644892282</v>
      </c>
      <c r="D169" s="614">
        <f t="shared" si="18"/>
        <v>4.4686544342507641</v>
      </c>
      <c r="E169" s="615">
        <f t="shared" si="19"/>
        <v>0.1816495697615359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1.0066999999999999</v>
      </c>
      <c r="D173" s="617">
        <f t="shared" si="20"/>
        <v>0.92369999999999997</v>
      </c>
      <c r="E173" s="618">
        <f t="shared" ref="E173:E181" si="21">D173-C173</f>
        <v>-8.2999999999999963E-2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1.1823999999999999</v>
      </c>
      <c r="D174" s="617">
        <f t="shared" si="20"/>
        <v>1.1961999999999999</v>
      </c>
      <c r="E174" s="618">
        <f t="shared" si="21"/>
        <v>1.3800000000000034E-2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0.93546000000000007</v>
      </c>
      <c r="D175" s="617">
        <f t="shared" si="20"/>
        <v>0.90741387024608511</v>
      </c>
      <c r="E175" s="618">
        <f t="shared" si="21"/>
        <v>-2.8046129753914961E-2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0.91049999999999998</v>
      </c>
      <c r="D176" s="617">
        <f t="shared" si="20"/>
        <v>0.93440000000000001</v>
      </c>
      <c r="E176" s="618">
        <f t="shared" si="21"/>
        <v>2.3900000000000032E-2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0.96150000000000013</v>
      </c>
      <c r="D177" s="617">
        <f t="shared" si="20"/>
        <v>0.87750000000000006</v>
      </c>
      <c r="E177" s="618">
        <f t="shared" si="21"/>
        <v>-8.4000000000000075E-2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1.0219</v>
      </c>
      <c r="D178" s="617">
        <f t="shared" si="20"/>
        <v>0.68859999999999999</v>
      </c>
      <c r="E178" s="618">
        <f t="shared" si="21"/>
        <v>-0.33330000000000004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0.89090000000000003</v>
      </c>
      <c r="D179" s="617">
        <f t="shared" si="20"/>
        <v>0.75600000000000001</v>
      </c>
      <c r="E179" s="618">
        <f t="shared" si="21"/>
        <v>-0.13490000000000002</v>
      </c>
    </row>
    <row r="180" spans="1:5" s="421" customFormat="1" x14ac:dyDescent="0.2">
      <c r="A180" s="588"/>
      <c r="B180" s="592" t="s">
        <v>812</v>
      </c>
      <c r="C180" s="619">
        <f t="shared" si="20"/>
        <v>1.1304498046875</v>
      </c>
      <c r="D180" s="619">
        <f t="shared" si="20"/>
        <v>1.1273942498693155</v>
      </c>
      <c r="E180" s="620">
        <f t="shared" si="21"/>
        <v>-3.055554818184536E-3</v>
      </c>
    </row>
    <row r="181" spans="1:5" s="421" customFormat="1" x14ac:dyDescent="0.2">
      <c r="A181" s="588"/>
      <c r="B181" s="592" t="s">
        <v>723</v>
      </c>
      <c r="C181" s="619">
        <f t="shared" si="20"/>
        <v>1.0947610145934676</v>
      </c>
      <c r="D181" s="619">
        <f t="shared" si="20"/>
        <v>1.0726553134556576</v>
      </c>
      <c r="E181" s="620">
        <f t="shared" si="21"/>
        <v>-2.2105701137810074E-2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55244177</v>
      </c>
      <c r="D185" s="589">
        <v>52241943</v>
      </c>
      <c r="E185" s="590">
        <f>D185-C185</f>
        <v>-3002234</v>
      </c>
    </row>
    <row r="186" spans="1:5" s="421" customFormat="1" ht="25.5" x14ac:dyDescent="0.2">
      <c r="A186" s="588">
        <v>2</v>
      </c>
      <c r="B186" s="587" t="s">
        <v>815</v>
      </c>
      <c r="C186" s="589">
        <v>27839311</v>
      </c>
      <c r="D186" s="589">
        <v>25479835</v>
      </c>
      <c r="E186" s="590">
        <f>D186-C186</f>
        <v>-2359476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27404866</v>
      </c>
      <c r="D188" s="622">
        <f>+D185-D186</f>
        <v>26762108</v>
      </c>
      <c r="E188" s="590">
        <f t="shared" ref="E188:E197" si="22">D188-C188</f>
        <v>-642758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0.49606795662826147</v>
      </c>
      <c r="D189" s="623">
        <f>IF(D185=0,0,+D188/D185)</f>
        <v>0.51227244744706379</v>
      </c>
      <c r="E189" s="599">
        <f t="shared" si="22"/>
        <v>1.620449081880232E-2</v>
      </c>
    </row>
    <row r="190" spans="1:5" s="421" customFormat="1" x14ac:dyDescent="0.2">
      <c r="A190" s="588">
        <v>5</v>
      </c>
      <c r="B190" s="587" t="s">
        <v>762</v>
      </c>
      <c r="C190" s="589">
        <v>2174989</v>
      </c>
      <c r="D190" s="589">
        <v>1748963</v>
      </c>
      <c r="E190" s="622">
        <f t="shared" si="22"/>
        <v>-426026</v>
      </c>
    </row>
    <row r="191" spans="1:5" s="421" customFormat="1" x14ac:dyDescent="0.2">
      <c r="A191" s="588">
        <v>6</v>
      </c>
      <c r="B191" s="587" t="s">
        <v>748</v>
      </c>
      <c r="C191" s="589">
        <v>1448354</v>
      </c>
      <c r="D191" s="589">
        <v>1000434</v>
      </c>
      <c r="E191" s="622">
        <f t="shared" si="22"/>
        <v>-447920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941923</v>
      </c>
      <c r="D193" s="589">
        <v>892961</v>
      </c>
      <c r="E193" s="622">
        <f t="shared" si="22"/>
        <v>-48962</v>
      </c>
    </row>
    <row r="194" spans="1:5" s="421" customFormat="1" x14ac:dyDescent="0.2">
      <c r="A194" s="588">
        <v>9</v>
      </c>
      <c r="B194" s="587" t="s">
        <v>818</v>
      </c>
      <c r="C194" s="589">
        <v>2293507</v>
      </c>
      <c r="D194" s="589">
        <v>2270701</v>
      </c>
      <c r="E194" s="622">
        <f t="shared" si="22"/>
        <v>-22806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3235430</v>
      </c>
      <c r="D195" s="589">
        <f>+D193+D194</f>
        <v>3163662</v>
      </c>
      <c r="E195" s="625">
        <f t="shared" si="22"/>
        <v>-71768</v>
      </c>
    </row>
    <row r="196" spans="1:5" s="421" customFormat="1" x14ac:dyDescent="0.2">
      <c r="A196" s="588">
        <v>11</v>
      </c>
      <c r="B196" s="587" t="s">
        <v>820</v>
      </c>
      <c r="C196" s="589">
        <v>429185</v>
      </c>
      <c r="D196" s="589">
        <v>1092483</v>
      </c>
      <c r="E196" s="622">
        <f t="shared" si="22"/>
        <v>663298</v>
      </c>
    </row>
    <row r="197" spans="1:5" s="421" customFormat="1" x14ac:dyDescent="0.2">
      <c r="A197" s="588">
        <v>12</v>
      </c>
      <c r="B197" s="587" t="s">
        <v>710</v>
      </c>
      <c r="C197" s="589">
        <v>49401485</v>
      </c>
      <c r="D197" s="589">
        <v>48236048</v>
      </c>
      <c r="E197" s="622">
        <f t="shared" si="22"/>
        <v>-1165437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835.56099999999992</v>
      </c>
      <c r="D203" s="629">
        <v>649.36109999999996</v>
      </c>
      <c r="E203" s="630">
        <f t="shared" ref="E203:E211" si="23">D203-C203</f>
        <v>-186.19989999999996</v>
      </c>
    </row>
    <row r="204" spans="1:5" s="421" customFormat="1" x14ac:dyDescent="0.2">
      <c r="A204" s="588">
        <v>2</v>
      </c>
      <c r="B204" s="587" t="s">
        <v>635</v>
      </c>
      <c r="C204" s="629">
        <v>1908.3935999999999</v>
      </c>
      <c r="D204" s="629">
        <v>1747.6481999999999</v>
      </c>
      <c r="E204" s="630">
        <f t="shared" si="23"/>
        <v>-160.74540000000002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397.57050000000004</v>
      </c>
      <c r="D205" s="629">
        <f>D206+D207</f>
        <v>405.61400000000003</v>
      </c>
      <c r="E205" s="630">
        <f t="shared" si="23"/>
        <v>8.0434999999999945</v>
      </c>
    </row>
    <row r="206" spans="1:5" s="421" customFormat="1" x14ac:dyDescent="0.2">
      <c r="A206" s="588">
        <v>4</v>
      </c>
      <c r="B206" s="587" t="s">
        <v>115</v>
      </c>
      <c r="C206" s="629">
        <v>197.57849999999999</v>
      </c>
      <c r="D206" s="629">
        <v>219.584</v>
      </c>
      <c r="E206" s="630">
        <f t="shared" si="23"/>
        <v>22.005500000000012</v>
      </c>
    </row>
    <row r="207" spans="1:5" s="421" customFormat="1" x14ac:dyDescent="0.2">
      <c r="A207" s="588">
        <v>5</v>
      </c>
      <c r="B207" s="587" t="s">
        <v>743</v>
      </c>
      <c r="C207" s="629">
        <v>199.99200000000002</v>
      </c>
      <c r="D207" s="629">
        <v>186.03</v>
      </c>
      <c r="E207" s="630">
        <f t="shared" si="23"/>
        <v>-13.962000000000018</v>
      </c>
    </row>
    <row r="208" spans="1:5" s="421" customFormat="1" x14ac:dyDescent="0.2">
      <c r="A208" s="588">
        <v>6</v>
      </c>
      <c r="B208" s="587" t="s">
        <v>424</v>
      </c>
      <c r="C208" s="629">
        <v>9.1971000000000007</v>
      </c>
      <c r="D208" s="629">
        <v>3.4430000000000001</v>
      </c>
      <c r="E208" s="630">
        <f t="shared" si="23"/>
        <v>-5.7541000000000011</v>
      </c>
    </row>
    <row r="209" spans="1:5" s="421" customFormat="1" x14ac:dyDescent="0.2">
      <c r="A209" s="588">
        <v>7</v>
      </c>
      <c r="B209" s="587" t="s">
        <v>758</v>
      </c>
      <c r="C209" s="629">
        <v>82.853700000000003</v>
      </c>
      <c r="D209" s="629">
        <v>30.240000000000002</v>
      </c>
      <c r="E209" s="630">
        <f t="shared" si="23"/>
        <v>-52.613700000000001</v>
      </c>
    </row>
    <row r="210" spans="1:5" s="421" customFormat="1" x14ac:dyDescent="0.2">
      <c r="A210" s="588"/>
      <c r="B210" s="592" t="s">
        <v>823</v>
      </c>
      <c r="C210" s="631">
        <f>C204+C205+C208</f>
        <v>2315.1612</v>
      </c>
      <c r="D210" s="631">
        <f>D204+D205+D208</f>
        <v>2156.7052000000003</v>
      </c>
      <c r="E210" s="632">
        <f t="shared" si="23"/>
        <v>-158.45599999999968</v>
      </c>
    </row>
    <row r="211" spans="1:5" s="421" customFormat="1" x14ac:dyDescent="0.2">
      <c r="A211" s="588"/>
      <c r="B211" s="592" t="s">
        <v>724</v>
      </c>
      <c r="C211" s="631">
        <f>C210+C203</f>
        <v>3150.7222000000002</v>
      </c>
      <c r="D211" s="631">
        <f>D210+D203</f>
        <v>2806.0663000000004</v>
      </c>
      <c r="E211" s="632">
        <f t="shared" si="23"/>
        <v>-344.65589999999975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2094.6955996320139</v>
      </c>
      <c r="D215" s="633">
        <f>IF(D14*D137=0,0,D25/D14*D137)</f>
        <v>2251.5196763985546</v>
      </c>
      <c r="E215" s="633">
        <f t="shared" ref="E215:E223" si="24">D215-C215</f>
        <v>156.82407676654066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1523.5902541373312</v>
      </c>
      <c r="D216" s="633">
        <f>IF(D15*D138=0,0,D26/D15*D138)</f>
        <v>1348.8395433193457</v>
      </c>
      <c r="E216" s="633">
        <f t="shared" si="24"/>
        <v>-174.75071081798546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614.90850174592003</v>
      </c>
      <c r="D217" s="633">
        <f>D218+D219</f>
        <v>749.66284443897234</v>
      </c>
      <c r="E217" s="633">
        <f t="shared" si="24"/>
        <v>134.75434269305231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359.9667711170332</v>
      </c>
      <c r="D218" s="633">
        <f t="shared" si="25"/>
        <v>419.97400700471803</v>
      </c>
      <c r="E218" s="633">
        <f t="shared" si="24"/>
        <v>60.007235887684828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254.9417306288868</v>
      </c>
      <c r="D219" s="633">
        <f t="shared" si="25"/>
        <v>329.68883743425425</v>
      </c>
      <c r="E219" s="633">
        <f t="shared" si="24"/>
        <v>74.747106805367451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20.164365355664284</v>
      </c>
      <c r="D220" s="633">
        <f t="shared" si="25"/>
        <v>24.380178290508653</v>
      </c>
      <c r="E220" s="633">
        <f t="shared" si="24"/>
        <v>4.2158129348443687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231.69041554725933</v>
      </c>
      <c r="D221" s="633">
        <f t="shared" si="25"/>
        <v>209.92509043639251</v>
      </c>
      <c r="E221" s="633">
        <f t="shared" si="24"/>
        <v>-21.765325110866826</v>
      </c>
    </row>
    <row r="222" spans="1:5" s="421" customFormat="1" x14ac:dyDescent="0.2">
      <c r="A222" s="588"/>
      <c r="B222" s="592" t="s">
        <v>825</v>
      </c>
      <c r="C222" s="634">
        <f>C216+C218+C219+C220</f>
        <v>2158.6631212389157</v>
      </c>
      <c r="D222" s="634">
        <f>D216+D218+D219+D220</f>
        <v>2122.8825660488269</v>
      </c>
      <c r="E222" s="634">
        <f t="shared" si="24"/>
        <v>-35.780555190088762</v>
      </c>
    </row>
    <row r="223" spans="1:5" s="421" customFormat="1" x14ac:dyDescent="0.2">
      <c r="A223" s="588"/>
      <c r="B223" s="592" t="s">
        <v>826</v>
      </c>
      <c r="C223" s="634">
        <f>C215+C222</f>
        <v>4253.3587208709296</v>
      </c>
      <c r="D223" s="634">
        <f>D215+D222</f>
        <v>4374.4022424473815</v>
      </c>
      <c r="E223" s="634">
        <f t="shared" si="24"/>
        <v>121.04352157645189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7991.7001870599524</v>
      </c>
      <c r="D227" s="636">
        <f t="shared" si="26"/>
        <v>7833.3457301338194</v>
      </c>
      <c r="E227" s="636">
        <f t="shared" ref="E227:E235" si="27">D227-C227</f>
        <v>-158.35445692613303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9416.6968491195948</v>
      </c>
      <c r="D228" s="636">
        <f t="shared" si="26"/>
        <v>9238.2591645160628</v>
      </c>
      <c r="E228" s="636">
        <f t="shared" si="27"/>
        <v>-178.43768460353203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5070.2177349677595</v>
      </c>
      <c r="D229" s="636">
        <f t="shared" si="26"/>
        <v>5499.7756487695196</v>
      </c>
      <c r="E229" s="636">
        <f t="shared" si="27"/>
        <v>429.55791380176015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4147.9867495704239</v>
      </c>
      <c r="D230" s="636">
        <f t="shared" si="26"/>
        <v>4526.2314194112505</v>
      </c>
      <c r="E230" s="636">
        <f t="shared" si="27"/>
        <v>378.24466984082665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5981.3192527701103</v>
      </c>
      <c r="D231" s="636">
        <f t="shared" si="26"/>
        <v>6648.9168413696716</v>
      </c>
      <c r="E231" s="636">
        <f t="shared" si="27"/>
        <v>667.59758859956128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8429.1787628709044</v>
      </c>
      <c r="D232" s="636">
        <f t="shared" si="26"/>
        <v>7049.9564333430144</v>
      </c>
      <c r="E232" s="636">
        <f t="shared" si="27"/>
        <v>-1379.22232952789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2706.9762726347767</v>
      </c>
      <c r="D233" s="636">
        <f t="shared" si="26"/>
        <v>1218.3862433862432</v>
      </c>
      <c r="E233" s="636">
        <f t="shared" si="27"/>
        <v>-1488.5900292485335</v>
      </c>
    </row>
    <row r="234" spans="1:5" x14ac:dyDescent="0.2">
      <c r="A234" s="588"/>
      <c r="B234" s="592" t="s">
        <v>828</v>
      </c>
      <c r="C234" s="637">
        <f t="shared" si="26"/>
        <v>8666.3758013912811</v>
      </c>
      <c r="D234" s="637">
        <f t="shared" si="26"/>
        <v>8531.6648747357758</v>
      </c>
      <c r="E234" s="637">
        <f t="shared" si="27"/>
        <v>-134.71092665550532</v>
      </c>
    </row>
    <row r="235" spans="1:5" s="421" customFormat="1" x14ac:dyDescent="0.2">
      <c r="A235" s="588"/>
      <c r="B235" s="592" t="s">
        <v>829</v>
      </c>
      <c r="C235" s="637">
        <f t="shared" si="26"/>
        <v>8487.4540827496621</v>
      </c>
      <c r="D235" s="637">
        <f t="shared" si="26"/>
        <v>8370.064527698436</v>
      </c>
      <c r="E235" s="637">
        <f t="shared" si="27"/>
        <v>-117.38955505122613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7866.5344038030034</v>
      </c>
      <c r="D239" s="636">
        <f t="shared" si="28"/>
        <v>7208.0511532368228</v>
      </c>
      <c r="E239" s="638">
        <f t="shared" ref="E239:E247" si="29">D239-C239</f>
        <v>-658.48325056618069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4940.8152746830792</v>
      </c>
      <c r="D240" s="636">
        <f t="shared" si="28"/>
        <v>5560.9809462889725</v>
      </c>
      <c r="E240" s="638">
        <f t="shared" si="29"/>
        <v>620.16567160589329</v>
      </c>
    </row>
    <row r="241" spans="1:5" x14ac:dyDescent="0.2">
      <c r="A241" s="588">
        <v>3</v>
      </c>
      <c r="B241" s="587" t="s">
        <v>777</v>
      </c>
      <c r="C241" s="636">
        <f t="shared" si="28"/>
        <v>2987.9355949434807</v>
      </c>
      <c r="D241" s="636">
        <f t="shared" si="28"/>
        <v>2768.2831227324377</v>
      </c>
      <c r="E241" s="638">
        <f t="shared" si="29"/>
        <v>-219.652472211043</v>
      </c>
    </row>
    <row r="242" spans="1:5" x14ac:dyDescent="0.2">
      <c r="A242" s="588">
        <v>4</v>
      </c>
      <c r="B242" s="587" t="s">
        <v>115</v>
      </c>
      <c r="C242" s="636">
        <f t="shared" si="28"/>
        <v>3531.9260054330052</v>
      </c>
      <c r="D242" s="636">
        <f t="shared" si="28"/>
        <v>3460.8522807547743</v>
      </c>
      <c r="E242" s="638">
        <f t="shared" si="29"/>
        <v>-71.073724678230974</v>
      </c>
    </row>
    <row r="243" spans="1:5" x14ac:dyDescent="0.2">
      <c r="A243" s="588">
        <v>5</v>
      </c>
      <c r="B243" s="587" t="s">
        <v>743</v>
      </c>
      <c r="C243" s="636">
        <f t="shared" si="28"/>
        <v>2219.8445056600544</v>
      </c>
      <c r="D243" s="636">
        <f t="shared" si="28"/>
        <v>1886.0541498436387</v>
      </c>
      <c r="E243" s="638">
        <f t="shared" si="29"/>
        <v>-333.79035581641574</v>
      </c>
    </row>
    <row r="244" spans="1:5" x14ac:dyDescent="0.2">
      <c r="A244" s="588">
        <v>6</v>
      </c>
      <c r="B244" s="587" t="s">
        <v>424</v>
      </c>
      <c r="C244" s="636">
        <f t="shared" si="28"/>
        <v>2081.444134725029</v>
      </c>
      <c r="D244" s="636">
        <f t="shared" si="28"/>
        <v>1669.8401264706515</v>
      </c>
      <c r="E244" s="638">
        <f t="shared" si="29"/>
        <v>-411.6040082543775</v>
      </c>
    </row>
    <row r="245" spans="1:5" x14ac:dyDescent="0.2">
      <c r="A245" s="588">
        <v>7</v>
      </c>
      <c r="B245" s="587" t="s">
        <v>758</v>
      </c>
      <c r="C245" s="636">
        <f t="shared" si="28"/>
        <v>1842.2902777043644</v>
      </c>
      <c r="D245" s="636">
        <f t="shared" si="28"/>
        <v>1155.3740407866608</v>
      </c>
      <c r="E245" s="638">
        <f t="shared" si="29"/>
        <v>-686.9162369177036</v>
      </c>
    </row>
    <row r="246" spans="1:5" ht="25.5" x14ac:dyDescent="0.2">
      <c r="A246" s="588"/>
      <c r="B246" s="592" t="s">
        <v>831</v>
      </c>
      <c r="C246" s="637">
        <f t="shared" si="28"/>
        <v>4357.8156811244517</v>
      </c>
      <c r="D246" s="637">
        <f t="shared" si="28"/>
        <v>4530.0956132958363</v>
      </c>
      <c r="E246" s="639">
        <f t="shared" si="29"/>
        <v>172.27993217138464</v>
      </c>
    </row>
    <row r="247" spans="1:5" x14ac:dyDescent="0.2">
      <c r="A247" s="588"/>
      <c r="B247" s="592" t="s">
        <v>832</v>
      </c>
      <c r="C247" s="637">
        <f t="shared" si="28"/>
        <v>6085.7907124042677</v>
      </c>
      <c r="D247" s="637">
        <f t="shared" si="28"/>
        <v>5908.4484159233998</v>
      </c>
      <c r="E247" s="639">
        <f t="shared" si="29"/>
        <v>-177.34229648086784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507153.32111338555</v>
      </c>
      <c r="D251" s="622">
        <f>((IF((IF(D15=0,0,D26/D15)*D138)=0,0,D59/(IF(D15=0,0,D26/D15)*D138)))-(IF((IF(D17=0,0,D28/D17)*D140)=0,0,D61/(IF(D17=0,0,D28/D17)*D140))))*(IF(D17=0,0,D28/D17)*D140)</f>
        <v>881999.45088986855</v>
      </c>
      <c r="E251" s="622">
        <f>D251-C251</f>
        <v>374846.12977648299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1380737.033094469</v>
      </c>
      <c r="D252" s="622">
        <f>IF(D231=0,0,(D228-D231)*D207)+IF(D243=0,0,(D240-D243)*D219)</f>
        <v>1693277.6955509735</v>
      </c>
      <c r="E252" s="622">
        <f>D252-C252</f>
        <v>312540.66245650453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1273823.7198614692</v>
      </c>
      <c r="D253" s="622">
        <f>IF(D233=0,0,(D228-D233)*D209+IF(D221=0,0,(D240-D245)*D221))</f>
        <v>1167368.3851997338</v>
      </c>
      <c r="E253" s="622">
        <f>D253-C253</f>
        <v>-106455.33466173545</v>
      </c>
    </row>
    <row r="254" spans="1:5" ht="15" customHeight="1" x14ac:dyDescent="0.2">
      <c r="A254" s="588"/>
      <c r="B254" s="592" t="s">
        <v>759</v>
      </c>
      <c r="C254" s="640">
        <f>+C251+C252+C253</f>
        <v>3161714.0740693239</v>
      </c>
      <c r="D254" s="640">
        <f>+D251+D252+D253</f>
        <v>3742645.5316405762</v>
      </c>
      <c r="E254" s="640">
        <f>D254-C254</f>
        <v>580931.45757125225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147441042</v>
      </c>
      <c r="D258" s="625">
        <f>+D44</f>
        <v>145172347</v>
      </c>
      <c r="E258" s="622">
        <f t="shared" ref="E258:E271" si="30">D258-C258</f>
        <v>-2268695</v>
      </c>
    </row>
    <row r="259" spans="1:5" x14ac:dyDescent="0.2">
      <c r="A259" s="588">
        <v>2</v>
      </c>
      <c r="B259" s="587" t="s">
        <v>742</v>
      </c>
      <c r="C259" s="622">
        <f>+(C43-C76)</f>
        <v>62725752</v>
      </c>
      <c r="D259" s="625">
        <f>+(D43-D76)</f>
        <v>64913257</v>
      </c>
      <c r="E259" s="622">
        <f t="shared" si="30"/>
        <v>2187505</v>
      </c>
    </row>
    <row r="260" spans="1:5" x14ac:dyDescent="0.2">
      <c r="A260" s="588">
        <v>3</v>
      </c>
      <c r="B260" s="587" t="s">
        <v>746</v>
      </c>
      <c r="C260" s="622">
        <f>C195</f>
        <v>3235430</v>
      </c>
      <c r="D260" s="622">
        <f>D195</f>
        <v>3163662</v>
      </c>
      <c r="E260" s="622">
        <f t="shared" si="30"/>
        <v>-71768</v>
      </c>
    </row>
    <row r="261" spans="1:5" x14ac:dyDescent="0.2">
      <c r="A261" s="588">
        <v>4</v>
      </c>
      <c r="B261" s="587" t="s">
        <v>747</v>
      </c>
      <c r="C261" s="622">
        <f>C188</f>
        <v>27404866</v>
      </c>
      <c r="D261" s="622">
        <f>D188</f>
        <v>26762108</v>
      </c>
      <c r="E261" s="622">
        <f t="shared" si="30"/>
        <v>-642758</v>
      </c>
    </row>
    <row r="262" spans="1:5" x14ac:dyDescent="0.2">
      <c r="A262" s="588">
        <v>5</v>
      </c>
      <c r="B262" s="587" t="s">
        <v>748</v>
      </c>
      <c r="C262" s="622">
        <f>C191</f>
        <v>1448354</v>
      </c>
      <c r="D262" s="622">
        <f>D191</f>
        <v>1000434</v>
      </c>
      <c r="E262" s="622">
        <f t="shared" si="30"/>
        <v>-447920</v>
      </c>
    </row>
    <row r="263" spans="1:5" x14ac:dyDescent="0.2">
      <c r="A263" s="588">
        <v>6</v>
      </c>
      <c r="B263" s="587" t="s">
        <v>749</v>
      </c>
      <c r="C263" s="622">
        <f>+C259+C260+C261+C262</f>
        <v>94814402</v>
      </c>
      <c r="D263" s="622">
        <f>+D259+D260+D261+D262</f>
        <v>95839461</v>
      </c>
      <c r="E263" s="622">
        <f t="shared" si="30"/>
        <v>1025059</v>
      </c>
    </row>
    <row r="264" spans="1:5" x14ac:dyDescent="0.2">
      <c r="A264" s="588">
        <v>7</v>
      </c>
      <c r="B264" s="587" t="s">
        <v>654</v>
      </c>
      <c r="C264" s="622">
        <f>+C258-C263</f>
        <v>52626640</v>
      </c>
      <c r="D264" s="622">
        <f>+D258-D263</f>
        <v>49332886</v>
      </c>
      <c r="E264" s="622">
        <f t="shared" si="30"/>
        <v>-3293754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52626640</v>
      </c>
      <c r="D266" s="622">
        <f>+D264+D265</f>
        <v>49332886</v>
      </c>
      <c r="E266" s="641">
        <f t="shared" si="30"/>
        <v>-3293754</v>
      </c>
    </row>
    <row r="267" spans="1:5" x14ac:dyDescent="0.2">
      <c r="A267" s="588">
        <v>10</v>
      </c>
      <c r="B267" s="587" t="s">
        <v>837</v>
      </c>
      <c r="C267" s="642">
        <f>IF(C258=0,0,C266/C258)</f>
        <v>0.35693345140629162</v>
      </c>
      <c r="D267" s="642">
        <f>IF(D258=0,0,D266/D258)</f>
        <v>0.33982288651708581</v>
      </c>
      <c r="E267" s="643">
        <f t="shared" si="30"/>
        <v>-1.7110564889205815E-2</v>
      </c>
    </row>
    <row r="268" spans="1:5" x14ac:dyDescent="0.2">
      <c r="A268" s="588">
        <v>11</v>
      </c>
      <c r="B268" s="587" t="s">
        <v>716</v>
      </c>
      <c r="C268" s="622">
        <f>+C260*C267</f>
        <v>1154833.1966834581</v>
      </c>
      <c r="D268" s="644">
        <f>+D260*D267</f>
        <v>1075084.7528044167</v>
      </c>
      <c r="E268" s="622">
        <f t="shared" si="30"/>
        <v>-79748.443879041355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1822253.6829890832</v>
      </c>
      <c r="D269" s="644">
        <f>((D17+D18+D28+D29)*D267)-(D50+D51+D61+D62)</f>
        <v>2212575.6268129703</v>
      </c>
      <c r="E269" s="622">
        <f t="shared" si="30"/>
        <v>390321.94382388704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2977086.8796725413</v>
      </c>
      <c r="D271" s="622">
        <f>+D268+D269+D270</f>
        <v>3287660.379617387</v>
      </c>
      <c r="E271" s="625">
        <f t="shared" si="30"/>
        <v>310573.49994484568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0.42592527744880854</v>
      </c>
      <c r="D276" s="623">
        <f t="shared" si="31"/>
        <v>0.40920959100842158</v>
      </c>
      <c r="E276" s="650">
        <f t="shared" ref="E276:E284" si="32">D276-C276</f>
        <v>-1.6715686440386957E-2</v>
      </c>
    </row>
    <row r="277" spans="1:5" x14ac:dyDescent="0.2">
      <c r="A277" s="588">
        <v>2</v>
      </c>
      <c r="B277" s="587" t="s">
        <v>635</v>
      </c>
      <c r="C277" s="623">
        <f t="shared" si="31"/>
        <v>0.45954187131968194</v>
      </c>
      <c r="D277" s="623">
        <f t="shared" si="31"/>
        <v>0.42232554891086271</v>
      </c>
      <c r="E277" s="650">
        <f t="shared" si="32"/>
        <v>-3.7216322408819225E-2</v>
      </c>
    </row>
    <row r="278" spans="1:5" x14ac:dyDescent="0.2">
      <c r="A278" s="588">
        <v>3</v>
      </c>
      <c r="B278" s="587" t="s">
        <v>777</v>
      </c>
      <c r="C278" s="623">
        <f t="shared" si="31"/>
        <v>0.30888485916852643</v>
      </c>
      <c r="D278" s="623">
        <f t="shared" si="31"/>
        <v>0.31165408917235538</v>
      </c>
      <c r="E278" s="650">
        <f t="shared" si="32"/>
        <v>2.7692300038289486E-3</v>
      </c>
    </row>
    <row r="279" spans="1:5" x14ac:dyDescent="0.2">
      <c r="A279" s="588">
        <v>4</v>
      </c>
      <c r="B279" s="587" t="s">
        <v>115</v>
      </c>
      <c r="C279" s="623">
        <f t="shared" si="31"/>
        <v>0.25807238848104858</v>
      </c>
      <c r="D279" s="623">
        <f t="shared" si="31"/>
        <v>0.2581734482066223</v>
      </c>
      <c r="E279" s="650">
        <f t="shared" si="32"/>
        <v>1.0105972557372667E-4</v>
      </c>
    </row>
    <row r="280" spans="1:5" x14ac:dyDescent="0.2">
      <c r="A280" s="588">
        <v>5</v>
      </c>
      <c r="B280" s="587" t="s">
        <v>743</v>
      </c>
      <c r="C280" s="623">
        <f t="shared" si="31"/>
        <v>0.35704902717231518</v>
      </c>
      <c r="D280" s="623">
        <f t="shared" si="31"/>
        <v>0.3738885194365516</v>
      </c>
      <c r="E280" s="650">
        <f t="shared" si="32"/>
        <v>1.6839492264236422E-2</v>
      </c>
    </row>
    <row r="281" spans="1:5" x14ac:dyDescent="0.2">
      <c r="A281" s="588">
        <v>6</v>
      </c>
      <c r="B281" s="587" t="s">
        <v>424</v>
      </c>
      <c r="C281" s="623">
        <f t="shared" si="31"/>
        <v>0.91178961234474976</v>
      </c>
      <c r="D281" s="623">
        <f t="shared" si="31"/>
        <v>0.63641845831148403</v>
      </c>
      <c r="E281" s="650">
        <f t="shared" si="32"/>
        <v>-0.27537115403326573</v>
      </c>
    </row>
    <row r="282" spans="1:5" x14ac:dyDescent="0.2">
      <c r="A282" s="588">
        <v>7</v>
      </c>
      <c r="B282" s="587" t="s">
        <v>758</v>
      </c>
      <c r="C282" s="623">
        <f t="shared" si="31"/>
        <v>0.20593085414068998</v>
      </c>
      <c r="D282" s="623">
        <f t="shared" si="31"/>
        <v>8.0630089440662134E-2</v>
      </c>
      <c r="E282" s="650">
        <f t="shared" si="32"/>
        <v>-0.12530076470002785</v>
      </c>
    </row>
    <row r="283" spans="1:5" ht="29.25" customHeight="1" x14ac:dyDescent="0.2">
      <c r="A283" s="588"/>
      <c r="B283" s="592" t="s">
        <v>844</v>
      </c>
      <c r="C283" s="651">
        <f t="shared" si="31"/>
        <v>0.43887706063448662</v>
      </c>
      <c r="D283" s="651">
        <f t="shared" si="31"/>
        <v>0.40506627893033609</v>
      </c>
      <c r="E283" s="652">
        <f t="shared" si="32"/>
        <v>-3.3810781704150528E-2</v>
      </c>
    </row>
    <row r="284" spans="1:5" x14ac:dyDescent="0.2">
      <c r="A284" s="588"/>
      <c r="B284" s="592" t="s">
        <v>845</v>
      </c>
      <c r="C284" s="651">
        <f t="shared" si="31"/>
        <v>0.43556968449420652</v>
      </c>
      <c r="D284" s="651">
        <f t="shared" si="31"/>
        <v>0.40595648007711305</v>
      </c>
      <c r="E284" s="652">
        <f t="shared" si="32"/>
        <v>-2.9613204417093475E-2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0.41646413802411236</v>
      </c>
      <c r="D287" s="623">
        <f t="shared" si="33"/>
        <v>0.40764810299504917</v>
      </c>
      <c r="E287" s="650">
        <f t="shared" ref="E287:E295" si="34">D287-C287</f>
        <v>-8.8160350290631961E-3</v>
      </c>
    </row>
    <row r="288" spans="1:5" x14ac:dyDescent="0.2">
      <c r="A288" s="588">
        <v>2</v>
      </c>
      <c r="B288" s="587" t="s">
        <v>635</v>
      </c>
      <c r="C288" s="623">
        <f t="shared" si="33"/>
        <v>0.20392040964072461</v>
      </c>
      <c r="D288" s="623">
        <f t="shared" si="33"/>
        <v>0.21252245428584923</v>
      </c>
      <c r="E288" s="650">
        <f t="shared" si="34"/>
        <v>8.6020446451246235E-3</v>
      </c>
    </row>
    <row r="289" spans="1:5" x14ac:dyDescent="0.2">
      <c r="A289" s="588">
        <v>3</v>
      </c>
      <c r="B289" s="587" t="s">
        <v>777</v>
      </c>
      <c r="C289" s="623">
        <f t="shared" si="33"/>
        <v>0.19599425663170225</v>
      </c>
      <c r="D289" s="623">
        <f t="shared" si="33"/>
        <v>0.17258648830303677</v>
      </c>
      <c r="E289" s="650">
        <f t="shared" si="34"/>
        <v>-2.3407768328665479E-2</v>
      </c>
    </row>
    <row r="290" spans="1:5" x14ac:dyDescent="0.2">
      <c r="A290" s="588">
        <v>4</v>
      </c>
      <c r="B290" s="587" t="s">
        <v>115</v>
      </c>
      <c r="C290" s="623">
        <f t="shared" si="33"/>
        <v>0.24134362255377276</v>
      </c>
      <c r="D290" s="623">
        <f t="shared" si="33"/>
        <v>0.21126378350298036</v>
      </c>
      <c r="E290" s="650">
        <f t="shared" si="34"/>
        <v>-3.0079839050792395E-2</v>
      </c>
    </row>
    <row r="291" spans="1:5" x14ac:dyDescent="0.2">
      <c r="A291" s="588">
        <v>5</v>
      </c>
      <c r="B291" s="587" t="s">
        <v>743</v>
      </c>
      <c r="C291" s="623">
        <f t="shared" si="33"/>
        <v>0.13781742663006025</v>
      </c>
      <c r="D291" s="623">
        <f t="shared" si="33"/>
        <v>0.120864361213606</v>
      </c>
      <c r="E291" s="650">
        <f t="shared" si="34"/>
        <v>-1.6953065416454249E-2</v>
      </c>
    </row>
    <row r="292" spans="1:5" x14ac:dyDescent="0.2">
      <c r="A292" s="588">
        <v>6</v>
      </c>
      <c r="B292" s="587" t="s">
        <v>424</v>
      </c>
      <c r="C292" s="623">
        <f t="shared" si="33"/>
        <v>0.22032599280821019</v>
      </c>
      <c r="D292" s="623">
        <f t="shared" si="33"/>
        <v>0.21890929817391866</v>
      </c>
      <c r="E292" s="650">
        <f t="shared" si="34"/>
        <v>-1.4166946342915321E-3</v>
      </c>
    </row>
    <row r="293" spans="1:5" x14ac:dyDescent="0.2">
      <c r="A293" s="588">
        <v>7</v>
      </c>
      <c r="B293" s="587" t="s">
        <v>758</v>
      </c>
      <c r="C293" s="623">
        <f t="shared" si="33"/>
        <v>0.15731352876961532</v>
      </c>
      <c r="D293" s="623">
        <f t="shared" si="33"/>
        <v>0.10113767478671985</v>
      </c>
      <c r="E293" s="650">
        <f t="shared" si="34"/>
        <v>-5.6175853982895471E-2</v>
      </c>
    </row>
    <row r="294" spans="1:5" ht="29.25" customHeight="1" x14ac:dyDescent="0.2">
      <c r="A294" s="588"/>
      <c r="B294" s="592" t="s">
        <v>847</v>
      </c>
      <c r="C294" s="651">
        <f t="shared" si="33"/>
        <v>0.20238906748399205</v>
      </c>
      <c r="D294" s="651">
        <f t="shared" si="33"/>
        <v>0.20243878159183681</v>
      </c>
      <c r="E294" s="652">
        <f t="shared" si="34"/>
        <v>4.9714107844767152E-5</v>
      </c>
    </row>
    <row r="295" spans="1:5" x14ac:dyDescent="0.2">
      <c r="A295" s="588"/>
      <c r="B295" s="592" t="s">
        <v>848</v>
      </c>
      <c r="C295" s="651">
        <f t="shared" si="33"/>
        <v>0.30082637895239878</v>
      </c>
      <c r="D295" s="651">
        <f t="shared" si="33"/>
        <v>0.29600281733692946</v>
      </c>
      <c r="E295" s="652">
        <f t="shared" si="34"/>
        <v>-4.8235616154693184E-3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52626661</v>
      </c>
      <c r="D301" s="590">
        <f>+D48+D47+D50+D51+D52+D59+D58+D61+D62+D63</f>
        <v>49332886</v>
      </c>
      <c r="E301" s="590">
        <f>D301-C301</f>
        <v>-3293775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52626661</v>
      </c>
      <c r="D303" s="593">
        <f>+D301+D302</f>
        <v>49332886</v>
      </c>
      <c r="E303" s="593">
        <f>D303-C303</f>
        <v>-3293775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1120243</v>
      </c>
      <c r="D305" s="654">
        <v>753030</v>
      </c>
      <c r="E305" s="655">
        <f>D305-C305</f>
        <v>-367213</v>
      </c>
    </row>
    <row r="306" spans="1:5" x14ac:dyDescent="0.2">
      <c r="A306" s="588">
        <v>4</v>
      </c>
      <c r="B306" s="592" t="s">
        <v>855</v>
      </c>
      <c r="C306" s="593">
        <f>+C303+C305+C194+C190-C191</f>
        <v>56767046</v>
      </c>
      <c r="D306" s="593">
        <f>+D303+D305</f>
        <v>50085916</v>
      </c>
      <c r="E306" s="656">
        <f>D306-C306</f>
        <v>-6681130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53746903</v>
      </c>
      <c r="D308" s="589">
        <v>50085912</v>
      </c>
      <c r="E308" s="590">
        <f>D308-C308</f>
        <v>-3660991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3020143</v>
      </c>
      <c r="D310" s="658">
        <f>D306-D308</f>
        <v>4</v>
      </c>
      <c r="E310" s="656">
        <f>D310-C310</f>
        <v>-3020139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147441042</v>
      </c>
      <c r="D314" s="590">
        <f>+D14+D15+D16+D19+D25+D26+D27+D30</f>
        <v>145172347</v>
      </c>
      <c r="E314" s="590">
        <f>D314-C314</f>
        <v>-2268695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147441042</v>
      </c>
      <c r="D316" s="657">
        <f>D314+D315</f>
        <v>145172347</v>
      </c>
      <c r="E316" s="593">
        <f>D316-C316</f>
        <v>-2268695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147441041</v>
      </c>
      <c r="D318" s="589">
        <v>145172348</v>
      </c>
      <c r="E318" s="590">
        <f>D318-C318</f>
        <v>-2268693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1</v>
      </c>
      <c r="D320" s="657">
        <f>D316-D318</f>
        <v>-1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3235430</v>
      </c>
      <c r="D324" s="589">
        <f>+D193+D194</f>
        <v>3163662</v>
      </c>
      <c r="E324" s="590">
        <f>D324-C324</f>
        <v>-71768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3235430</v>
      </c>
      <c r="D326" s="657">
        <f>D324+D325</f>
        <v>3163662</v>
      </c>
      <c r="E326" s="593">
        <f>D326-C326</f>
        <v>-71768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3235430</v>
      </c>
      <c r="D328" s="589">
        <v>3163662</v>
      </c>
      <c r="E328" s="590">
        <f>D328-C328</f>
        <v>-71768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FILING&amp;RESSENT-SHARON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12430476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38229340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7157891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3849691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3308200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38140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456951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45425371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57855847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39811467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35294487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12024574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6879873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5144701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185972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2398137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47505033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87316500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52241943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92930404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145172347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5086670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16145227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2230786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993888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1236898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24273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36844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18400286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23486956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16229069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7500871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2075279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1453468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621811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40711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242542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9616861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25845930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21315739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28017147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49332886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703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1461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447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212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40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1913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2616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0.92369999999999997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1.1961999999999999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0.90741387024608511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0.93440000000000001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0.87749999999999995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0.68859999999999999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0.75600000000000001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1.1273942498693155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1.0726553134556576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52241943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25479835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26762108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0.51227244744706379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1748963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1000434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892961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2270701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3163662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1092483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48236048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49332886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49332886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753030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50085916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50085912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4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145172347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145172347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145172348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3163662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3163662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3163662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FILING&amp;RESSENT-SHARON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70</v>
      </c>
      <c r="D12" s="185">
        <v>132</v>
      </c>
      <c r="E12" s="185">
        <f>+D12-C12</f>
        <v>62</v>
      </c>
      <c r="F12" s="77">
        <f>IF(C12=0,0,+E12/C12)</f>
        <v>0.88571428571428568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70</v>
      </c>
      <c r="D13" s="185">
        <v>132</v>
      </c>
      <c r="E13" s="185">
        <f>+D13-C13</f>
        <v>62</v>
      </c>
      <c r="F13" s="77">
        <f>IF(C13=0,0,+E13/C13)</f>
        <v>0.88571428571428568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941923</v>
      </c>
      <c r="D15" s="76">
        <v>892961</v>
      </c>
      <c r="E15" s="76">
        <f>+D15-C15</f>
        <v>-48962</v>
      </c>
      <c r="F15" s="77">
        <f>IF(C15=0,0,+E15/C15)</f>
        <v>-5.1980894404319675E-2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13456.042857142857</v>
      </c>
      <c r="D16" s="79">
        <f>IF(D13=0,0,+D15/+D13)</f>
        <v>6764.856060606061</v>
      </c>
      <c r="E16" s="79">
        <f>+D16-C16</f>
        <v>-6691.1867965367956</v>
      </c>
      <c r="F16" s="80">
        <f>IF(C16=0,0,+E16/C16)</f>
        <v>-0.49726259551744217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0.37257400000000002</v>
      </c>
      <c r="D18" s="704">
        <v>0.33408700000000002</v>
      </c>
      <c r="E18" s="704">
        <f>+D18-C18</f>
        <v>-3.8486999999999993E-2</v>
      </c>
      <c r="F18" s="77">
        <f>IF(C18=0,0,+E18/C18)</f>
        <v>-0.1033002839704327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350936.01980200002</v>
      </c>
      <c r="D19" s="79">
        <f>+D15*D18</f>
        <v>298326.66160700005</v>
      </c>
      <c r="E19" s="79">
        <f>+D19-C19</f>
        <v>-52609.358194999979</v>
      </c>
      <c r="F19" s="80">
        <f>IF(C19=0,0,+E19/C19)</f>
        <v>-0.14991153722174902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5013.3717114571436</v>
      </c>
      <c r="D20" s="79">
        <f>IF(D13=0,0,+D19/D13)</f>
        <v>2260.0504667196974</v>
      </c>
      <c r="E20" s="79">
        <f>+D20-C20</f>
        <v>-2753.3212447374462</v>
      </c>
      <c r="F20" s="80">
        <f>IF(C20=0,0,+E20/C20)</f>
        <v>-0.54919551216304874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328018</v>
      </c>
      <c r="D22" s="76">
        <v>387683</v>
      </c>
      <c r="E22" s="76">
        <f>+D22-C22</f>
        <v>59665</v>
      </c>
      <c r="F22" s="77">
        <f>IF(C22=0,0,+E22/C22)</f>
        <v>0.18189550573444141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422289</v>
      </c>
      <c r="D23" s="185">
        <v>264618</v>
      </c>
      <c r="E23" s="185">
        <f>+D23-C23</f>
        <v>-157671</v>
      </c>
      <c r="F23" s="77">
        <f>IF(C23=0,0,+E23/C23)</f>
        <v>-0.37337226401824342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191616</v>
      </c>
      <c r="D24" s="185">
        <v>240660</v>
      </c>
      <c r="E24" s="185">
        <f>+D24-C24</f>
        <v>49044</v>
      </c>
      <c r="F24" s="77">
        <f>IF(C24=0,0,+E24/C24)</f>
        <v>0.25594939879759521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941923</v>
      </c>
      <c r="D25" s="79">
        <f>+D22+D23+D24</f>
        <v>892961</v>
      </c>
      <c r="E25" s="79">
        <f>+E22+E23+E24</f>
        <v>-48962</v>
      </c>
      <c r="F25" s="80">
        <f>IF(C25=0,0,+E25/C25)</f>
        <v>-5.1980894404319675E-2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119</v>
      </c>
      <c r="D27" s="185">
        <v>176</v>
      </c>
      <c r="E27" s="185">
        <f>+D27-C27</f>
        <v>57</v>
      </c>
      <c r="F27" s="77">
        <f>IF(C27=0,0,+E27/C27)</f>
        <v>0.47899159663865548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36</v>
      </c>
      <c r="D28" s="185">
        <v>49</v>
      </c>
      <c r="E28" s="185">
        <f>+D28-C28</f>
        <v>13</v>
      </c>
      <c r="F28" s="77">
        <f>IF(C28=0,0,+E28/C28)</f>
        <v>0.3611111111111111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205</v>
      </c>
      <c r="D29" s="185">
        <v>306</v>
      </c>
      <c r="E29" s="185">
        <f>+D29-C29</f>
        <v>101</v>
      </c>
      <c r="F29" s="77">
        <f>IF(C29=0,0,+E29/C29)</f>
        <v>0.49268292682926829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259</v>
      </c>
      <c r="D30" s="185">
        <v>315</v>
      </c>
      <c r="E30" s="185">
        <f>+D30-C30</f>
        <v>56</v>
      </c>
      <c r="F30" s="77">
        <f>IF(C30=0,0,+E30/C30)</f>
        <v>0.21621621621621623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597322</v>
      </c>
      <c r="D33" s="76">
        <v>179470</v>
      </c>
      <c r="E33" s="76">
        <f>+D33-C33</f>
        <v>-417852</v>
      </c>
      <c r="F33" s="77">
        <f>IF(C33=0,0,+E33/C33)</f>
        <v>-0.69954229042292093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522962</v>
      </c>
      <c r="D34" s="185">
        <v>663740</v>
      </c>
      <c r="E34" s="185">
        <f>+D34-C34</f>
        <v>140778</v>
      </c>
      <c r="F34" s="77">
        <f>IF(C34=0,0,+E34/C34)</f>
        <v>0.26919355517226873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1173223</v>
      </c>
      <c r="D35" s="185">
        <v>1427491</v>
      </c>
      <c r="E35" s="185">
        <f>+D35-C35</f>
        <v>254268</v>
      </c>
      <c r="F35" s="77">
        <f>IF(C35=0,0,+E35/C35)</f>
        <v>0.21672606145634718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2293507</v>
      </c>
      <c r="D36" s="79">
        <f>+D33+D34+D35</f>
        <v>2270701</v>
      </c>
      <c r="E36" s="79">
        <f>+E33+E34+E35</f>
        <v>-22806</v>
      </c>
      <c r="F36" s="80">
        <f>IF(C36=0,0,+E36/C36)</f>
        <v>-9.9437237383622548E-3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941923</v>
      </c>
      <c r="D39" s="76">
        <f>+D25</f>
        <v>892961</v>
      </c>
      <c r="E39" s="76">
        <f>+D39-C39</f>
        <v>-48962</v>
      </c>
      <c r="F39" s="77">
        <f>IF(C39=0,0,+E39/C39)</f>
        <v>-5.1980894404319675E-2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2293507</v>
      </c>
      <c r="D40" s="185">
        <f>+D36</f>
        <v>2270701</v>
      </c>
      <c r="E40" s="185">
        <f>+D40-C40</f>
        <v>-22806</v>
      </c>
      <c r="F40" s="77">
        <f>IF(C40=0,0,+E40/C40)</f>
        <v>-9.9437237383622548E-3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3235430</v>
      </c>
      <c r="D41" s="79">
        <f>+D39+D40</f>
        <v>3163662</v>
      </c>
      <c r="E41" s="79">
        <f>+E39+E40</f>
        <v>-71768</v>
      </c>
      <c r="F41" s="80">
        <f>IF(C41=0,0,+E41/C41)</f>
        <v>-2.2181904723637971E-2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925340</v>
      </c>
      <c r="D43" s="76">
        <f t="shared" si="0"/>
        <v>567153</v>
      </c>
      <c r="E43" s="76">
        <f>+D43-C43</f>
        <v>-358187</v>
      </c>
      <c r="F43" s="77">
        <f>IF(C43=0,0,+E43/C43)</f>
        <v>-0.38708690859575939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945251</v>
      </c>
      <c r="D44" s="185">
        <f t="shared" si="0"/>
        <v>928358</v>
      </c>
      <c r="E44" s="185">
        <f>+D44-C44</f>
        <v>-16893</v>
      </c>
      <c r="F44" s="77">
        <f>IF(C44=0,0,+E44/C44)</f>
        <v>-1.7871443669459221E-2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1364839</v>
      </c>
      <c r="D45" s="185">
        <f t="shared" si="0"/>
        <v>1668151</v>
      </c>
      <c r="E45" s="185">
        <f>+D45-C45</f>
        <v>303312</v>
      </c>
      <c r="F45" s="77">
        <f>IF(C45=0,0,+E45/C45)</f>
        <v>0.22223280548108604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3235430</v>
      </c>
      <c r="D46" s="79">
        <f>+D43+D44+D45</f>
        <v>3163662</v>
      </c>
      <c r="E46" s="79">
        <f>+E43+E44+E45</f>
        <v>-71768</v>
      </c>
      <c r="F46" s="80">
        <f>IF(C46=0,0,+E46/C46)</f>
        <v>-2.2181904723637971E-2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55244177</v>
      </c>
      <c r="D15" s="76">
        <v>52241943</v>
      </c>
      <c r="E15" s="76">
        <f>+D15-C15</f>
        <v>-3002234</v>
      </c>
      <c r="F15" s="77">
        <f>IF(C15=0,0,E15/C15)</f>
        <v>-5.4344804521207726E-2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27404866</v>
      </c>
      <c r="D17" s="76">
        <v>26762108</v>
      </c>
      <c r="E17" s="76">
        <f>+D17-C17</f>
        <v>-642758</v>
      </c>
      <c r="F17" s="77">
        <f>IF(C17=0,0,E17/C17)</f>
        <v>-2.3454155915230528E-2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27839311</v>
      </c>
      <c r="D19" s="79">
        <f>+D15-D17</f>
        <v>25479835</v>
      </c>
      <c r="E19" s="79">
        <f>+D19-C19</f>
        <v>-2359476</v>
      </c>
      <c r="F19" s="80">
        <f>IF(C19=0,0,E19/C19)</f>
        <v>-8.4753390628094213E-2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0.49606795662826147</v>
      </c>
      <c r="D21" s="720">
        <f>IF(D15=0,0,D17/D15)</f>
        <v>0.51227244744706379</v>
      </c>
      <c r="E21" s="720">
        <f>+D21-C21</f>
        <v>1.620449081880232E-2</v>
      </c>
      <c r="F21" s="80">
        <f>IF(C21=0,0,E21/C21)</f>
        <v>3.2665868863901402E-2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55607893</v>
      </c>
      <c r="D10" s="744">
        <v>61394562</v>
      </c>
      <c r="E10" s="744">
        <v>57855847</v>
      </c>
    </row>
    <row r="11" spans="1:6" ht="26.1" customHeight="1" x14ac:dyDescent="0.25">
      <c r="A11" s="742">
        <v>2</v>
      </c>
      <c r="B11" s="743" t="s">
        <v>932</v>
      </c>
      <c r="C11" s="744">
        <v>82823877</v>
      </c>
      <c r="D11" s="744">
        <v>86046480</v>
      </c>
      <c r="E11" s="744">
        <v>87316500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138431770</v>
      </c>
      <c r="D12" s="744">
        <f>+D11+D10</f>
        <v>147441042</v>
      </c>
      <c r="E12" s="744">
        <f>+E11+E10</f>
        <v>145172347</v>
      </c>
    </row>
    <row r="13" spans="1:6" ht="26.1" customHeight="1" x14ac:dyDescent="0.25">
      <c r="A13" s="742">
        <v>4</v>
      </c>
      <c r="B13" s="743" t="s">
        <v>507</v>
      </c>
      <c r="C13" s="744">
        <v>54558825</v>
      </c>
      <c r="D13" s="744">
        <v>53746903</v>
      </c>
      <c r="E13" s="744">
        <v>50085913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51745114</v>
      </c>
      <c r="D16" s="744">
        <v>49401485</v>
      </c>
      <c r="E16" s="744">
        <v>48236048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11914</v>
      </c>
      <c r="D19" s="747">
        <v>12338</v>
      </c>
      <c r="E19" s="747">
        <v>11690</v>
      </c>
    </row>
    <row r="20" spans="1:5" ht="26.1" customHeight="1" x14ac:dyDescent="0.25">
      <c r="A20" s="742">
        <v>2</v>
      </c>
      <c r="B20" s="743" t="s">
        <v>381</v>
      </c>
      <c r="C20" s="748">
        <v>2685</v>
      </c>
      <c r="D20" s="748">
        <v>2878</v>
      </c>
      <c r="E20" s="748">
        <v>2616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4.4372439478584731</v>
      </c>
      <c r="D21" s="749">
        <f>IF(D20=0,0,+D19/D20)</f>
        <v>4.2870048644892282</v>
      </c>
      <c r="E21" s="749">
        <f>IF(E20=0,0,+E19/E20)</f>
        <v>4.4686544342507641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29659.028940010372</v>
      </c>
      <c r="D22" s="748">
        <f>IF(D10=0,0,D19*(D12/D10))</f>
        <v>29630.109197554015</v>
      </c>
      <c r="E22" s="748">
        <f>IF(E10=0,0,E19*(E12/E10))</f>
        <v>29332.640077501586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6684.1105173684609</v>
      </c>
      <c r="D23" s="748">
        <f>IF(D10=0,0,D20*(D12/D10))</f>
        <v>6911.6108178440954</v>
      </c>
      <c r="E23" s="748">
        <f>IF(E10=0,0,E20*(E12/E10))</f>
        <v>6564.0878051962491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1.0768874487895719</v>
      </c>
      <c r="D26" s="750">
        <v>1.0947610145934676</v>
      </c>
      <c r="E26" s="750">
        <v>1.0726553134556576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12830.037064878959</v>
      </c>
      <c r="D27" s="748">
        <f>D19*D26</f>
        <v>13507.161398054204</v>
      </c>
      <c r="E27" s="748">
        <f>E19*E26</f>
        <v>12539.340614296638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2891.4428000000007</v>
      </c>
      <c r="D28" s="748">
        <f>D20*D26</f>
        <v>3150.7221999999997</v>
      </c>
      <c r="E28" s="748">
        <f>E20*E26</f>
        <v>2806.0663000000004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31939.43600878385</v>
      </c>
      <c r="D29" s="748">
        <f>D22*D26</f>
        <v>32437.888407629471</v>
      </c>
      <c r="E29" s="748">
        <f>E22*E26</f>
        <v>31463.812236814447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7198.0347224764673</v>
      </c>
      <c r="D30" s="748">
        <f>D23*D26</f>
        <v>7566.5620714181887</v>
      </c>
      <c r="E30" s="748">
        <f>E23*E26</f>
        <v>7041.0036622332418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11619.252140339097</v>
      </c>
      <c r="D33" s="744">
        <f>IF(D19=0,0,D12/D19)</f>
        <v>11950.157399902739</v>
      </c>
      <c r="E33" s="744">
        <f>IF(E19=0,0,E12/E19)</f>
        <v>12418.507014542343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51557.456238361265</v>
      </c>
      <c r="D34" s="744">
        <f>IF(D20=0,0,D12/D20)</f>
        <v>51230.382904794998</v>
      </c>
      <c r="E34" s="744">
        <f>IF(E20=0,0,E12/E20)</f>
        <v>55494.01643730887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4667.4410777236862</v>
      </c>
      <c r="D35" s="744">
        <f>IF(D22=0,0,D12/D22)</f>
        <v>4976.0546279786022</v>
      </c>
      <c r="E35" s="744">
        <f>IF(E22=0,0,E12/E22)</f>
        <v>4949.1742514970065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20710.574674115454</v>
      </c>
      <c r="D36" s="744">
        <f>IF(D23=0,0,D12/D23)</f>
        <v>21332.370396108407</v>
      </c>
      <c r="E36" s="744">
        <f>IF(E23=0,0,E12/E23)</f>
        <v>22116.149464831804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4334.1958186715965</v>
      </c>
      <c r="D37" s="744">
        <f>IF(D29=0,0,D12/D29)</f>
        <v>4545.3341520627928</v>
      </c>
      <c r="E37" s="744">
        <f>IF(E29=0,0,E12/E29)</f>
        <v>4613.9465207633075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19231.884165234045</v>
      </c>
      <c r="D38" s="744">
        <f>IF(D30=0,0,D12/D30)</f>
        <v>19485.869620622216</v>
      </c>
      <c r="E38" s="744">
        <f>IF(E30=0,0,E12/E30)</f>
        <v>20618.132579404843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1874.9060568528698</v>
      </c>
      <c r="D39" s="744">
        <f>IF(D22=0,0,D10/D22)</f>
        <v>2072.0329307820493</v>
      </c>
      <c r="E39" s="744">
        <f>IF(E22=0,0,E10/E22)</f>
        <v>1972.4050357259177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8319.4155535735918</v>
      </c>
      <c r="D40" s="744">
        <f>IF(D23=0,0,D10/D23)</f>
        <v>8882.8152536445195</v>
      </c>
      <c r="E40" s="744">
        <f>IF(E23=0,0,E10/E23)</f>
        <v>8813.9965090351598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4579.3876951485645</v>
      </c>
      <c r="D43" s="744">
        <f>IF(D19=0,0,D13/D19)</f>
        <v>4356.2087048143949</v>
      </c>
      <c r="E43" s="744">
        <f>IF(E19=0,0,E13/E19)</f>
        <v>4284.509238665526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20319.860335195532</v>
      </c>
      <c r="D44" s="744">
        <f>IF(D20=0,0,D13/D20)</f>
        <v>18675.08790826963</v>
      </c>
      <c r="E44" s="744">
        <f>IF(E20=0,0,E13/E20)</f>
        <v>19145.991207951069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1839.5351078537678</v>
      </c>
      <c r="D45" s="744">
        <f>IF(D22=0,0,D13/D22)</f>
        <v>1813.928617058112</v>
      </c>
      <c r="E45" s="744">
        <f>IF(E22=0,0,E13/E22)</f>
        <v>1707.5146617442176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8162.4660241973152</v>
      </c>
      <c r="D46" s="744">
        <f>IF(D23=0,0,D13/D23)</f>
        <v>7776.320805164346</v>
      </c>
      <c r="E46" s="744">
        <f>IF(E23=0,0,E13/E23)</f>
        <v>7630.292964751492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1708.1962557195893</v>
      </c>
      <c r="D47" s="744">
        <f>IF(D29=0,0,D13/D29)</f>
        <v>1656.9174394027016</v>
      </c>
      <c r="E47" s="744">
        <f>IF(E29=0,0,E13/E29)</f>
        <v>1591.8577387579448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7579.6834974462536</v>
      </c>
      <c r="D48" s="744">
        <f>IF(D30=0,0,D13/D30)</f>
        <v>7103.2131227764185</v>
      </c>
      <c r="E48" s="744">
        <f>IF(E30=0,0,E13/E30)</f>
        <v>7113.4621429970848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4343.2192378714117</v>
      </c>
      <c r="D51" s="744">
        <f>IF(D19=0,0,D16/D19)</f>
        <v>4004.0107797049764</v>
      </c>
      <c r="E51" s="744">
        <f>IF(E19=0,0,E16/E19)</f>
        <v>4126.2658682634728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19271.923277467413</v>
      </c>
      <c r="D52" s="744">
        <f>IF(D20=0,0,D16/D20)</f>
        <v>17165.213690062545</v>
      </c>
      <c r="E52" s="744">
        <f>IF(E20=0,0,E16/E20)</f>
        <v>18438.856269113148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1744.6664927790418</v>
      </c>
      <c r="D53" s="744">
        <f>IF(D22=0,0,D16/D22)</f>
        <v>1667.2731332383387</v>
      </c>
      <c r="E53" s="744">
        <f>IF(E22=0,0,E16/E22)</f>
        <v>1644.4495917364598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7741.5108361152725</v>
      </c>
      <c r="D54" s="744">
        <f>IF(D23=0,0,D16/D23)</f>
        <v>7147.6080326249566</v>
      </c>
      <c r="E54" s="744">
        <f>IF(E23=0,0,E16/E23)</f>
        <v>7348.4769600149903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1620.1010558160538</v>
      </c>
      <c r="D55" s="744">
        <f>IF(D29=0,0,D16/D29)</f>
        <v>1522.9562534773579</v>
      </c>
      <c r="E55" s="744">
        <f>IF(E29=0,0,E16/E29)</f>
        <v>1533.0643228146741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7188.7836048389072</v>
      </c>
      <c r="D56" s="744">
        <f>IF(D30=0,0,D16/D30)</f>
        <v>6528.9208670617245</v>
      </c>
      <c r="E56" s="744">
        <f>IF(E30=0,0,E16/E30)</f>
        <v>6850.7346841374392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7016561</v>
      </c>
      <c r="D59" s="752">
        <v>6922138</v>
      </c>
      <c r="E59" s="752">
        <v>7183819</v>
      </c>
    </row>
    <row r="60" spans="1:6" ht="26.1" customHeight="1" x14ac:dyDescent="0.25">
      <c r="A60" s="742">
        <v>2</v>
      </c>
      <c r="B60" s="743" t="s">
        <v>968</v>
      </c>
      <c r="C60" s="752">
        <v>1687424</v>
      </c>
      <c r="D60" s="752">
        <v>1697890</v>
      </c>
      <c r="E60" s="752">
        <v>1803117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8703985</v>
      </c>
      <c r="D61" s="755">
        <f>D59+D60</f>
        <v>8620028</v>
      </c>
      <c r="E61" s="755">
        <f>E59+E60</f>
        <v>8986936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10390256</v>
      </c>
      <c r="D69" s="752">
        <v>10327838</v>
      </c>
      <c r="E69" s="752">
        <v>9839922</v>
      </c>
    </row>
    <row r="70" spans="1:6" ht="26.1" customHeight="1" x14ac:dyDescent="0.25">
      <c r="A70" s="742">
        <v>2</v>
      </c>
      <c r="B70" s="743" t="s">
        <v>976</v>
      </c>
      <c r="C70" s="752">
        <v>2354664</v>
      </c>
      <c r="D70" s="752">
        <v>2533292</v>
      </c>
      <c r="E70" s="752">
        <v>2469797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12744920</v>
      </c>
      <c r="D71" s="755">
        <f>D69+D70</f>
        <v>12861130</v>
      </c>
      <c r="E71" s="755">
        <f>E69+E70</f>
        <v>12309719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17406817</v>
      </c>
      <c r="D75" s="744">
        <f t="shared" si="0"/>
        <v>17249976</v>
      </c>
      <c r="E75" s="744">
        <f t="shared" si="0"/>
        <v>17023741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4042088</v>
      </c>
      <c r="D76" s="744">
        <f t="shared" si="0"/>
        <v>4231182</v>
      </c>
      <c r="E76" s="744">
        <f t="shared" si="0"/>
        <v>4272914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21448905</v>
      </c>
      <c r="D77" s="757">
        <f>D75+D76</f>
        <v>21481158</v>
      </c>
      <c r="E77" s="757">
        <f>E75+E76</f>
        <v>21296655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100.6</v>
      </c>
      <c r="D80" s="749">
        <v>95.5</v>
      </c>
      <c r="E80" s="749">
        <v>102.6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982</v>
      </c>
      <c r="C82" s="749">
        <v>155</v>
      </c>
      <c r="D82" s="749">
        <v>151.9</v>
      </c>
      <c r="E82" s="749">
        <v>157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255.6</v>
      </c>
      <c r="D83" s="759">
        <f>D80+D81+D82</f>
        <v>247.4</v>
      </c>
      <c r="E83" s="759">
        <f>E80+E81+E82</f>
        <v>259.60000000000002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69747.12723658052</v>
      </c>
      <c r="D86" s="752">
        <f>IF(D80=0,0,D59/D80)</f>
        <v>72483.120418848164</v>
      </c>
      <c r="E86" s="752">
        <f>IF(E80=0,0,E59/E80)</f>
        <v>70017.729044834312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16773.598409542745</v>
      </c>
      <c r="D87" s="752">
        <f>IF(D80=0,0,D60/D80)</f>
        <v>17778.952879581153</v>
      </c>
      <c r="E87" s="752">
        <f>IF(E80=0,0,E60/E80)</f>
        <v>17574.239766081871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86520.725646123261</v>
      </c>
      <c r="D88" s="755">
        <f>+D86+D87</f>
        <v>90262.073298429314</v>
      </c>
      <c r="E88" s="755">
        <f>+E86+E87</f>
        <v>87591.96881091618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67033.90967741936</v>
      </c>
      <c r="D96" s="752">
        <f>IF(D82=0,0,D69/D82)</f>
        <v>67991.033574720204</v>
      </c>
      <c r="E96" s="752">
        <f>IF(E82=0,0,E69/E82)</f>
        <v>62674.662420382163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15191.380645161291</v>
      </c>
      <c r="D97" s="752">
        <f>IF(D82=0,0,D70/D82)</f>
        <v>16677.366688610928</v>
      </c>
      <c r="E97" s="752">
        <f>IF(E82=0,0,E70/E82)</f>
        <v>15731.191082802548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82225.290322580651</v>
      </c>
      <c r="D98" s="757">
        <f>+D96+D97</f>
        <v>84668.400263331132</v>
      </c>
      <c r="E98" s="757">
        <f>+E96+E97</f>
        <v>78405.853503184713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68101.787949921752</v>
      </c>
      <c r="D101" s="744">
        <f>IF(D83=0,0,D75/D83)</f>
        <v>69725.04446240906</v>
      </c>
      <c r="E101" s="744">
        <f>IF(E83=0,0,E75/E83)</f>
        <v>65576.814329738059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15814.115805946793</v>
      </c>
      <c r="D102" s="761">
        <f>IF(D83=0,0,D76/D83)</f>
        <v>17102.594987873887</v>
      </c>
      <c r="E102" s="761">
        <f>IF(E83=0,0,E76/E83)</f>
        <v>16459.607087827426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83915.903755868552</v>
      </c>
      <c r="D103" s="757">
        <f>+D101+D102</f>
        <v>86827.63945028295</v>
      </c>
      <c r="E103" s="757">
        <f>+E101+E102</f>
        <v>82036.421417565492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1800.3109786805439</v>
      </c>
      <c r="D108" s="744">
        <f>IF(D19=0,0,D77/D19)</f>
        <v>1741.0567352893499</v>
      </c>
      <c r="E108" s="744">
        <f>IF(E19=0,0,E77/E19)</f>
        <v>1821.7840034217279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7988.4189944134077</v>
      </c>
      <c r="D109" s="744">
        <f>IF(D20=0,0,D77/D20)</f>
        <v>7463.918693537179</v>
      </c>
      <c r="E109" s="744">
        <f>IF(E20=0,0,E77/E20)</f>
        <v>8140.9231651376149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723.1829822676757</v>
      </c>
      <c r="D110" s="744">
        <f>IF(D22=0,0,D77/D22)</f>
        <v>724.97734843897513</v>
      </c>
      <c r="E110" s="744">
        <f>IF(E22=0,0,E77/E22)</f>
        <v>726.03948856055194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3208.9393112614853</v>
      </c>
      <c r="D111" s="744">
        <f>IF(D23=0,0,D77/D23)</f>
        <v>3107.9814194023893</v>
      </c>
      <c r="E111" s="744">
        <f>IF(E23=0,0,E77/E23)</f>
        <v>3244.4195799972676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671.54927200659438</v>
      </c>
      <c r="D112" s="744">
        <f>IF(D29=0,0,D77/D29)</f>
        <v>662.2243017195774</v>
      </c>
      <c r="E112" s="744">
        <f>IF(E29=0,0,E77/E29)</f>
        <v>676.86187673983466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2979.8279429000245</v>
      </c>
      <c r="D113" s="744">
        <f>IF(D30=0,0,D77/D30)</f>
        <v>2838.958802854811</v>
      </c>
      <c r="E113" s="744">
        <f>IF(E30=0,0,E77/E30)</f>
        <v>3024.6618268687562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FILING&amp;R&amp;"Arial,Bold"&amp;12ESSENT-SHARON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147441042</v>
      </c>
      <c r="D12" s="76">
        <v>145172345</v>
      </c>
      <c r="E12" s="76">
        <f t="shared" ref="E12:E21" si="0">D12-C12</f>
        <v>-2268697</v>
      </c>
      <c r="F12" s="77">
        <f t="shared" ref="F12:F21" si="1">IF(C12=0,0,E12/C12)</f>
        <v>-1.538714708757959E-2</v>
      </c>
    </row>
    <row r="13" spans="1:8" ht="23.1" customHeight="1" x14ac:dyDescent="0.2">
      <c r="A13" s="74">
        <v>2</v>
      </c>
      <c r="B13" s="75" t="s">
        <v>72</v>
      </c>
      <c r="C13" s="76">
        <v>89772556</v>
      </c>
      <c r="D13" s="76">
        <v>91176876</v>
      </c>
      <c r="E13" s="76">
        <f t="shared" si="0"/>
        <v>1404320</v>
      </c>
      <c r="F13" s="77">
        <f t="shared" si="1"/>
        <v>1.5643088072483977E-2</v>
      </c>
    </row>
    <row r="14" spans="1:8" ht="23.1" customHeight="1" x14ac:dyDescent="0.2">
      <c r="A14" s="74">
        <v>3</v>
      </c>
      <c r="B14" s="75" t="s">
        <v>73</v>
      </c>
      <c r="C14" s="76">
        <v>941923</v>
      </c>
      <c r="D14" s="76">
        <v>892961</v>
      </c>
      <c r="E14" s="76">
        <f t="shared" si="0"/>
        <v>-48962</v>
      </c>
      <c r="F14" s="77">
        <f t="shared" si="1"/>
        <v>-5.1980894404319675E-2</v>
      </c>
    </row>
    <row r="15" spans="1:8" ht="23.1" customHeight="1" x14ac:dyDescent="0.2">
      <c r="A15" s="74">
        <v>4</v>
      </c>
      <c r="B15" s="75" t="s">
        <v>74</v>
      </c>
      <c r="C15" s="76">
        <v>686153</v>
      </c>
      <c r="D15" s="76">
        <v>745895</v>
      </c>
      <c r="E15" s="76">
        <f t="shared" si="0"/>
        <v>59742</v>
      </c>
      <c r="F15" s="77">
        <f t="shared" si="1"/>
        <v>8.7068044590637952E-2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56040410</v>
      </c>
      <c r="D16" s="79">
        <f>D12-D13-D14-D15</f>
        <v>52356613</v>
      </c>
      <c r="E16" s="79">
        <f t="shared" si="0"/>
        <v>-3683797</v>
      </c>
      <c r="F16" s="80">
        <f t="shared" si="1"/>
        <v>-6.57346546893572E-2</v>
      </c>
    </row>
    <row r="17" spans="1:7" ht="23.1" customHeight="1" x14ac:dyDescent="0.2">
      <c r="A17" s="74">
        <v>5</v>
      </c>
      <c r="B17" s="75" t="s">
        <v>76</v>
      </c>
      <c r="C17" s="76">
        <v>2293507</v>
      </c>
      <c r="D17" s="76">
        <v>2270700</v>
      </c>
      <c r="E17" s="76">
        <f t="shared" si="0"/>
        <v>-22807</v>
      </c>
      <c r="F17" s="77">
        <f t="shared" si="1"/>
        <v>-9.9441597518560004E-3</v>
      </c>
      <c r="G17" s="65"/>
    </row>
    <row r="18" spans="1:7" ht="31.5" customHeight="1" x14ac:dyDescent="0.25">
      <c r="A18" s="71"/>
      <c r="B18" s="81" t="s">
        <v>77</v>
      </c>
      <c r="C18" s="79">
        <f>C16-C17</f>
        <v>53746903</v>
      </c>
      <c r="D18" s="79">
        <f>D16-D17</f>
        <v>50085913</v>
      </c>
      <c r="E18" s="79">
        <f t="shared" si="0"/>
        <v>-3660990</v>
      </c>
      <c r="F18" s="80">
        <f t="shared" si="1"/>
        <v>-6.811536657284234E-2</v>
      </c>
    </row>
    <row r="19" spans="1:7" ht="23.1" customHeight="1" x14ac:dyDescent="0.2">
      <c r="A19" s="74">
        <v>6</v>
      </c>
      <c r="B19" s="75" t="s">
        <v>78</v>
      </c>
      <c r="C19" s="76">
        <v>429185</v>
      </c>
      <c r="D19" s="76">
        <v>1092483</v>
      </c>
      <c r="E19" s="76">
        <f t="shared" si="0"/>
        <v>663298</v>
      </c>
      <c r="F19" s="77">
        <f t="shared" si="1"/>
        <v>1.5454827172431469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54176088</v>
      </c>
      <c r="D21" s="79">
        <f>SUM(D18:D20)</f>
        <v>51178396</v>
      </c>
      <c r="E21" s="79">
        <f t="shared" si="0"/>
        <v>-2997692</v>
      </c>
      <c r="F21" s="80">
        <f t="shared" si="1"/>
        <v>-5.5332382064943487E-2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17249976</v>
      </c>
      <c r="D24" s="76">
        <v>17023741</v>
      </c>
      <c r="E24" s="76">
        <f t="shared" ref="E24:E33" si="2">D24-C24</f>
        <v>-226235</v>
      </c>
      <c r="F24" s="77">
        <f t="shared" ref="F24:F33" si="3">IF(C24=0,0,E24/C24)</f>
        <v>-1.3115090710850845E-2</v>
      </c>
    </row>
    <row r="25" spans="1:7" ht="23.1" customHeight="1" x14ac:dyDescent="0.2">
      <c r="A25" s="74">
        <v>2</v>
      </c>
      <c r="B25" s="75" t="s">
        <v>83</v>
      </c>
      <c r="C25" s="76">
        <v>4231182</v>
      </c>
      <c r="D25" s="76">
        <v>4272914</v>
      </c>
      <c r="E25" s="76">
        <f t="shared" si="2"/>
        <v>41732</v>
      </c>
      <c r="F25" s="77">
        <f t="shared" si="3"/>
        <v>9.8629650059959603E-3</v>
      </c>
    </row>
    <row r="26" spans="1:7" ht="23.1" customHeight="1" x14ac:dyDescent="0.2">
      <c r="A26" s="74">
        <v>3</v>
      </c>
      <c r="B26" s="75" t="s">
        <v>84</v>
      </c>
      <c r="C26" s="76">
        <v>1670355</v>
      </c>
      <c r="D26" s="76">
        <v>1992369</v>
      </c>
      <c r="E26" s="76">
        <f t="shared" si="2"/>
        <v>322014</v>
      </c>
      <c r="F26" s="77">
        <f t="shared" si="3"/>
        <v>0.19278177393428342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6628436</v>
      </c>
      <c r="D27" s="76">
        <v>5992935</v>
      </c>
      <c r="E27" s="76">
        <f t="shared" si="2"/>
        <v>-635501</v>
      </c>
      <c r="F27" s="77">
        <f t="shared" si="3"/>
        <v>-9.5874954514156882E-2</v>
      </c>
    </row>
    <row r="28" spans="1:7" ht="23.1" customHeight="1" x14ac:dyDescent="0.2">
      <c r="A28" s="74">
        <v>5</v>
      </c>
      <c r="B28" s="75" t="s">
        <v>86</v>
      </c>
      <c r="C28" s="76">
        <v>3004141</v>
      </c>
      <c r="D28" s="76">
        <v>2563946</v>
      </c>
      <c r="E28" s="76">
        <f t="shared" si="2"/>
        <v>-440195</v>
      </c>
      <c r="F28" s="77">
        <f t="shared" si="3"/>
        <v>-0.1465294072415376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0</v>
      </c>
      <c r="D30" s="76">
        <v>11263</v>
      </c>
      <c r="E30" s="76">
        <f t="shared" si="2"/>
        <v>11263</v>
      </c>
      <c r="F30" s="77">
        <f t="shared" si="3"/>
        <v>0</v>
      </c>
    </row>
    <row r="31" spans="1:7" ht="23.1" customHeight="1" x14ac:dyDescent="0.2">
      <c r="A31" s="74">
        <v>8</v>
      </c>
      <c r="B31" s="75" t="s">
        <v>89</v>
      </c>
      <c r="C31" s="76">
        <v>1146180</v>
      </c>
      <c r="D31" s="76">
        <v>1435298</v>
      </c>
      <c r="E31" s="76">
        <f t="shared" si="2"/>
        <v>289118</v>
      </c>
      <c r="F31" s="77">
        <f t="shared" si="3"/>
        <v>0.25224484810413722</v>
      </c>
    </row>
    <row r="32" spans="1:7" ht="23.1" customHeight="1" x14ac:dyDescent="0.2">
      <c r="A32" s="74">
        <v>9</v>
      </c>
      <c r="B32" s="75" t="s">
        <v>90</v>
      </c>
      <c r="C32" s="76">
        <v>15471215</v>
      </c>
      <c r="D32" s="76">
        <v>14943582</v>
      </c>
      <c r="E32" s="76">
        <f t="shared" si="2"/>
        <v>-527633</v>
      </c>
      <c r="F32" s="77">
        <f t="shared" si="3"/>
        <v>-3.4104173460196889E-2</v>
      </c>
    </row>
    <row r="33" spans="1:6" ht="23.1" customHeight="1" x14ac:dyDescent="0.25">
      <c r="A33" s="71"/>
      <c r="B33" s="78" t="s">
        <v>91</v>
      </c>
      <c r="C33" s="79">
        <f>SUM(C24:C32)</f>
        <v>49401485</v>
      </c>
      <c r="D33" s="79">
        <f>SUM(D24:D32)</f>
        <v>48236048</v>
      </c>
      <c r="E33" s="79">
        <f t="shared" si="2"/>
        <v>-1165437</v>
      </c>
      <c r="F33" s="80">
        <f t="shared" si="3"/>
        <v>-2.3591132938615103E-2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4774603</v>
      </c>
      <c r="D35" s="79">
        <f>+D21-D33</f>
        <v>2942348</v>
      </c>
      <c r="E35" s="79">
        <f>D35-C35</f>
        <v>-1832255</v>
      </c>
      <c r="F35" s="80">
        <f>IF(C35=0,0,E35/C35)</f>
        <v>-0.38375023012384485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0</v>
      </c>
      <c r="D41" s="79">
        <f>SUM(D38:D40)</f>
        <v>0</v>
      </c>
      <c r="E41" s="79">
        <f>D41-C41</f>
        <v>0</v>
      </c>
      <c r="F41" s="80">
        <f>IF(C41=0,0,E41/C41)</f>
        <v>0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4774603</v>
      </c>
      <c r="D43" s="79">
        <f>D35+D41</f>
        <v>2942348</v>
      </c>
      <c r="E43" s="79">
        <f>D43-C43</f>
        <v>-1832255</v>
      </c>
      <c r="F43" s="80">
        <f>IF(C43=0,0,E43/C43)</f>
        <v>-0.38375023012384485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4774603</v>
      </c>
      <c r="D50" s="79">
        <f>D43+D48</f>
        <v>2942348</v>
      </c>
      <c r="E50" s="79">
        <f>D50-C50</f>
        <v>-1832255</v>
      </c>
      <c r="F50" s="80">
        <f>IF(C50=0,0,E50/C50)</f>
        <v>-0.38375023012384485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36676202</v>
      </c>
      <c r="D14" s="113">
        <v>34624064</v>
      </c>
      <c r="E14" s="113">
        <f t="shared" ref="E14:E25" si="0">D14-C14</f>
        <v>-2052138</v>
      </c>
      <c r="F14" s="114">
        <f t="shared" ref="F14:F25" si="1">IF(C14=0,0,E14/C14)</f>
        <v>-5.5952849207232529E-2</v>
      </c>
    </row>
    <row r="15" spans="1:6" x14ac:dyDescent="0.2">
      <c r="A15" s="115">
        <v>2</v>
      </c>
      <c r="B15" s="116" t="s">
        <v>114</v>
      </c>
      <c r="C15" s="113">
        <v>2429623</v>
      </c>
      <c r="D15" s="113">
        <v>3605276</v>
      </c>
      <c r="E15" s="113">
        <f t="shared" si="0"/>
        <v>1175653</v>
      </c>
      <c r="F15" s="114">
        <f t="shared" si="1"/>
        <v>0.48388289047313104</v>
      </c>
    </row>
    <row r="16" spans="1:6" x14ac:dyDescent="0.2">
      <c r="A16" s="115">
        <v>3</v>
      </c>
      <c r="B16" s="116" t="s">
        <v>115</v>
      </c>
      <c r="C16" s="113">
        <v>3175671</v>
      </c>
      <c r="D16" s="113">
        <v>3849691</v>
      </c>
      <c r="E16" s="113">
        <f t="shared" si="0"/>
        <v>674020</v>
      </c>
      <c r="F16" s="114">
        <f t="shared" si="1"/>
        <v>0.21224490824143938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85024</v>
      </c>
      <c r="D18" s="113">
        <v>38140</v>
      </c>
      <c r="E18" s="113">
        <f t="shared" si="0"/>
        <v>-46884</v>
      </c>
      <c r="F18" s="114">
        <f t="shared" si="1"/>
        <v>-0.5514207753105006</v>
      </c>
    </row>
    <row r="19" spans="1:6" x14ac:dyDescent="0.2">
      <c r="A19" s="115">
        <v>6</v>
      </c>
      <c r="B19" s="116" t="s">
        <v>118</v>
      </c>
      <c r="C19" s="113">
        <v>831093</v>
      </c>
      <c r="D19" s="113">
        <v>367063</v>
      </c>
      <c r="E19" s="113">
        <f t="shared" si="0"/>
        <v>-464030</v>
      </c>
      <c r="F19" s="114">
        <f t="shared" si="1"/>
        <v>-0.55833703328027073</v>
      </c>
    </row>
    <row r="20" spans="1:6" x14ac:dyDescent="0.2">
      <c r="A20" s="115">
        <v>7</v>
      </c>
      <c r="B20" s="116" t="s">
        <v>119</v>
      </c>
      <c r="C20" s="113">
        <v>12763569</v>
      </c>
      <c r="D20" s="113">
        <v>10307123</v>
      </c>
      <c r="E20" s="113">
        <f t="shared" si="0"/>
        <v>-2456446</v>
      </c>
      <c r="F20" s="114">
        <f t="shared" si="1"/>
        <v>-0.19245761119009894</v>
      </c>
    </row>
    <row r="21" spans="1:6" x14ac:dyDescent="0.2">
      <c r="A21" s="115">
        <v>8</v>
      </c>
      <c r="B21" s="116" t="s">
        <v>120</v>
      </c>
      <c r="C21" s="113">
        <v>993977</v>
      </c>
      <c r="D21" s="113">
        <v>1299339</v>
      </c>
      <c r="E21" s="113">
        <f t="shared" si="0"/>
        <v>305362</v>
      </c>
      <c r="F21" s="114">
        <f t="shared" si="1"/>
        <v>0.30721233992335839</v>
      </c>
    </row>
    <row r="22" spans="1:6" x14ac:dyDescent="0.2">
      <c r="A22" s="115">
        <v>9</v>
      </c>
      <c r="B22" s="116" t="s">
        <v>121</v>
      </c>
      <c r="C22" s="113">
        <v>1089118</v>
      </c>
      <c r="D22" s="113">
        <v>456951</v>
      </c>
      <c r="E22" s="113">
        <f t="shared" si="0"/>
        <v>-632167</v>
      </c>
      <c r="F22" s="114">
        <f t="shared" si="1"/>
        <v>-0.58043940142390449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3350285</v>
      </c>
      <c r="D24" s="113">
        <v>3308200</v>
      </c>
      <c r="E24" s="113">
        <f t="shared" si="0"/>
        <v>-42085</v>
      </c>
      <c r="F24" s="114">
        <f t="shared" si="1"/>
        <v>-1.256161789220917E-2</v>
      </c>
    </row>
    <row r="25" spans="1:6" ht="15.75" x14ac:dyDescent="0.25">
      <c r="A25" s="117"/>
      <c r="B25" s="118" t="s">
        <v>124</v>
      </c>
      <c r="C25" s="119">
        <f>SUM(C14:C24)</f>
        <v>61394562</v>
      </c>
      <c r="D25" s="119">
        <f>SUM(D14:D24)</f>
        <v>57855847</v>
      </c>
      <c r="E25" s="119">
        <f t="shared" si="0"/>
        <v>-3538715</v>
      </c>
      <c r="F25" s="120">
        <f t="shared" si="1"/>
        <v>-5.7638899679746877E-2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34570289</v>
      </c>
      <c r="D27" s="113">
        <v>32641177</v>
      </c>
      <c r="E27" s="113">
        <f t="shared" ref="E27:E38" si="2">D27-C27</f>
        <v>-1929112</v>
      </c>
      <c r="F27" s="114">
        <f t="shared" ref="F27:F38" si="3">IF(C27=0,0,E27/C27)</f>
        <v>-5.5802599741066675E-2</v>
      </c>
    </row>
    <row r="28" spans="1:6" x14ac:dyDescent="0.2">
      <c r="A28" s="115">
        <v>2</v>
      </c>
      <c r="B28" s="116" t="s">
        <v>114</v>
      </c>
      <c r="C28" s="113">
        <v>2344986</v>
      </c>
      <c r="D28" s="113">
        <v>2653310</v>
      </c>
      <c r="E28" s="113">
        <f t="shared" si="2"/>
        <v>308324</v>
      </c>
      <c r="F28" s="114">
        <f t="shared" si="3"/>
        <v>0.13148223486195654</v>
      </c>
    </row>
    <row r="29" spans="1:6" x14ac:dyDescent="0.2">
      <c r="A29" s="115">
        <v>3</v>
      </c>
      <c r="B29" s="116" t="s">
        <v>115</v>
      </c>
      <c r="C29" s="113">
        <v>5267908</v>
      </c>
      <c r="D29" s="113">
        <v>6879873</v>
      </c>
      <c r="E29" s="113">
        <f t="shared" si="2"/>
        <v>1611965</v>
      </c>
      <c r="F29" s="114">
        <f t="shared" si="3"/>
        <v>0.30599718142382137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190495</v>
      </c>
      <c r="D31" s="113">
        <v>185972</v>
      </c>
      <c r="E31" s="113">
        <f t="shared" si="2"/>
        <v>-4523</v>
      </c>
      <c r="F31" s="114">
        <f t="shared" si="3"/>
        <v>-2.3743405338722802E-2</v>
      </c>
    </row>
    <row r="32" spans="1:6" x14ac:dyDescent="0.2">
      <c r="A32" s="115">
        <v>6</v>
      </c>
      <c r="B32" s="116" t="s">
        <v>118</v>
      </c>
      <c r="C32" s="113">
        <v>2195771</v>
      </c>
      <c r="D32" s="113">
        <v>2374109</v>
      </c>
      <c r="E32" s="113">
        <f t="shared" si="2"/>
        <v>178338</v>
      </c>
      <c r="F32" s="114">
        <f t="shared" si="3"/>
        <v>8.1218852056976792E-2</v>
      </c>
    </row>
    <row r="33" spans="1:6" x14ac:dyDescent="0.2">
      <c r="A33" s="115">
        <v>7</v>
      </c>
      <c r="B33" s="116" t="s">
        <v>119</v>
      </c>
      <c r="C33" s="113">
        <v>32832605</v>
      </c>
      <c r="D33" s="113">
        <v>33038284</v>
      </c>
      <c r="E33" s="113">
        <f t="shared" si="2"/>
        <v>205679</v>
      </c>
      <c r="F33" s="114">
        <f t="shared" si="3"/>
        <v>6.2644739885854318E-3</v>
      </c>
    </row>
    <row r="34" spans="1:6" x14ac:dyDescent="0.2">
      <c r="A34" s="115">
        <v>8</v>
      </c>
      <c r="B34" s="116" t="s">
        <v>120</v>
      </c>
      <c r="C34" s="113">
        <v>1824730</v>
      </c>
      <c r="D34" s="113">
        <v>2000937</v>
      </c>
      <c r="E34" s="113">
        <f t="shared" si="2"/>
        <v>176207</v>
      </c>
      <c r="F34" s="114">
        <f t="shared" si="3"/>
        <v>9.6566067308588119E-2</v>
      </c>
    </row>
    <row r="35" spans="1:6" x14ac:dyDescent="0.2">
      <c r="A35" s="115">
        <v>9</v>
      </c>
      <c r="B35" s="116" t="s">
        <v>121</v>
      </c>
      <c r="C35" s="113">
        <v>2713314</v>
      </c>
      <c r="D35" s="113">
        <v>2398137</v>
      </c>
      <c r="E35" s="113">
        <f t="shared" si="2"/>
        <v>-315177</v>
      </c>
      <c r="F35" s="114">
        <f t="shared" si="3"/>
        <v>-0.11615942718019366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4106382</v>
      </c>
      <c r="D37" s="113">
        <v>5144701</v>
      </c>
      <c r="E37" s="113">
        <f t="shared" si="2"/>
        <v>1038319</v>
      </c>
      <c r="F37" s="114">
        <f t="shared" si="3"/>
        <v>0.25285494627630845</v>
      </c>
    </row>
    <row r="38" spans="1:6" ht="15.75" x14ac:dyDescent="0.25">
      <c r="A38" s="117"/>
      <c r="B38" s="118" t="s">
        <v>126</v>
      </c>
      <c r="C38" s="119">
        <f>SUM(C27:C37)</f>
        <v>86046480</v>
      </c>
      <c r="D38" s="119">
        <f>SUM(D27:D37)</f>
        <v>87316500</v>
      </c>
      <c r="E38" s="119">
        <f t="shared" si="2"/>
        <v>1270020</v>
      </c>
      <c r="F38" s="120">
        <f t="shared" si="3"/>
        <v>1.4759697317077932E-2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71246491</v>
      </c>
      <c r="D41" s="119">
        <f t="shared" si="4"/>
        <v>67265241</v>
      </c>
      <c r="E41" s="123">
        <f t="shared" ref="E41:E52" si="5">D41-C41</f>
        <v>-3981250</v>
      </c>
      <c r="F41" s="124">
        <f t="shared" ref="F41:F52" si="6">IF(C41=0,0,E41/C41)</f>
        <v>-5.5879945020730917E-2</v>
      </c>
    </row>
    <row r="42" spans="1:6" ht="15.75" x14ac:dyDescent="0.25">
      <c r="A42" s="121">
        <v>2</v>
      </c>
      <c r="B42" s="122" t="s">
        <v>114</v>
      </c>
      <c r="C42" s="119">
        <f t="shared" si="4"/>
        <v>4774609</v>
      </c>
      <c r="D42" s="119">
        <f t="shared" si="4"/>
        <v>6258586</v>
      </c>
      <c r="E42" s="123">
        <f t="shared" si="5"/>
        <v>1483977</v>
      </c>
      <c r="F42" s="124">
        <f t="shared" si="6"/>
        <v>0.31080597385042419</v>
      </c>
    </row>
    <row r="43" spans="1:6" ht="15.75" x14ac:dyDescent="0.25">
      <c r="A43" s="121">
        <v>3</v>
      </c>
      <c r="B43" s="122" t="s">
        <v>115</v>
      </c>
      <c r="C43" s="119">
        <f t="shared" si="4"/>
        <v>8443579</v>
      </c>
      <c r="D43" s="119">
        <f t="shared" si="4"/>
        <v>10729564</v>
      </c>
      <c r="E43" s="123">
        <f t="shared" si="5"/>
        <v>2285985</v>
      </c>
      <c r="F43" s="124">
        <f t="shared" si="6"/>
        <v>0.27073649692861285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275519</v>
      </c>
      <c r="D45" s="119">
        <f t="shared" si="4"/>
        <v>224112</v>
      </c>
      <c r="E45" s="123">
        <f t="shared" si="5"/>
        <v>-51407</v>
      </c>
      <c r="F45" s="124">
        <f t="shared" si="6"/>
        <v>-0.18658241355405616</v>
      </c>
    </row>
    <row r="46" spans="1:6" ht="15.75" x14ac:dyDescent="0.25">
      <c r="A46" s="121">
        <v>6</v>
      </c>
      <c r="B46" s="122" t="s">
        <v>118</v>
      </c>
      <c r="C46" s="119">
        <f t="shared" si="4"/>
        <v>3026864</v>
      </c>
      <c r="D46" s="119">
        <f t="shared" si="4"/>
        <v>2741172</v>
      </c>
      <c r="E46" s="123">
        <f t="shared" si="5"/>
        <v>-285692</v>
      </c>
      <c r="F46" s="124">
        <f t="shared" si="6"/>
        <v>-9.4385476189217624E-2</v>
      </c>
    </row>
    <row r="47" spans="1:6" ht="15.75" x14ac:dyDescent="0.25">
      <c r="A47" s="121">
        <v>7</v>
      </c>
      <c r="B47" s="122" t="s">
        <v>119</v>
      </c>
      <c r="C47" s="119">
        <f t="shared" si="4"/>
        <v>45596174</v>
      </c>
      <c r="D47" s="119">
        <f t="shared" si="4"/>
        <v>43345407</v>
      </c>
      <c r="E47" s="123">
        <f t="shared" si="5"/>
        <v>-2250767</v>
      </c>
      <c r="F47" s="124">
        <f t="shared" si="6"/>
        <v>-4.9363067173136065E-2</v>
      </c>
    </row>
    <row r="48" spans="1:6" ht="15.75" x14ac:dyDescent="0.25">
      <c r="A48" s="121">
        <v>8</v>
      </c>
      <c r="B48" s="122" t="s">
        <v>120</v>
      </c>
      <c r="C48" s="119">
        <f t="shared" si="4"/>
        <v>2818707</v>
      </c>
      <c r="D48" s="119">
        <f t="shared" si="4"/>
        <v>3300276</v>
      </c>
      <c r="E48" s="123">
        <f t="shared" si="5"/>
        <v>481569</v>
      </c>
      <c r="F48" s="124">
        <f t="shared" si="6"/>
        <v>0.17084748432525979</v>
      </c>
    </row>
    <row r="49" spans="1:6" ht="15.75" x14ac:dyDescent="0.25">
      <c r="A49" s="121">
        <v>9</v>
      </c>
      <c r="B49" s="122" t="s">
        <v>121</v>
      </c>
      <c r="C49" s="119">
        <f t="shared" si="4"/>
        <v>3802432</v>
      </c>
      <c r="D49" s="119">
        <f t="shared" si="4"/>
        <v>2855088</v>
      </c>
      <c r="E49" s="123">
        <f t="shared" si="5"/>
        <v>-947344</v>
      </c>
      <c r="F49" s="124">
        <f t="shared" si="6"/>
        <v>-0.24914160200629493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7456667</v>
      </c>
      <c r="D51" s="119">
        <f t="shared" si="4"/>
        <v>8452901</v>
      </c>
      <c r="E51" s="123">
        <f t="shared" si="5"/>
        <v>996234</v>
      </c>
      <c r="F51" s="124">
        <f t="shared" si="6"/>
        <v>0.13360312321845672</v>
      </c>
    </row>
    <row r="52" spans="1:6" ht="18.75" customHeight="1" thickBot="1" x14ac:dyDescent="0.3">
      <c r="A52" s="125"/>
      <c r="B52" s="126" t="s">
        <v>128</v>
      </c>
      <c r="C52" s="127">
        <f>SUM(C41:C51)</f>
        <v>147441042</v>
      </c>
      <c r="D52" s="128">
        <f>SUM(D41:D51)</f>
        <v>145172347</v>
      </c>
      <c r="E52" s="127">
        <f t="shared" si="5"/>
        <v>-2268695</v>
      </c>
      <c r="F52" s="129">
        <f t="shared" si="6"/>
        <v>-1.538713352283552E-2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16984341</v>
      </c>
      <c r="D57" s="113">
        <v>14792988</v>
      </c>
      <c r="E57" s="113">
        <f t="shared" ref="E57:E68" si="7">D57-C57</f>
        <v>-2191353</v>
      </c>
      <c r="F57" s="114">
        <f t="shared" ref="F57:F68" si="8">IF(C57=0,0,E57/C57)</f>
        <v>-0.12902196205316416</v>
      </c>
    </row>
    <row r="58" spans="1:6" x14ac:dyDescent="0.2">
      <c r="A58" s="115">
        <v>2</v>
      </c>
      <c r="B58" s="116" t="s">
        <v>114</v>
      </c>
      <c r="C58" s="113">
        <v>986423</v>
      </c>
      <c r="D58" s="113">
        <v>1352239</v>
      </c>
      <c r="E58" s="113">
        <f t="shared" si="7"/>
        <v>365816</v>
      </c>
      <c r="F58" s="114">
        <f t="shared" si="8"/>
        <v>0.37085104463298202</v>
      </c>
    </row>
    <row r="59" spans="1:6" x14ac:dyDescent="0.2">
      <c r="A59" s="115">
        <v>3</v>
      </c>
      <c r="B59" s="116" t="s">
        <v>115</v>
      </c>
      <c r="C59" s="113">
        <v>819553</v>
      </c>
      <c r="D59" s="113">
        <v>993888</v>
      </c>
      <c r="E59" s="113">
        <f t="shared" si="7"/>
        <v>174335</v>
      </c>
      <c r="F59" s="114">
        <f t="shared" si="8"/>
        <v>0.21271961666908668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77524</v>
      </c>
      <c r="D61" s="113">
        <v>24273</v>
      </c>
      <c r="E61" s="113">
        <f t="shared" si="7"/>
        <v>-53251</v>
      </c>
      <c r="F61" s="114">
        <f t="shared" si="8"/>
        <v>-0.68689696094112795</v>
      </c>
    </row>
    <row r="62" spans="1:6" x14ac:dyDescent="0.2">
      <c r="A62" s="115">
        <v>6</v>
      </c>
      <c r="B62" s="116" t="s">
        <v>118</v>
      </c>
      <c r="C62" s="113">
        <v>709886</v>
      </c>
      <c r="D62" s="113">
        <v>180272</v>
      </c>
      <c r="E62" s="113">
        <f t="shared" si="7"/>
        <v>-529614</v>
      </c>
      <c r="F62" s="114">
        <f t="shared" si="8"/>
        <v>-0.74605500038034278</v>
      </c>
    </row>
    <row r="63" spans="1:6" x14ac:dyDescent="0.2">
      <c r="A63" s="115">
        <v>7</v>
      </c>
      <c r="B63" s="116" t="s">
        <v>119</v>
      </c>
      <c r="C63" s="113">
        <v>5526677</v>
      </c>
      <c r="D63" s="113">
        <v>4530816</v>
      </c>
      <c r="E63" s="113">
        <f t="shared" si="7"/>
        <v>-995861</v>
      </c>
      <c r="F63" s="114">
        <f t="shared" si="8"/>
        <v>-0.18019164137871635</v>
      </c>
    </row>
    <row r="64" spans="1:6" x14ac:dyDescent="0.2">
      <c r="A64" s="115">
        <v>8</v>
      </c>
      <c r="B64" s="116" t="s">
        <v>120</v>
      </c>
      <c r="C64" s="113">
        <v>216707</v>
      </c>
      <c r="D64" s="113">
        <v>338738</v>
      </c>
      <c r="E64" s="113">
        <f t="shared" si="7"/>
        <v>122031</v>
      </c>
      <c r="F64" s="114">
        <f t="shared" si="8"/>
        <v>0.56311517394454258</v>
      </c>
    </row>
    <row r="65" spans="1:6" x14ac:dyDescent="0.2">
      <c r="A65" s="115">
        <v>9</v>
      </c>
      <c r="B65" s="116" t="s">
        <v>121</v>
      </c>
      <c r="C65" s="113">
        <v>224283</v>
      </c>
      <c r="D65" s="113">
        <v>36844</v>
      </c>
      <c r="E65" s="113">
        <f t="shared" si="7"/>
        <v>-187439</v>
      </c>
      <c r="F65" s="114">
        <f t="shared" si="8"/>
        <v>-0.83572540049847732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1196216</v>
      </c>
      <c r="D67" s="113">
        <v>1236898</v>
      </c>
      <c r="E67" s="113">
        <f t="shared" si="7"/>
        <v>40682</v>
      </c>
      <c r="F67" s="114">
        <f t="shared" si="8"/>
        <v>3.4008908090177696E-2</v>
      </c>
    </row>
    <row r="68" spans="1:6" ht="15.75" x14ac:dyDescent="0.25">
      <c r="A68" s="117"/>
      <c r="B68" s="118" t="s">
        <v>131</v>
      </c>
      <c r="C68" s="119">
        <f>SUM(C57:C67)</f>
        <v>26741610</v>
      </c>
      <c r="D68" s="119">
        <f>SUM(D57:D67)</f>
        <v>23486956</v>
      </c>
      <c r="E68" s="119">
        <f t="shared" si="7"/>
        <v>-3254654</v>
      </c>
      <c r="F68" s="120">
        <f t="shared" si="8"/>
        <v>-0.12170748133713714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7008274</v>
      </c>
      <c r="D70" s="113">
        <v>6935791</v>
      </c>
      <c r="E70" s="113">
        <f t="shared" ref="E70:E81" si="9">D70-C70</f>
        <v>-72483</v>
      </c>
      <c r="F70" s="114">
        <f t="shared" ref="F70:F81" si="10">IF(C70=0,0,E70/C70)</f>
        <v>-1.0342489463168821E-2</v>
      </c>
    </row>
    <row r="71" spans="1:6" x14ac:dyDescent="0.2">
      <c r="A71" s="115">
        <v>2</v>
      </c>
      <c r="B71" s="116" t="s">
        <v>114</v>
      </c>
      <c r="C71" s="113">
        <v>519504</v>
      </c>
      <c r="D71" s="113">
        <v>565080</v>
      </c>
      <c r="E71" s="113">
        <f t="shared" si="9"/>
        <v>45576</v>
      </c>
      <c r="F71" s="114">
        <f t="shared" si="10"/>
        <v>8.7729834611475557E-2</v>
      </c>
    </row>
    <row r="72" spans="1:6" x14ac:dyDescent="0.2">
      <c r="A72" s="115">
        <v>3</v>
      </c>
      <c r="B72" s="116" t="s">
        <v>115</v>
      </c>
      <c r="C72" s="113">
        <v>1271376</v>
      </c>
      <c r="D72" s="113">
        <v>1453468</v>
      </c>
      <c r="E72" s="113">
        <f t="shared" si="9"/>
        <v>182092</v>
      </c>
      <c r="F72" s="114">
        <f t="shared" si="10"/>
        <v>0.14322434905173606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41971</v>
      </c>
      <c r="D74" s="113">
        <v>40711</v>
      </c>
      <c r="E74" s="113">
        <f t="shared" si="9"/>
        <v>-1260</v>
      </c>
      <c r="F74" s="114">
        <f t="shared" si="10"/>
        <v>-3.0020728598317885E-2</v>
      </c>
    </row>
    <row r="75" spans="1:6" x14ac:dyDescent="0.2">
      <c r="A75" s="115">
        <v>6</v>
      </c>
      <c r="B75" s="116" t="s">
        <v>118</v>
      </c>
      <c r="C75" s="113">
        <v>1160652</v>
      </c>
      <c r="D75" s="113">
        <v>1164851</v>
      </c>
      <c r="E75" s="113">
        <f t="shared" si="9"/>
        <v>4199</v>
      </c>
      <c r="F75" s="114">
        <f t="shared" si="10"/>
        <v>3.6177941363991963E-3</v>
      </c>
    </row>
    <row r="76" spans="1:6" x14ac:dyDescent="0.2">
      <c r="A76" s="115">
        <v>7</v>
      </c>
      <c r="B76" s="116" t="s">
        <v>119</v>
      </c>
      <c r="C76" s="113">
        <v>14371540</v>
      </c>
      <c r="D76" s="113">
        <v>14349814</v>
      </c>
      <c r="E76" s="113">
        <f t="shared" si="9"/>
        <v>-21726</v>
      </c>
      <c r="F76" s="114">
        <f t="shared" si="10"/>
        <v>-1.5117377817547737E-3</v>
      </c>
    </row>
    <row r="77" spans="1:6" x14ac:dyDescent="0.2">
      <c r="A77" s="115">
        <v>8</v>
      </c>
      <c r="B77" s="116" t="s">
        <v>120</v>
      </c>
      <c r="C77" s="113">
        <v>518962</v>
      </c>
      <c r="D77" s="113">
        <v>471862</v>
      </c>
      <c r="E77" s="113">
        <f t="shared" si="9"/>
        <v>-47100</v>
      </c>
      <c r="F77" s="114">
        <f t="shared" si="10"/>
        <v>-9.075809018772088E-2</v>
      </c>
    </row>
    <row r="78" spans="1:6" x14ac:dyDescent="0.2">
      <c r="A78" s="115">
        <v>9</v>
      </c>
      <c r="B78" s="116" t="s">
        <v>121</v>
      </c>
      <c r="C78" s="113">
        <v>426841</v>
      </c>
      <c r="D78" s="113">
        <v>242542</v>
      </c>
      <c r="E78" s="113">
        <f t="shared" si="9"/>
        <v>-184299</v>
      </c>
      <c r="F78" s="114">
        <f t="shared" si="10"/>
        <v>-0.43177436094470772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565931</v>
      </c>
      <c r="D80" s="113">
        <v>621811</v>
      </c>
      <c r="E80" s="113">
        <f t="shared" si="9"/>
        <v>55880</v>
      </c>
      <c r="F80" s="114">
        <f t="shared" si="10"/>
        <v>9.873995239702367E-2</v>
      </c>
    </row>
    <row r="81" spans="1:6" ht="15.75" x14ac:dyDescent="0.25">
      <c r="A81" s="117"/>
      <c r="B81" s="118" t="s">
        <v>133</v>
      </c>
      <c r="C81" s="119">
        <f>SUM(C70:C80)</f>
        <v>25885051</v>
      </c>
      <c r="D81" s="119">
        <f>SUM(D70:D80)</f>
        <v>25845930</v>
      </c>
      <c r="E81" s="119">
        <f t="shared" si="9"/>
        <v>-39121</v>
      </c>
      <c r="F81" s="120">
        <f t="shared" si="10"/>
        <v>-1.5113356353827544E-3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23992615</v>
      </c>
      <c r="D84" s="119">
        <f t="shared" si="11"/>
        <v>21728779</v>
      </c>
      <c r="E84" s="119">
        <f t="shared" ref="E84:E95" si="12">D84-C84</f>
        <v>-2263836</v>
      </c>
      <c r="F84" s="120">
        <f t="shared" ref="F84:F95" si="13">IF(C84=0,0,E84/C84)</f>
        <v>-9.4355533984103027E-2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1505927</v>
      </c>
      <c r="D85" s="119">
        <f t="shared" si="11"/>
        <v>1917319</v>
      </c>
      <c r="E85" s="119">
        <f t="shared" si="12"/>
        <v>411392</v>
      </c>
      <c r="F85" s="120">
        <f t="shared" si="13"/>
        <v>0.2731819005834944</v>
      </c>
    </row>
    <row r="86" spans="1:6" ht="15.75" x14ac:dyDescent="0.25">
      <c r="A86" s="130">
        <v>3</v>
      </c>
      <c r="B86" s="122" t="s">
        <v>115</v>
      </c>
      <c r="C86" s="119">
        <f t="shared" si="11"/>
        <v>2090929</v>
      </c>
      <c r="D86" s="119">
        <f t="shared" si="11"/>
        <v>2447356</v>
      </c>
      <c r="E86" s="119">
        <f t="shared" si="12"/>
        <v>356427</v>
      </c>
      <c r="F86" s="120">
        <f t="shared" si="13"/>
        <v>0.17046346384788771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119495</v>
      </c>
      <c r="D88" s="119">
        <f t="shared" si="11"/>
        <v>64984</v>
      </c>
      <c r="E88" s="119">
        <f t="shared" si="12"/>
        <v>-54511</v>
      </c>
      <c r="F88" s="120">
        <f t="shared" si="13"/>
        <v>-0.45617808276496924</v>
      </c>
    </row>
    <row r="89" spans="1:6" ht="15.75" x14ac:dyDescent="0.25">
      <c r="A89" s="130">
        <v>6</v>
      </c>
      <c r="B89" s="122" t="s">
        <v>118</v>
      </c>
      <c r="C89" s="119">
        <f t="shared" si="11"/>
        <v>1870538</v>
      </c>
      <c r="D89" s="119">
        <f t="shared" si="11"/>
        <v>1345123</v>
      </c>
      <c r="E89" s="119">
        <f t="shared" si="12"/>
        <v>-525415</v>
      </c>
      <c r="F89" s="120">
        <f t="shared" si="13"/>
        <v>-0.28088977609650273</v>
      </c>
    </row>
    <row r="90" spans="1:6" ht="15.75" x14ac:dyDescent="0.25">
      <c r="A90" s="130">
        <v>7</v>
      </c>
      <c r="B90" s="122" t="s">
        <v>119</v>
      </c>
      <c r="C90" s="119">
        <f t="shared" si="11"/>
        <v>19898217</v>
      </c>
      <c r="D90" s="119">
        <f t="shared" si="11"/>
        <v>18880630</v>
      </c>
      <c r="E90" s="119">
        <f t="shared" si="12"/>
        <v>-1017587</v>
      </c>
      <c r="F90" s="120">
        <f t="shared" si="13"/>
        <v>-5.1139607131633957E-2</v>
      </c>
    </row>
    <row r="91" spans="1:6" ht="15.75" x14ac:dyDescent="0.25">
      <c r="A91" s="130">
        <v>8</v>
      </c>
      <c r="B91" s="122" t="s">
        <v>120</v>
      </c>
      <c r="C91" s="119">
        <f t="shared" si="11"/>
        <v>735669</v>
      </c>
      <c r="D91" s="119">
        <f t="shared" si="11"/>
        <v>810600</v>
      </c>
      <c r="E91" s="119">
        <f t="shared" si="12"/>
        <v>74931</v>
      </c>
      <c r="F91" s="120">
        <f t="shared" si="13"/>
        <v>0.10185423063905098</v>
      </c>
    </row>
    <row r="92" spans="1:6" ht="15.75" x14ac:dyDescent="0.25">
      <c r="A92" s="130">
        <v>9</v>
      </c>
      <c r="B92" s="122" t="s">
        <v>121</v>
      </c>
      <c r="C92" s="119">
        <f t="shared" si="11"/>
        <v>651124</v>
      </c>
      <c r="D92" s="119">
        <f t="shared" si="11"/>
        <v>279386</v>
      </c>
      <c r="E92" s="119">
        <f t="shared" si="12"/>
        <v>-371738</v>
      </c>
      <c r="F92" s="120">
        <f t="shared" si="13"/>
        <v>-0.57091736750603572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1762147</v>
      </c>
      <c r="D94" s="119">
        <f t="shared" si="11"/>
        <v>1858709</v>
      </c>
      <c r="E94" s="119">
        <f t="shared" si="12"/>
        <v>96562</v>
      </c>
      <c r="F94" s="120">
        <f t="shared" si="13"/>
        <v>5.4797925485217745E-2</v>
      </c>
    </row>
    <row r="95" spans="1:6" ht="18.75" customHeight="1" thickBot="1" x14ac:dyDescent="0.3">
      <c r="A95" s="131"/>
      <c r="B95" s="132" t="s">
        <v>134</v>
      </c>
      <c r="C95" s="128">
        <f>SUM(C84:C94)</f>
        <v>52626661</v>
      </c>
      <c r="D95" s="128">
        <f>SUM(D84:D94)</f>
        <v>49332886</v>
      </c>
      <c r="E95" s="128">
        <f t="shared" si="12"/>
        <v>-3293775</v>
      </c>
      <c r="F95" s="129">
        <f t="shared" si="13"/>
        <v>-6.2587573245431627E-2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1515</v>
      </c>
      <c r="D100" s="133">
        <v>1328</v>
      </c>
      <c r="E100" s="133">
        <f t="shared" ref="E100:E111" si="14">D100-C100</f>
        <v>-187</v>
      </c>
      <c r="F100" s="114">
        <f t="shared" ref="F100:F111" si="15">IF(C100=0,0,E100/C100)</f>
        <v>-0.12343234323432344</v>
      </c>
    </row>
    <row r="101" spans="1:6" x14ac:dyDescent="0.2">
      <c r="A101" s="115">
        <v>2</v>
      </c>
      <c r="B101" s="116" t="s">
        <v>114</v>
      </c>
      <c r="C101" s="133">
        <v>99</v>
      </c>
      <c r="D101" s="133">
        <v>133</v>
      </c>
      <c r="E101" s="133">
        <f t="shared" si="14"/>
        <v>34</v>
      </c>
      <c r="F101" s="114">
        <f t="shared" si="15"/>
        <v>0.34343434343434343</v>
      </c>
    </row>
    <row r="102" spans="1:6" x14ac:dyDescent="0.2">
      <c r="A102" s="115">
        <v>3</v>
      </c>
      <c r="B102" s="116" t="s">
        <v>115</v>
      </c>
      <c r="C102" s="133">
        <v>217</v>
      </c>
      <c r="D102" s="133">
        <v>235</v>
      </c>
      <c r="E102" s="133">
        <f t="shared" si="14"/>
        <v>18</v>
      </c>
      <c r="F102" s="114">
        <f t="shared" si="15"/>
        <v>8.294930875576037E-2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9</v>
      </c>
      <c r="D104" s="133">
        <v>5</v>
      </c>
      <c r="E104" s="133">
        <f t="shared" si="14"/>
        <v>-4</v>
      </c>
      <c r="F104" s="114">
        <f t="shared" si="15"/>
        <v>-0.44444444444444442</v>
      </c>
    </row>
    <row r="105" spans="1:6" x14ac:dyDescent="0.2">
      <c r="A105" s="115">
        <v>6</v>
      </c>
      <c r="B105" s="116" t="s">
        <v>118</v>
      </c>
      <c r="C105" s="133">
        <v>39</v>
      </c>
      <c r="D105" s="133">
        <v>25</v>
      </c>
      <c r="E105" s="133">
        <f t="shared" si="14"/>
        <v>-14</v>
      </c>
      <c r="F105" s="114">
        <f t="shared" si="15"/>
        <v>-0.35897435897435898</v>
      </c>
    </row>
    <row r="106" spans="1:6" x14ac:dyDescent="0.2">
      <c r="A106" s="115">
        <v>7</v>
      </c>
      <c r="B106" s="116" t="s">
        <v>119</v>
      </c>
      <c r="C106" s="133">
        <v>680</v>
      </c>
      <c r="D106" s="133">
        <v>620</v>
      </c>
      <c r="E106" s="133">
        <f t="shared" si="14"/>
        <v>-60</v>
      </c>
      <c r="F106" s="114">
        <f t="shared" si="15"/>
        <v>-8.8235294117647065E-2</v>
      </c>
    </row>
    <row r="107" spans="1:6" x14ac:dyDescent="0.2">
      <c r="A107" s="115">
        <v>8</v>
      </c>
      <c r="B107" s="116" t="s">
        <v>120</v>
      </c>
      <c r="C107" s="133">
        <v>18</v>
      </c>
      <c r="D107" s="133">
        <v>18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93</v>
      </c>
      <c r="D108" s="133">
        <v>40</v>
      </c>
      <c r="E108" s="133">
        <f t="shared" si="14"/>
        <v>-53</v>
      </c>
      <c r="F108" s="114">
        <f t="shared" si="15"/>
        <v>-0.56989247311827962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208</v>
      </c>
      <c r="D110" s="133">
        <v>212</v>
      </c>
      <c r="E110" s="133">
        <f t="shared" si="14"/>
        <v>4</v>
      </c>
      <c r="F110" s="114">
        <f t="shared" si="15"/>
        <v>1.9230769230769232E-2</v>
      </c>
    </row>
    <row r="111" spans="1:6" ht="15.75" x14ac:dyDescent="0.25">
      <c r="A111" s="117"/>
      <c r="B111" s="118" t="s">
        <v>138</v>
      </c>
      <c r="C111" s="134">
        <f>SUM(C100:C110)</f>
        <v>2878</v>
      </c>
      <c r="D111" s="134">
        <f>SUM(D100:D110)</f>
        <v>2616</v>
      </c>
      <c r="E111" s="134">
        <f t="shared" si="14"/>
        <v>-262</v>
      </c>
      <c r="F111" s="120">
        <f t="shared" si="15"/>
        <v>-9.1035441278665738E-2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7871</v>
      </c>
      <c r="D113" s="133">
        <v>7389</v>
      </c>
      <c r="E113" s="133">
        <f t="shared" ref="E113:E124" si="16">D113-C113</f>
        <v>-482</v>
      </c>
      <c r="F113" s="114">
        <f t="shared" ref="F113:F124" si="17">IF(C113=0,0,E113/C113)</f>
        <v>-6.1237453944860881E-2</v>
      </c>
    </row>
    <row r="114" spans="1:6" x14ac:dyDescent="0.2">
      <c r="A114" s="115">
        <v>2</v>
      </c>
      <c r="B114" s="116" t="s">
        <v>114</v>
      </c>
      <c r="C114" s="133">
        <v>620</v>
      </c>
      <c r="D114" s="133">
        <v>836</v>
      </c>
      <c r="E114" s="133">
        <f t="shared" si="16"/>
        <v>216</v>
      </c>
      <c r="F114" s="114">
        <f t="shared" si="17"/>
        <v>0.34838709677419355</v>
      </c>
    </row>
    <row r="115" spans="1:6" x14ac:dyDescent="0.2">
      <c r="A115" s="115">
        <v>3</v>
      </c>
      <c r="B115" s="116" t="s">
        <v>115</v>
      </c>
      <c r="C115" s="133">
        <v>615</v>
      </c>
      <c r="D115" s="133">
        <v>711</v>
      </c>
      <c r="E115" s="133">
        <f t="shared" si="16"/>
        <v>96</v>
      </c>
      <c r="F115" s="114">
        <f t="shared" si="17"/>
        <v>0.15609756097560976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21</v>
      </c>
      <c r="D117" s="133">
        <v>10</v>
      </c>
      <c r="E117" s="133">
        <f t="shared" si="16"/>
        <v>-11</v>
      </c>
      <c r="F117" s="114">
        <f t="shared" si="17"/>
        <v>-0.52380952380952384</v>
      </c>
    </row>
    <row r="118" spans="1:6" x14ac:dyDescent="0.2">
      <c r="A118" s="115">
        <v>6</v>
      </c>
      <c r="B118" s="116" t="s">
        <v>118</v>
      </c>
      <c r="C118" s="133">
        <v>114</v>
      </c>
      <c r="D118" s="133">
        <v>67</v>
      </c>
      <c r="E118" s="133">
        <f t="shared" si="16"/>
        <v>-47</v>
      </c>
      <c r="F118" s="114">
        <f t="shared" si="17"/>
        <v>-0.41228070175438597</v>
      </c>
    </row>
    <row r="119" spans="1:6" x14ac:dyDescent="0.2">
      <c r="A119" s="115">
        <v>7</v>
      </c>
      <c r="B119" s="116" t="s">
        <v>119</v>
      </c>
      <c r="C119" s="133">
        <v>2155</v>
      </c>
      <c r="D119" s="133">
        <v>1894</v>
      </c>
      <c r="E119" s="133">
        <f t="shared" si="16"/>
        <v>-261</v>
      </c>
      <c r="F119" s="114">
        <f t="shared" si="17"/>
        <v>-0.12111368909512761</v>
      </c>
    </row>
    <row r="120" spans="1:6" x14ac:dyDescent="0.2">
      <c r="A120" s="115">
        <v>8</v>
      </c>
      <c r="B120" s="116" t="s">
        <v>120</v>
      </c>
      <c r="C120" s="133">
        <v>48</v>
      </c>
      <c r="D120" s="133">
        <v>56</v>
      </c>
      <c r="E120" s="133">
        <f t="shared" si="16"/>
        <v>8</v>
      </c>
      <c r="F120" s="114">
        <f t="shared" si="17"/>
        <v>0.16666666666666666</v>
      </c>
    </row>
    <row r="121" spans="1:6" x14ac:dyDescent="0.2">
      <c r="A121" s="115">
        <v>9</v>
      </c>
      <c r="B121" s="116" t="s">
        <v>121</v>
      </c>
      <c r="C121" s="133">
        <v>241</v>
      </c>
      <c r="D121" s="133">
        <v>93</v>
      </c>
      <c r="E121" s="133">
        <f t="shared" si="16"/>
        <v>-148</v>
      </c>
      <c r="F121" s="114">
        <f t="shared" si="17"/>
        <v>-0.61410788381742742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653</v>
      </c>
      <c r="D123" s="133">
        <v>634</v>
      </c>
      <c r="E123" s="133">
        <f t="shared" si="16"/>
        <v>-19</v>
      </c>
      <c r="F123" s="114">
        <f t="shared" si="17"/>
        <v>-2.9096477794793262E-2</v>
      </c>
    </row>
    <row r="124" spans="1:6" ht="15.75" x14ac:dyDescent="0.25">
      <c r="A124" s="117"/>
      <c r="B124" s="118" t="s">
        <v>140</v>
      </c>
      <c r="C124" s="134">
        <f>SUM(C113:C123)</f>
        <v>12338</v>
      </c>
      <c r="D124" s="134">
        <f>SUM(D113:D123)</f>
        <v>11690</v>
      </c>
      <c r="E124" s="134">
        <f t="shared" si="16"/>
        <v>-648</v>
      </c>
      <c r="F124" s="120">
        <f t="shared" si="17"/>
        <v>-5.2520667855406065E-2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40407</v>
      </c>
      <c r="D126" s="133">
        <v>37260</v>
      </c>
      <c r="E126" s="133">
        <f t="shared" ref="E126:E137" si="18">D126-C126</f>
        <v>-3147</v>
      </c>
      <c r="F126" s="114">
        <f t="shared" ref="F126:F137" si="19">IF(C126=0,0,E126/C126)</f>
        <v>-7.7882545103571163E-2</v>
      </c>
    </row>
    <row r="127" spans="1:6" x14ac:dyDescent="0.2">
      <c r="A127" s="115">
        <v>2</v>
      </c>
      <c r="B127" s="116" t="s">
        <v>114</v>
      </c>
      <c r="C127" s="133">
        <v>2294</v>
      </c>
      <c r="D127" s="133">
        <v>2530</v>
      </c>
      <c r="E127" s="133">
        <f t="shared" si="18"/>
        <v>236</v>
      </c>
      <c r="F127" s="114">
        <f t="shared" si="19"/>
        <v>0.1028770706190061</v>
      </c>
    </row>
    <row r="128" spans="1:6" x14ac:dyDescent="0.2">
      <c r="A128" s="115">
        <v>3</v>
      </c>
      <c r="B128" s="116" t="s">
        <v>115</v>
      </c>
      <c r="C128" s="133">
        <v>4040</v>
      </c>
      <c r="D128" s="133">
        <v>5081</v>
      </c>
      <c r="E128" s="133">
        <f t="shared" si="18"/>
        <v>1041</v>
      </c>
      <c r="F128" s="114">
        <f t="shared" si="19"/>
        <v>0.25767326732673268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157</v>
      </c>
      <c r="D130" s="133">
        <v>138</v>
      </c>
      <c r="E130" s="133">
        <f t="shared" si="18"/>
        <v>-19</v>
      </c>
      <c r="F130" s="114">
        <f t="shared" si="19"/>
        <v>-0.12101910828025478</v>
      </c>
    </row>
    <row r="131" spans="1:6" x14ac:dyDescent="0.2">
      <c r="A131" s="115">
        <v>6</v>
      </c>
      <c r="B131" s="116" t="s">
        <v>118</v>
      </c>
      <c r="C131" s="133">
        <v>4244</v>
      </c>
      <c r="D131" s="133">
        <v>4272</v>
      </c>
      <c r="E131" s="133">
        <f t="shared" si="18"/>
        <v>28</v>
      </c>
      <c r="F131" s="114">
        <f t="shared" si="19"/>
        <v>6.5975494816211122E-3</v>
      </c>
    </row>
    <row r="132" spans="1:6" x14ac:dyDescent="0.2">
      <c r="A132" s="115">
        <v>7</v>
      </c>
      <c r="B132" s="116" t="s">
        <v>119</v>
      </c>
      <c r="C132" s="133">
        <v>31600</v>
      </c>
      <c r="D132" s="133">
        <v>33553</v>
      </c>
      <c r="E132" s="133">
        <f t="shared" si="18"/>
        <v>1953</v>
      </c>
      <c r="F132" s="114">
        <f t="shared" si="19"/>
        <v>6.1803797468354432E-2</v>
      </c>
    </row>
    <row r="133" spans="1:6" x14ac:dyDescent="0.2">
      <c r="A133" s="115">
        <v>8</v>
      </c>
      <c r="B133" s="116" t="s">
        <v>120</v>
      </c>
      <c r="C133" s="133">
        <v>1011</v>
      </c>
      <c r="D133" s="133">
        <v>1054</v>
      </c>
      <c r="E133" s="133">
        <f t="shared" si="18"/>
        <v>43</v>
      </c>
      <c r="F133" s="114">
        <f t="shared" si="19"/>
        <v>4.2532146389713157E-2</v>
      </c>
    </row>
    <row r="134" spans="1:6" x14ac:dyDescent="0.2">
      <c r="A134" s="115">
        <v>9</v>
      </c>
      <c r="B134" s="116" t="s">
        <v>121</v>
      </c>
      <c r="C134" s="133">
        <v>3824</v>
      </c>
      <c r="D134" s="133">
        <v>3028</v>
      </c>
      <c r="E134" s="133">
        <f t="shared" si="18"/>
        <v>-796</v>
      </c>
      <c r="F134" s="114">
        <f t="shared" si="19"/>
        <v>-0.20815899581589958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5321</v>
      </c>
      <c r="D136" s="133">
        <v>5986</v>
      </c>
      <c r="E136" s="133">
        <f t="shared" si="18"/>
        <v>665</v>
      </c>
      <c r="F136" s="114">
        <f t="shared" si="19"/>
        <v>0.12497650817515504</v>
      </c>
    </row>
    <row r="137" spans="1:6" ht="15.75" x14ac:dyDescent="0.25">
      <c r="A137" s="117"/>
      <c r="B137" s="118" t="s">
        <v>142</v>
      </c>
      <c r="C137" s="134">
        <f>SUM(C126:C136)</f>
        <v>92898</v>
      </c>
      <c r="D137" s="134">
        <f>SUM(D126:D136)</f>
        <v>92902</v>
      </c>
      <c r="E137" s="134">
        <f t="shared" si="18"/>
        <v>4</v>
      </c>
      <c r="F137" s="120">
        <f t="shared" si="19"/>
        <v>4.3057977566793686E-5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4525067</v>
      </c>
      <c r="D142" s="113">
        <v>4768766</v>
      </c>
      <c r="E142" s="113">
        <f t="shared" ref="E142:E153" si="20">D142-C142</f>
        <v>243699</v>
      </c>
      <c r="F142" s="114">
        <f t="shared" ref="F142:F153" si="21">IF(C142=0,0,E142/C142)</f>
        <v>5.385533518067246E-2</v>
      </c>
    </row>
    <row r="143" spans="1:6" x14ac:dyDescent="0.2">
      <c r="A143" s="115">
        <v>2</v>
      </c>
      <c r="B143" s="116" t="s">
        <v>114</v>
      </c>
      <c r="C143" s="113">
        <v>353840</v>
      </c>
      <c r="D143" s="113">
        <v>503896</v>
      </c>
      <c r="E143" s="113">
        <f t="shared" si="20"/>
        <v>150056</v>
      </c>
      <c r="F143" s="114">
        <f t="shared" si="21"/>
        <v>0.42407867962921092</v>
      </c>
    </row>
    <row r="144" spans="1:6" x14ac:dyDescent="0.2">
      <c r="A144" s="115">
        <v>3</v>
      </c>
      <c r="B144" s="116" t="s">
        <v>115</v>
      </c>
      <c r="C144" s="113">
        <v>1600124</v>
      </c>
      <c r="D144" s="113">
        <v>1872963</v>
      </c>
      <c r="E144" s="113">
        <f t="shared" si="20"/>
        <v>272839</v>
      </c>
      <c r="F144" s="114">
        <f t="shared" si="21"/>
        <v>0.17051116038507017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74257</v>
      </c>
      <c r="D146" s="113">
        <v>65367</v>
      </c>
      <c r="E146" s="113">
        <f t="shared" si="20"/>
        <v>-8890</v>
      </c>
      <c r="F146" s="114">
        <f t="shared" si="21"/>
        <v>-0.1197193530576242</v>
      </c>
    </row>
    <row r="147" spans="1:6" x14ac:dyDescent="0.2">
      <c r="A147" s="115">
        <v>6</v>
      </c>
      <c r="B147" s="116" t="s">
        <v>118</v>
      </c>
      <c r="C147" s="113">
        <v>869695</v>
      </c>
      <c r="D147" s="113">
        <v>1085750</v>
      </c>
      <c r="E147" s="113">
        <f t="shared" si="20"/>
        <v>216055</v>
      </c>
      <c r="F147" s="114">
        <f t="shared" si="21"/>
        <v>0.24842617239377024</v>
      </c>
    </row>
    <row r="148" spans="1:6" x14ac:dyDescent="0.2">
      <c r="A148" s="115">
        <v>7</v>
      </c>
      <c r="B148" s="116" t="s">
        <v>119</v>
      </c>
      <c r="C148" s="113">
        <v>6479973</v>
      </c>
      <c r="D148" s="113">
        <v>7541920</v>
      </c>
      <c r="E148" s="113">
        <f t="shared" si="20"/>
        <v>1061947</v>
      </c>
      <c r="F148" s="114">
        <f t="shared" si="21"/>
        <v>0.16388139271567953</v>
      </c>
    </row>
    <row r="149" spans="1:6" x14ac:dyDescent="0.2">
      <c r="A149" s="115">
        <v>8</v>
      </c>
      <c r="B149" s="116" t="s">
        <v>120</v>
      </c>
      <c r="C149" s="113">
        <v>419636</v>
      </c>
      <c r="D149" s="113">
        <v>423865</v>
      </c>
      <c r="E149" s="113">
        <f t="shared" si="20"/>
        <v>4229</v>
      </c>
      <c r="F149" s="114">
        <f t="shared" si="21"/>
        <v>1.0077781696517935E-2</v>
      </c>
    </row>
    <row r="150" spans="1:6" x14ac:dyDescent="0.2">
      <c r="A150" s="115">
        <v>9</v>
      </c>
      <c r="B150" s="116" t="s">
        <v>121</v>
      </c>
      <c r="C150" s="113">
        <v>1785744</v>
      </c>
      <c r="D150" s="113">
        <v>1627749</v>
      </c>
      <c r="E150" s="113">
        <f t="shared" si="20"/>
        <v>-157995</v>
      </c>
      <c r="F150" s="114">
        <f t="shared" si="21"/>
        <v>-8.8475727763890011E-2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2153882</v>
      </c>
      <c r="D152" s="113">
        <v>2743950</v>
      </c>
      <c r="E152" s="113">
        <f t="shared" si="20"/>
        <v>590068</v>
      </c>
      <c r="F152" s="114">
        <f t="shared" si="21"/>
        <v>0.27395558345350396</v>
      </c>
    </row>
    <row r="153" spans="1:6" ht="33.75" customHeight="1" x14ac:dyDescent="0.25">
      <c r="A153" s="117"/>
      <c r="B153" s="118" t="s">
        <v>146</v>
      </c>
      <c r="C153" s="119">
        <f>SUM(C142:C152)</f>
        <v>18262218</v>
      </c>
      <c r="D153" s="119">
        <f>SUM(D142:D152)</f>
        <v>20634226</v>
      </c>
      <c r="E153" s="119">
        <f t="shared" si="20"/>
        <v>2372008</v>
      </c>
      <c r="F153" s="120">
        <f t="shared" si="21"/>
        <v>0.12988608503085441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830096</v>
      </c>
      <c r="D155" s="113">
        <v>919121</v>
      </c>
      <c r="E155" s="113">
        <f t="shared" ref="E155:E166" si="22">D155-C155</f>
        <v>89025</v>
      </c>
      <c r="F155" s="114">
        <f t="shared" ref="F155:F166" si="23">IF(C155=0,0,E155/C155)</f>
        <v>0.10724663171488599</v>
      </c>
    </row>
    <row r="156" spans="1:6" x14ac:dyDescent="0.2">
      <c r="A156" s="115">
        <v>2</v>
      </c>
      <c r="B156" s="116" t="s">
        <v>114</v>
      </c>
      <c r="C156" s="113">
        <v>55177</v>
      </c>
      <c r="D156" s="113">
        <v>91431</v>
      </c>
      <c r="E156" s="113">
        <f t="shared" si="22"/>
        <v>36254</v>
      </c>
      <c r="F156" s="114">
        <f t="shared" si="23"/>
        <v>0.65704913279083677</v>
      </c>
    </row>
    <row r="157" spans="1:6" x14ac:dyDescent="0.2">
      <c r="A157" s="115">
        <v>3</v>
      </c>
      <c r="B157" s="116" t="s">
        <v>115</v>
      </c>
      <c r="C157" s="113">
        <v>377800</v>
      </c>
      <c r="D157" s="113">
        <v>376328</v>
      </c>
      <c r="E157" s="113">
        <f t="shared" si="22"/>
        <v>-1472</v>
      </c>
      <c r="F157" s="114">
        <f t="shared" si="23"/>
        <v>-3.896241397564849E-3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11958</v>
      </c>
      <c r="D159" s="113">
        <v>11154</v>
      </c>
      <c r="E159" s="113">
        <f t="shared" si="22"/>
        <v>-804</v>
      </c>
      <c r="F159" s="114">
        <f t="shared" si="23"/>
        <v>-6.7235323632714505E-2</v>
      </c>
    </row>
    <row r="160" spans="1:6" x14ac:dyDescent="0.2">
      <c r="A160" s="115">
        <v>6</v>
      </c>
      <c r="B160" s="116" t="s">
        <v>118</v>
      </c>
      <c r="C160" s="113">
        <v>186302</v>
      </c>
      <c r="D160" s="113">
        <v>196792</v>
      </c>
      <c r="E160" s="113">
        <f t="shared" si="22"/>
        <v>10490</v>
      </c>
      <c r="F160" s="114">
        <f t="shared" si="23"/>
        <v>5.6306427198849179E-2</v>
      </c>
    </row>
    <row r="161" spans="1:6" x14ac:dyDescent="0.2">
      <c r="A161" s="115">
        <v>7</v>
      </c>
      <c r="B161" s="116" t="s">
        <v>119</v>
      </c>
      <c r="C161" s="113">
        <v>1799157</v>
      </c>
      <c r="D161" s="113">
        <v>2030428</v>
      </c>
      <c r="E161" s="113">
        <f t="shared" si="22"/>
        <v>231271</v>
      </c>
      <c r="F161" s="114">
        <f t="shared" si="23"/>
        <v>0.12854409037121273</v>
      </c>
    </row>
    <row r="162" spans="1:6" x14ac:dyDescent="0.2">
      <c r="A162" s="115">
        <v>8</v>
      </c>
      <c r="B162" s="116" t="s">
        <v>120</v>
      </c>
      <c r="C162" s="113">
        <v>8616</v>
      </c>
      <c r="D162" s="113">
        <v>10955</v>
      </c>
      <c r="E162" s="113">
        <f t="shared" si="22"/>
        <v>2339</v>
      </c>
      <c r="F162" s="114">
        <f t="shared" si="23"/>
        <v>0.27147168059424326</v>
      </c>
    </row>
    <row r="163" spans="1:6" x14ac:dyDescent="0.2">
      <c r="A163" s="115">
        <v>9</v>
      </c>
      <c r="B163" s="116" t="s">
        <v>121</v>
      </c>
      <c r="C163" s="113">
        <v>39257</v>
      </c>
      <c r="D163" s="113">
        <v>29087</v>
      </c>
      <c r="E163" s="113">
        <f t="shared" si="22"/>
        <v>-10170</v>
      </c>
      <c r="F163" s="114">
        <f t="shared" si="23"/>
        <v>-0.25906207810072091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176222</v>
      </c>
      <c r="D165" s="113">
        <v>232039</v>
      </c>
      <c r="E165" s="113">
        <f t="shared" si="22"/>
        <v>55817</v>
      </c>
      <c r="F165" s="114">
        <f t="shared" si="23"/>
        <v>0.31674251796030006</v>
      </c>
    </row>
    <row r="166" spans="1:6" ht="33.75" customHeight="1" x14ac:dyDescent="0.25">
      <c r="A166" s="117"/>
      <c r="B166" s="118" t="s">
        <v>148</v>
      </c>
      <c r="C166" s="119">
        <f>SUM(C155:C165)</f>
        <v>3484585</v>
      </c>
      <c r="D166" s="119">
        <f>SUM(D155:D165)</f>
        <v>3897335</v>
      </c>
      <c r="E166" s="119">
        <f t="shared" si="22"/>
        <v>412750</v>
      </c>
      <c r="F166" s="120">
        <f t="shared" si="23"/>
        <v>0.1184502602175008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3233</v>
      </c>
      <c r="D168" s="133">
        <v>3045</v>
      </c>
      <c r="E168" s="133">
        <f t="shared" ref="E168:E179" si="24">D168-C168</f>
        <v>-188</v>
      </c>
      <c r="F168" s="114">
        <f t="shared" ref="F168:F179" si="25">IF(C168=0,0,E168/C168)</f>
        <v>-5.8150324775750079E-2</v>
      </c>
    </row>
    <row r="169" spans="1:6" x14ac:dyDescent="0.2">
      <c r="A169" s="115">
        <v>2</v>
      </c>
      <c r="B169" s="116" t="s">
        <v>114</v>
      </c>
      <c r="C169" s="133">
        <v>228</v>
      </c>
      <c r="D169" s="133">
        <v>272</v>
      </c>
      <c r="E169" s="133">
        <f t="shared" si="24"/>
        <v>44</v>
      </c>
      <c r="F169" s="114">
        <f t="shared" si="25"/>
        <v>0.19298245614035087</v>
      </c>
    </row>
    <row r="170" spans="1:6" x14ac:dyDescent="0.2">
      <c r="A170" s="115">
        <v>3</v>
      </c>
      <c r="B170" s="116" t="s">
        <v>115</v>
      </c>
      <c r="C170" s="133">
        <v>1240</v>
      </c>
      <c r="D170" s="133">
        <v>1240</v>
      </c>
      <c r="E170" s="133">
        <f t="shared" si="24"/>
        <v>0</v>
      </c>
      <c r="F170" s="114">
        <f t="shared" si="25"/>
        <v>0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76</v>
      </c>
      <c r="D172" s="133">
        <v>58</v>
      </c>
      <c r="E172" s="133">
        <f t="shared" si="24"/>
        <v>-18</v>
      </c>
      <c r="F172" s="114">
        <f t="shared" si="25"/>
        <v>-0.23684210526315788</v>
      </c>
    </row>
    <row r="173" spans="1:6" x14ac:dyDescent="0.2">
      <c r="A173" s="115">
        <v>6</v>
      </c>
      <c r="B173" s="116" t="s">
        <v>118</v>
      </c>
      <c r="C173" s="133">
        <v>696</v>
      </c>
      <c r="D173" s="133">
        <v>583</v>
      </c>
      <c r="E173" s="133">
        <f t="shared" si="24"/>
        <v>-113</v>
      </c>
      <c r="F173" s="114">
        <f t="shared" si="25"/>
        <v>-0.16235632183908047</v>
      </c>
    </row>
    <row r="174" spans="1:6" x14ac:dyDescent="0.2">
      <c r="A174" s="115">
        <v>7</v>
      </c>
      <c r="B174" s="116" t="s">
        <v>119</v>
      </c>
      <c r="C174" s="133">
        <v>6092</v>
      </c>
      <c r="D174" s="133">
        <v>5912</v>
      </c>
      <c r="E174" s="133">
        <f t="shared" si="24"/>
        <v>-180</v>
      </c>
      <c r="F174" s="114">
        <f t="shared" si="25"/>
        <v>-2.9546946815495731E-2</v>
      </c>
    </row>
    <row r="175" spans="1:6" x14ac:dyDescent="0.2">
      <c r="A175" s="115">
        <v>8</v>
      </c>
      <c r="B175" s="116" t="s">
        <v>120</v>
      </c>
      <c r="C175" s="133">
        <v>522</v>
      </c>
      <c r="D175" s="133">
        <v>423</v>
      </c>
      <c r="E175" s="133">
        <f t="shared" si="24"/>
        <v>-99</v>
      </c>
      <c r="F175" s="114">
        <f t="shared" si="25"/>
        <v>-0.18965517241379309</v>
      </c>
    </row>
    <row r="176" spans="1:6" x14ac:dyDescent="0.2">
      <c r="A176" s="115">
        <v>9</v>
      </c>
      <c r="B176" s="116" t="s">
        <v>121</v>
      </c>
      <c r="C176" s="133">
        <v>1664</v>
      </c>
      <c r="D176" s="133">
        <v>1337</v>
      </c>
      <c r="E176" s="133">
        <f t="shared" si="24"/>
        <v>-327</v>
      </c>
      <c r="F176" s="114">
        <f t="shared" si="25"/>
        <v>-0.19651442307692307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1995</v>
      </c>
      <c r="D178" s="133">
        <v>1955</v>
      </c>
      <c r="E178" s="133">
        <f t="shared" si="24"/>
        <v>-40</v>
      </c>
      <c r="F178" s="114">
        <f t="shared" si="25"/>
        <v>-2.0050125313283207E-2</v>
      </c>
    </row>
    <row r="179" spans="1:6" ht="33.75" customHeight="1" x14ac:dyDescent="0.25">
      <c r="A179" s="117"/>
      <c r="B179" s="118" t="s">
        <v>150</v>
      </c>
      <c r="C179" s="134">
        <f>SUM(C168:C178)</f>
        <v>15746</v>
      </c>
      <c r="D179" s="134">
        <f>SUM(D168:D178)</f>
        <v>14825</v>
      </c>
      <c r="E179" s="134">
        <f t="shared" si="24"/>
        <v>-921</v>
      </c>
      <c r="F179" s="120">
        <f t="shared" si="25"/>
        <v>-5.8491045344849488E-2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FILING&amp;RESSENT-SHARON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6922138</v>
      </c>
      <c r="D15" s="157">
        <v>7183819</v>
      </c>
      <c r="E15" s="157">
        <f>+D15-C15</f>
        <v>261681</v>
      </c>
      <c r="F15" s="161">
        <f>IF(C15=0,0,E15/C15)</f>
        <v>3.7803493660484667E-2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10327838</v>
      </c>
      <c r="D17" s="157">
        <v>9839922</v>
      </c>
      <c r="E17" s="157">
        <f>+D17-C17</f>
        <v>-487916</v>
      </c>
      <c r="F17" s="161">
        <f>IF(C17=0,0,E17/C17)</f>
        <v>-4.7242801445956065E-2</v>
      </c>
    </row>
    <row r="18" spans="1:6" ht="15.75" customHeight="1" x14ac:dyDescent="0.25">
      <c r="A18" s="147"/>
      <c r="B18" s="162" t="s">
        <v>159</v>
      </c>
      <c r="C18" s="158">
        <f>SUM(C15:C17)</f>
        <v>17249976</v>
      </c>
      <c r="D18" s="158">
        <f>SUM(D15:D17)</f>
        <v>17023741</v>
      </c>
      <c r="E18" s="158">
        <f>+D18-C18</f>
        <v>-226235</v>
      </c>
      <c r="F18" s="159">
        <f>IF(C18=0,0,E18/C18)</f>
        <v>-1.3115090710850845E-2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1697890</v>
      </c>
      <c r="D21" s="157">
        <v>1803117</v>
      </c>
      <c r="E21" s="157">
        <f>+D21-C21</f>
        <v>105227</v>
      </c>
      <c r="F21" s="161">
        <f>IF(C21=0,0,E21/C21)</f>
        <v>6.1975157401245075E-2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2533292</v>
      </c>
      <c r="D23" s="157">
        <v>2469797</v>
      </c>
      <c r="E23" s="157">
        <f>+D23-C23</f>
        <v>-63495</v>
      </c>
      <c r="F23" s="161">
        <f>IF(C23=0,0,E23/C23)</f>
        <v>-2.5064224732087734E-2</v>
      </c>
    </row>
    <row r="24" spans="1:6" ht="15.75" customHeight="1" x14ac:dyDescent="0.25">
      <c r="A24" s="147"/>
      <c r="B24" s="162" t="s">
        <v>164</v>
      </c>
      <c r="C24" s="158">
        <f>SUM(C21:C23)</f>
        <v>4231182</v>
      </c>
      <c r="D24" s="158">
        <f>SUM(D21:D23)</f>
        <v>4272914</v>
      </c>
      <c r="E24" s="158">
        <f>+D24-C24</f>
        <v>41732</v>
      </c>
      <c r="F24" s="159">
        <f>IF(C24=0,0,E24/C24)</f>
        <v>9.8629650059959603E-3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592835</v>
      </c>
      <c r="D27" s="157">
        <v>151423</v>
      </c>
      <c r="E27" s="157">
        <f>+D27-C27</f>
        <v>-441412</v>
      </c>
      <c r="F27" s="161">
        <f>IF(C27=0,0,E27/C27)</f>
        <v>-0.74457817099192858</v>
      </c>
    </row>
    <row r="28" spans="1:6" ht="15" customHeight="1" x14ac:dyDescent="0.2">
      <c r="A28" s="147">
        <v>2</v>
      </c>
      <c r="B28" s="160" t="s">
        <v>167</v>
      </c>
      <c r="C28" s="157">
        <v>1670355</v>
      </c>
      <c r="D28" s="157">
        <v>1992369</v>
      </c>
      <c r="E28" s="157">
        <f>+D28-C28</f>
        <v>322014</v>
      </c>
      <c r="F28" s="161">
        <f>IF(C28=0,0,E28/C28)</f>
        <v>0.19278177393428342</v>
      </c>
    </row>
    <row r="29" spans="1:6" ht="15" customHeight="1" x14ac:dyDescent="0.2">
      <c r="A29" s="147">
        <v>3</v>
      </c>
      <c r="B29" s="160" t="s">
        <v>168</v>
      </c>
      <c r="C29" s="157">
        <v>6051</v>
      </c>
      <c r="D29" s="157">
        <v>0</v>
      </c>
      <c r="E29" s="157">
        <f>+D29-C29</f>
        <v>-6051</v>
      </c>
      <c r="F29" s="161">
        <f>IF(C29=0,0,E29/C29)</f>
        <v>-1</v>
      </c>
    </row>
    <row r="30" spans="1:6" ht="15.75" customHeight="1" x14ac:dyDescent="0.25">
      <c r="A30" s="147"/>
      <c r="B30" s="162" t="s">
        <v>169</v>
      </c>
      <c r="C30" s="158">
        <f>SUM(C27:C29)</f>
        <v>2269241</v>
      </c>
      <c r="D30" s="158">
        <f>SUM(D27:D29)</f>
        <v>2143792</v>
      </c>
      <c r="E30" s="158">
        <f>+D30-C30</f>
        <v>-125449</v>
      </c>
      <c r="F30" s="159">
        <f>IF(C30=0,0,E30/C30)</f>
        <v>-5.5282360930372754E-2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4626181</v>
      </c>
      <c r="D33" s="157">
        <v>4524521</v>
      </c>
      <c r="E33" s="157">
        <f>+D33-C33</f>
        <v>-101660</v>
      </c>
      <c r="F33" s="161">
        <f>IF(C33=0,0,E33/C33)</f>
        <v>-2.1974929212670236E-2</v>
      </c>
    </row>
    <row r="34" spans="1:6" ht="15" customHeight="1" x14ac:dyDescent="0.2">
      <c r="A34" s="147">
        <v>2</v>
      </c>
      <c r="B34" s="160" t="s">
        <v>173</v>
      </c>
      <c r="C34" s="157">
        <v>2002255</v>
      </c>
      <c r="D34" s="157">
        <v>1468414</v>
      </c>
      <c r="E34" s="157">
        <f>+D34-C34</f>
        <v>-533841</v>
      </c>
      <c r="F34" s="161">
        <f>IF(C34=0,0,E34/C34)</f>
        <v>-0.26661988607844656</v>
      </c>
    </row>
    <row r="35" spans="1:6" ht="15.75" customHeight="1" x14ac:dyDescent="0.25">
      <c r="A35" s="147"/>
      <c r="B35" s="162" t="s">
        <v>174</v>
      </c>
      <c r="C35" s="158">
        <f>SUM(C33:C34)</f>
        <v>6628436</v>
      </c>
      <c r="D35" s="158">
        <f>SUM(D33:D34)</f>
        <v>5992935</v>
      </c>
      <c r="E35" s="158">
        <f>+D35-C35</f>
        <v>-635501</v>
      </c>
      <c r="F35" s="159">
        <f>IF(C35=0,0,E35/C35)</f>
        <v>-9.5874954514156882E-2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1612648</v>
      </c>
      <c r="D38" s="157">
        <v>1481838</v>
      </c>
      <c r="E38" s="157">
        <f>+D38-C38</f>
        <v>-130810</v>
      </c>
      <c r="F38" s="161">
        <f>IF(C38=0,0,E38/C38)</f>
        <v>-8.1115035643240185E-2</v>
      </c>
    </row>
    <row r="39" spans="1:6" ht="15" customHeight="1" x14ac:dyDescent="0.2">
      <c r="A39" s="147">
        <v>2</v>
      </c>
      <c r="B39" s="160" t="s">
        <v>178</v>
      </c>
      <c r="C39" s="157">
        <v>1391493</v>
      </c>
      <c r="D39" s="157">
        <v>1082108</v>
      </c>
      <c r="E39" s="157">
        <f>+D39-C39</f>
        <v>-309385</v>
      </c>
      <c r="F39" s="161">
        <f>IF(C39=0,0,E39/C39)</f>
        <v>-0.22234032079212759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3004141</v>
      </c>
      <c r="D41" s="158">
        <f>SUM(D38:D40)</f>
        <v>2563946</v>
      </c>
      <c r="E41" s="158">
        <f>+D41-C41</f>
        <v>-440195</v>
      </c>
      <c r="F41" s="159">
        <f>IF(C41=0,0,E41/C41)</f>
        <v>-0.1465294072415376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0</v>
      </c>
      <c r="D47" s="157">
        <v>11263</v>
      </c>
      <c r="E47" s="157">
        <f>+D47-C47</f>
        <v>11263</v>
      </c>
      <c r="F47" s="161">
        <f>IF(C47=0,0,E47/C47)</f>
        <v>0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1146180</v>
      </c>
      <c r="D50" s="157">
        <v>1435298</v>
      </c>
      <c r="E50" s="157">
        <f>+D50-C50</f>
        <v>289118</v>
      </c>
      <c r="F50" s="161">
        <f>IF(C50=0,0,E50/C50)</f>
        <v>0.25224484810413722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110227</v>
      </c>
      <c r="D53" s="157">
        <v>82465</v>
      </c>
      <c r="E53" s="157">
        <f t="shared" ref="E53:E59" si="0">+D53-C53</f>
        <v>-27762</v>
      </c>
      <c r="F53" s="161">
        <f t="shared" ref="F53:F59" si="1">IF(C53=0,0,E53/C53)</f>
        <v>-0.25186206646284487</v>
      </c>
    </row>
    <row r="54" spans="1:6" ht="15" customHeight="1" x14ac:dyDescent="0.2">
      <c r="A54" s="147">
        <v>2</v>
      </c>
      <c r="B54" s="160" t="s">
        <v>189</v>
      </c>
      <c r="C54" s="157">
        <v>21393</v>
      </c>
      <c r="D54" s="157">
        <v>26200</v>
      </c>
      <c r="E54" s="157">
        <f t="shared" si="0"/>
        <v>4807</v>
      </c>
      <c r="F54" s="161">
        <f t="shared" si="1"/>
        <v>0.2246996681157388</v>
      </c>
    </row>
    <row r="55" spans="1:6" ht="15" customHeight="1" x14ac:dyDescent="0.2">
      <c r="A55" s="147">
        <v>3</v>
      </c>
      <c r="B55" s="160" t="s">
        <v>190</v>
      </c>
      <c r="C55" s="157">
        <v>683588</v>
      </c>
      <c r="D55" s="157">
        <v>741545</v>
      </c>
      <c r="E55" s="157">
        <f t="shared" si="0"/>
        <v>57957</v>
      </c>
      <c r="F55" s="161">
        <f t="shared" si="1"/>
        <v>8.4783524579132463E-2</v>
      </c>
    </row>
    <row r="56" spans="1:6" ht="15" customHeight="1" x14ac:dyDescent="0.2">
      <c r="A56" s="147">
        <v>4</v>
      </c>
      <c r="B56" s="160" t="s">
        <v>191</v>
      </c>
      <c r="C56" s="157">
        <v>696690</v>
      </c>
      <c r="D56" s="157">
        <v>692322</v>
      </c>
      <c r="E56" s="157">
        <f t="shared" si="0"/>
        <v>-4368</v>
      </c>
      <c r="F56" s="161">
        <f t="shared" si="1"/>
        <v>-6.2696464711708222E-3</v>
      </c>
    </row>
    <row r="57" spans="1:6" ht="15" customHeight="1" x14ac:dyDescent="0.2">
      <c r="A57" s="147">
        <v>5</v>
      </c>
      <c r="B57" s="160" t="s">
        <v>192</v>
      </c>
      <c r="C57" s="157">
        <v>72905</v>
      </c>
      <c r="D57" s="157">
        <v>110540</v>
      </c>
      <c r="E57" s="157">
        <f t="shared" si="0"/>
        <v>37635</v>
      </c>
      <c r="F57" s="161">
        <f t="shared" si="1"/>
        <v>0.51621973801522525</v>
      </c>
    </row>
    <row r="58" spans="1:6" ht="15" customHeight="1" x14ac:dyDescent="0.2">
      <c r="A58" s="147">
        <v>6</v>
      </c>
      <c r="B58" s="160" t="s">
        <v>193</v>
      </c>
      <c r="C58" s="157">
        <v>51568</v>
      </c>
      <c r="D58" s="157">
        <v>124996</v>
      </c>
      <c r="E58" s="157">
        <f t="shared" si="0"/>
        <v>73428</v>
      </c>
      <c r="F58" s="161">
        <f t="shared" si="1"/>
        <v>1.4239062984796773</v>
      </c>
    </row>
    <row r="59" spans="1:6" ht="15.75" customHeight="1" x14ac:dyDescent="0.25">
      <c r="A59" s="147"/>
      <c r="B59" s="162" t="s">
        <v>194</v>
      </c>
      <c r="C59" s="158">
        <f>SUM(C53:C58)</f>
        <v>1636371</v>
      </c>
      <c r="D59" s="158">
        <f>SUM(D53:D58)</f>
        <v>1778068</v>
      </c>
      <c r="E59" s="158">
        <f t="shared" si="0"/>
        <v>141697</v>
      </c>
      <c r="F59" s="159">
        <f t="shared" si="1"/>
        <v>8.6592221446114601E-2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94619</v>
      </c>
      <c r="D62" s="157">
        <v>37900</v>
      </c>
      <c r="E62" s="157">
        <f t="shared" ref="E62:E90" si="2">+D62-C62</f>
        <v>-56719</v>
      </c>
      <c r="F62" s="161">
        <f t="shared" ref="F62:F90" si="3">IF(C62=0,0,E62/C62)</f>
        <v>-0.59944620002325111</v>
      </c>
    </row>
    <row r="63" spans="1:6" ht="15" customHeight="1" x14ac:dyDescent="0.2">
      <c r="A63" s="147">
        <v>2</v>
      </c>
      <c r="B63" s="160" t="s">
        <v>198</v>
      </c>
      <c r="C63" s="157">
        <v>41121</v>
      </c>
      <c r="D63" s="157">
        <v>75332</v>
      </c>
      <c r="E63" s="157">
        <f t="shared" si="2"/>
        <v>34211</v>
      </c>
      <c r="F63" s="161">
        <f t="shared" si="3"/>
        <v>0.83195933951022594</v>
      </c>
    </row>
    <row r="64" spans="1:6" ht="15" customHeight="1" x14ac:dyDescent="0.2">
      <c r="A64" s="147">
        <v>3</v>
      </c>
      <c r="B64" s="160" t="s">
        <v>199</v>
      </c>
      <c r="C64" s="157">
        <v>359516</v>
      </c>
      <c r="D64" s="157">
        <v>279790</v>
      </c>
      <c r="E64" s="157">
        <f t="shared" si="2"/>
        <v>-79726</v>
      </c>
      <c r="F64" s="161">
        <f t="shared" si="3"/>
        <v>-0.22175925410830116</v>
      </c>
    </row>
    <row r="65" spans="1:6" ht="15" customHeight="1" x14ac:dyDescent="0.2">
      <c r="A65" s="147">
        <v>4</v>
      </c>
      <c r="B65" s="160" t="s">
        <v>200</v>
      </c>
      <c r="C65" s="157">
        <v>0</v>
      </c>
      <c r="D65" s="157">
        <v>0</v>
      </c>
      <c r="E65" s="157">
        <f t="shared" si="2"/>
        <v>0</v>
      </c>
      <c r="F65" s="161">
        <f t="shared" si="3"/>
        <v>0</v>
      </c>
    </row>
    <row r="66" spans="1:6" ht="15" customHeight="1" x14ac:dyDescent="0.2">
      <c r="A66" s="147">
        <v>5</v>
      </c>
      <c r="B66" s="160" t="s">
        <v>201</v>
      </c>
      <c r="C66" s="157">
        <v>169458</v>
      </c>
      <c r="D66" s="157">
        <v>243205</v>
      </c>
      <c r="E66" s="157">
        <f t="shared" si="2"/>
        <v>73747</v>
      </c>
      <c r="F66" s="161">
        <f t="shared" si="3"/>
        <v>0.43519338125081142</v>
      </c>
    </row>
    <row r="67" spans="1:6" ht="15" customHeight="1" x14ac:dyDescent="0.2">
      <c r="A67" s="147">
        <v>6</v>
      </c>
      <c r="B67" s="160" t="s">
        <v>202</v>
      </c>
      <c r="C67" s="157">
        <v>91850</v>
      </c>
      <c r="D67" s="157">
        <v>91983</v>
      </c>
      <c r="E67" s="157">
        <f t="shared" si="2"/>
        <v>133</v>
      </c>
      <c r="F67" s="161">
        <f t="shared" si="3"/>
        <v>1.4480130647795319E-3</v>
      </c>
    </row>
    <row r="68" spans="1:6" ht="15" customHeight="1" x14ac:dyDescent="0.2">
      <c r="A68" s="147">
        <v>7</v>
      </c>
      <c r="B68" s="160" t="s">
        <v>203</v>
      </c>
      <c r="C68" s="157">
        <v>1478859</v>
      </c>
      <c r="D68" s="157">
        <v>1563671</v>
      </c>
      <c r="E68" s="157">
        <f t="shared" si="2"/>
        <v>84812</v>
      </c>
      <c r="F68" s="161">
        <f t="shared" si="3"/>
        <v>5.734961886156828E-2</v>
      </c>
    </row>
    <row r="69" spans="1:6" ht="15" customHeight="1" x14ac:dyDescent="0.2">
      <c r="A69" s="147">
        <v>8</v>
      </c>
      <c r="B69" s="160" t="s">
        <v>204</v>
      </c>
      <c r="C69" s="157">
        <v>96993</v>
      </c>
      <c r="D69" s="157">
        <v>79959</v>
      </c>
      <c r="E69" s="157">
        <f t="shared" si="2"/>
        <v>-17034</v>
      </c>
      <c r="F69" s="161">
        <f t="shared" si="3"/>
        <v>-0.17562092109739877</v>
      </c>
    </row>
    <row r="70" spans="1:6" ht="15" customHeight="1" x14ac:dyDescent="0.2">
      <c r="A70" s="147">
        <v>9</v>
      </c>
      <c r="B70" s="160" t="s">
        <v>205</v>
      </c>
      <c r="C70" s="157">
        <v>95370</v>
      </c>
      <c r="D70" s="157">
        <v>41086</v>
      </c>
      <c r="E70" s="157">
        <f t="shared" si="2"/>
        <v>-54284</v>
      </c>
      <c r="F70" s="161">
        <f t="shared" si="3"/>
        <v>-0.56919366677152139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298358</v>
      </c>
      <c r="D72" s="157">
        <v>299242</v>
      </c>
      <c r="E72" s="157">
        <f t="shared" si="2"/>
        <v>884</v>
      </c>
      <c r="F72" s="161">
        <f t="shared" si="3"/>
        <v>2.9628835157763491E-3</v>
      </c>
    </row>
    <row r="73" spans="1:6" ht="15" customHeight="1" x14ac:dyDescent="0.2">
      <c r="A73" s="147">
        <v>12</v>
      </c>
      <c r="B73" s="160" t="s">
        <v>208</v>
      </c>
      <c r="C73" s="157">
        <v>251146</v>
      </c>
      <c r="D73" s="157">
        <v>264350</v>
      </c>
      <c r="E73" s="157">
        <f t="shared" si="2"/>
        <v>13204</v>
      </c>
      <c r="F73" s="161">
        <f t="shared" si="3"/>
        <v>5.2574996217339715E-2</v>
      </c>
    </row>
    <row r="74" spans="1:6" ht="15" customHeight="1" x14ac:dyDescent="0.2">
      <c r="A74" s="147">
        <v>13</v>
      </c>
      <c r="B74" s="160" t="s">
        <v>209</v>
      </c>
      <c r="C74" s="157">
        <v>71480</v>
      </c>
      <c r="D74" s="157">
        <v>59229</v>
      </c>
      <c r="E74" s="157">
        <f t="shared" si="2"/>
        <v>-12251</v>
      </c>
      <c r="F74" s="161">
        <f t="shared" si="3"/>
        <v>-0.1713905987688864</v>
      </c>
    </row>
    <row r="75" spans="1:6" ht="15" customHeight="1" x14ac:dyDescent="0.2">
      <c r="A75" s="147">
        <v>14</v>
      </c>
      <c r="B75" s="160" t="s">
        <v>210</v>
      </c>
      <c r="C75" s="157">
        <v>62690</v>
      </c>
      <c r="D75" s="157">
        <v>63808</v>
      </c>
      <c r="E75" s="157">
        <f t="shared" si="2"/>
        <v>1118</v>
      </c>
      <c r="F75" s="161">
        <f t="shared" si="3"/>
        <v>1.7833785292710159E-2</v>
      </c>
    </row>
    <row r="76" spans="1:6" ht="15" customHeight="1" x14ac:dyDescent="0.2">
      <c r="A76" s="147">
        <v>15</v>
      </c>
      <c r="B76" s="160" t="s">
        <v>211</v>
      </c>
      <c r="C76" s="157">
        <v>605949</v>
      </c>
      <c r="D76" s="157">
        <v>593314</v>
      </c>
      <c r="E76" s="157">
        <f t="shared" si="2"/>
        <v>-12635</v>
      </c>
      <c r="F76" s="161">
        <f t="shared" si="3"/>
        <v>-2.0851589820265401E-2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318774</v>
      </c>
      <c r="D78" s="157">
        <v>210935</v>
      </c>
      <c r="E78" s="157">
        <f t="shared" si="2"/>
        <v>-107839</v>
      </c>
      <c r="F78" s="161">
        <f t="shared" si="3"/>
        <v>-0.33829295990262692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296991</v>
      </c>
      <c r="D80" s="157">
        <v>309414</v>
      </c>
      <c r="E80" s="157">
        <f t="shared" si="2"/>
        <v>12423</v>
      </c>
      <c r="F80" s="161">
        <f t="shared" si="3"/>
        <v>4.1829550390415873E-2</v>
      </c>
    </row>
    <row r="81" spans="1:6" ht="15" customHeight="1" x14ac:dyDescent="0.2">
      <c r="A81" s="147">
        <v>20</v>
      </c>
      <c r="B81" s="160" t="s">
        <v>216</v>
      </c>
      <c r="C81" s="157">
        <v>29123</v>
      </c>
      <c r="D81" s="157">
        <v>25699</v>
      </c>
      <c r="E81" s="157">
        <f t="shared" si="2"/>
        <v>-3424</v>
      </c>
      <c r="F81" s="161">
        <f t="shared" si="3"/>
        <v>-0.11757030525701335</v>
      </c>
    </row>
    <row r="82" spans="1:6" ht="15" customHeight="1" x14ac:dyDescent="0.2">
      <c r="A82" s="147">
        <v>21</v>
      </c>
      <c r="B82" s="160" t="s">
        <v>217</v>
      </c>
      <c r="C82" s="157">
        <v>132579</v>
      </c>
      <c r="D82" s="157">
        <v>360648</v>
      </c>
      <c r="E82" s="157">
        <f t="shared" si="2"/>
        <v>228069</v>
      </c>
      <c r="F82" s="161">
        <f t="shared" si="3"/>
        <v>1.7202498133188513</v>
      </c>
    </row>
    <row r="83" spans="1:6" ht="15" customHeight="1" x14ac:dyDescent="0.2">
      <c r="A83" s="147">
        <v>22</v>
      </c>
      <c r="B83" s="160" t="s">
        <v>218</v>
      </c>
      <c r="C83" s="157">
        <v>162597</v>
      </c>
      <c r="D83" s="157">
        <v>50329</v>
      </c>
      <c r="E83" s="157">
        <f t="shared" si="2"/>
        <v>-112268</v>
      </c>
      <c r="F83" s="161">
        <f t="shared" si="3"/>
        <v>-0.69046784381015636</v>
      </c>
    </row>
    <row r="84" spans="1:6" ht="15" customHeight="1" x14ac:dyDescent="0.2">
      <c r="A84" s="147">
        <v>23</v>
      </c>
      <c r="B84" s="160" t="s">
        <v>219</v>
      </c>
      <c r="C84" s="157">
        <v>224473</v>
      </c>
      <c r="D84" s="157">
        <v>214374</v>
      </c>
      <c r="E84" s="157">
        <f t="shared" si="2"/>
        <v>-10099</v>
      </c>
      <c r="F84" s="161">
        <f t="shared" si="3"/>
        <v>-4.4989820602032313E-2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41156</v>
      </c>
      <c r="D86" s="157">
        <v>53224</v>
      </c>
      <c r="E86" s="157">
        <f t="shared" si="2"/>
        <v>12068</v>
      </c>
      <c r="F86" s="161">
        <f t="shared" si="3"/>
        <v>0.29322577509962094</v>
      </c>
    </row>
    <row r="87" spans="1:6" ht="15" customHeight="1" x14ac:dyDescent="0.2">
      <c r="A87" s="147">
        <v>26</v>
      </c>
      <c r="B87" s="160" t="s">
        <v>222</v>
      </c>
      <c r="C87" s="157">
        <v>3148339</v>
      </c>
      <c r="D87" s="157">
        <v>3916437</v>
      </c>
      <c r="E87" s="157">
        <f t="shared" si="2"/>
        <v>768098</v>
      </c>
      <c r="F87" s="161">
        <f t="shared" si="3"/>
        <v>0.24396928030939488</v>
      </c>
    </row>
    <row r="88" spans="1:6" ht="15" customHeight="1" x14ac:dyDescent="0.2">
      <c r="A88" s="147">
        <v>27</v>
      </c>
      <c r="B88" s="160" t="s">
        <v>223</v>
      </c>
      <c r="C88" s="157">
        <v>1618242</v>
      </c>
      <c r="D88" s="157">
        <v>1572228</v>
      </c>
      <c r="E88" s="157">
        <f t="shared" si="2"/>
        <v>-46014</v>
      </c>
      <c r="F88" s="161">
        <f t="shared" si="3"/>
        <v>-2.8434560467470255E-2</v>
      </c>
    </row>
    <row r="89" spans="1:6" ht="15" customHeight="1" x14ac:dyDescent="0.2">
      <c r="A89" s="147">
        <v>28</v>
      </c>
      <c r="B89" s="160" t="s">
        <v>224</v>
      </c>
      <c r="C89" s="157">
        <v>4861686</v>
      </c>
      <c r="D89" s="157">
        <v>3191515</v>
      </c>
      <c r="E89" s="157">
        <f t="shared" si="2"/>
        <v>-1670171</v>
      </c>
      <c r="F89" s="161">
        <f t="shared" si="3"/>
        <v>-0.34353740657047782</v>
      </c>
    </row>
    <row r="90" spans="1:6" ht="15.75" customHeight="1" x14ac:dyDescent="0.25">
      <c r="A90" s="147"/>
      <c r="B90" s="162" t="s">
        <v>225</v>
      </c>
      <c r="C90" s="158">
        <f>SUM(C62:C89)</f>
        <v>14551369</v>
      </c>
      <c r="D90" s="158">
        <f>SUM(D62:D89)</f>
        <v>13597672</v>
      </c>
      <c r="E90" s="158">
        <f t="shared" si="2"/>
        <v>-953697</v>
      </c>
      <c r="F90" s="159">
        <f t="shared" si="3"/>
        <v>-6.5540018949419812E-2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-1315411</v>
      </c>
      <c r="D93" s="157">
        <v>-583581</v>
      </c>
      <c r="E93" s="157">
        <f>+D93-C93</f>
        <v>731830</v>
      </c>
      <c r="F93" s="161">
        <f>IF(C93=0,0,E93/C93)</f>
        <v>-0.55635082875238229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49401485</v>
      </c>
      <c r="D95" s="158">
        <f>+D93+D90+D59+D50+D47+D44+D41+D35+D30+D24+D18</f>
        <v>48236048</v>
      </c>
      <c r="E95" s="158">
        <f>+D95-C95</f>
        <v>-1165437</v>
      </c>
      <c r="F95" s="159">
        <f>IF(C95=0,0,E95/C95)</f>
        <v>-2.3591132938615103E-2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9830248</v>
      </c>
      <c r="D103" s="157">
        <v>10267245</v>
      </c>
      <c r="E103" s="157">
        <f t="shared" ref="E103:E121" si="4">D103-C103</f>
        <v>436997</v>
      </c>
      <c r="F103" s="161">
        <f t="shared" ref="F103:F121" si="5">IF(C103=0,0,E103/C103)</f>
        <v>4.4454320989663738E-2</v>
      </c>
    </row>
    <row r="104" spans="1:6" ht="15" customHeight="1" x14ac:dyDescent="0.2">
      <c r="A104" s="147">
        <v>2</v>
      </c>
      <c r="B104" s="169" t="s">
        <v>234</v>
      </c>
      <c r="C104" s="157">
        <v>0</v>
      </c>
      <c r="D104" s="157">
        <v>0</v>
      </c>
      <c r="E104" s="157">
        <f t="shared" si="4"/>
        <v>0</v>
      </c>
      <c r="F104" s="161">
        <f t="shared" si="5"/>
        <v>0</v>
      </c>
    </row>
    <row r="105" spans="1:6" ht="15" customHeight="1" x14ac:dyDescent="0.2">
      <c r="A105" s="147">
        <v>3</v>
      </c>
      <c r="B105" s="169" t="s">
        <v>235</v>
      </c>
      <c r="C105" s="157">
        <v>0</v>
      </c>
      <c r="D105" s="157">
        <v>0</v>
      </c>
      <c r="E105" s="157">
        <f t="shared" si="4"/>
        <v>0</v>
      </c>
      <c r="F105" s="161">
        <f t="shared" si="5"/>
        <v>0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859923</v>
      </c>
      <c r="D110" s="157">
        <v>812509</v>
      </c>
      <c r="E110" s="157">
        <f t="shared" si="4"/>
        <v>-47414</v>
      </c>
      <c r="F110" s="161">
        <f t="shared" si="5"/>
        <v>-5.5137494868726621E-2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946955</v>
      </c>
      <c r="D112" s="157">
        <v>957010</v>
      </c>
      <c r="E112" s="157">
        <f t="shared" si="4"/>
        <v>10055</v>
      </c>
      <c r="F112" s="161">
        <f t="shared" si="5"/>
        <v>1.061824479515922E-2</v>
      </c>
    </row>
    <row r="113" spans="1:6" ht="15" customHeight="1" x14ac:dyDescent="0.2">
      <c r="A113" s="147">
        <v>11</v>
      </c>
      <c r="B113" s="169" t="s">
        <v>243</v>
      </c>
      <c r="C113" s="157">
        <v>474825</v>
      </c>
      <c r="D113" s="157">
        <v>546335</v>
      </c>
      <c r="E113" s="157">
        <f t="shared" si="4"/>
        <v>71510</v>
      </c>
      <c r="F113" s="161">
        <f t="shared" si="5"/>
        <v>0.15060285368293583</v>
      </c>
    </row>
    <row r="114" spans="1:6" ht="15" customHeight="1" x14ac:dyDescent="0.2">
      <c r="A114" s="147">
        <v>12</v>
      </c>
      <c r="B114" s="169" t="s">
        <v>244</v>
      </c>
      <c r="C114" s="157">
        <v>225434</v>
      </c>
      <c r="D114" s="157">
        <v>215932</v>
      </c>
      <c r="E114" s="157">
        <f t="shared" si="4"/>
        <v>-9502</v>
      </c>
      <c r="F114" s="161">
        <f t="shared" si="5"/>
        <v>-4.2149808813222493E-2</v>
      </c>
    </row>
    <row r="115" spans="1:6" ht="15" customHeight="1" x14ac:dyDescent="0.2">
      <c r="A115" s="147">
        <v>13</v>
      </c>
      <c r="B115" s="169" t="s">
        <v>245</v>
      </c>
      <c r="C115" s="157">
        <v>2585969</v>
      </c>
      <c r="D115" s="157">
        <v>2689131</v>
      </c>
      <c r="E115" s="157">
        <f t="shared" si="4"/>
        <v>103162</v>
      </c>
      <c r="F115" s="161">
        <f t="shared" si="5"/>
        <v>3.9892976288578866E-2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2965078</v>
      </c>
      <c r="D119" s="157">
        <v>2384486</v>
      </c>
      <c r="E119" s="157">
        <f t="shared" si="4"/>
        <v>-580592</v>
      </c>
      <c r="F119" s="161">
        <f t="shared" si="5"/>
        <v>-0.19581002590825605</v>
      </c>
    </row>
    <row r="120" spans="1:6" ht="15" customHeight="1" x14ac:dyDescent="0.2">
      <c r="A120" s="147">
        <v>18</v>
      </c>
      <c r="B120" s="169" t="s">
        <v>249</v>
      </c>
      <c r="C120" s="157">
        <v>9960518</v>
      </c>
      <c r="D120" s="157">
        <v>9304014</v>
      </c>
      <c r="E120" s="157">
        <f t="shared" si="4"/>
        <v>-656504</v>
      </c>
      <c r="F120" s="161">
        <f t="shared" si="5"/>
        <v>-6.591062834282313E-2</v>
      </c>
    </row>
    <row r="121" spans="1:6" ht="15.75" customHeight="1" x14ac:dyDescent="0.25">
      <c r="A121" s="147"/>
      <c r="B121" s="165" t="s">
        <v>250</v>
      </c>
      <c r="C121" s="158">
        <f>SUM(C103:C120)</f>
        <v>27848950</v>
      </c>
      <c r="D121" s="158">
        <f>SUM(D103:D120)</f>
        <v>27176662</v>
      </c>
      <c r="E121" s="158">
        <f t="shared" si="4"/>
        <v>-672288</v>
      </c>
      <c r="F121" s="159">
        <f t="shared" si="5"/>
        <v>-2.4140515172026235E-2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780928</v>
      </c>
      <c r="D124" s="157">
        <v>527421</v>
      </c>
      <c r="E124" s="157">
        <f t="shared" ref="E124:E130" si="6">D124-C124</f>
        <v>-253507</v>
      </c>
      <c r="F124" s="161">
        <f t="shared" ref="F124:F130" si="7">IF(C124=0,0,E124/C124)</f>
        <v>-0.32462275651532535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945300</v>
      </c>
      <c r="D126" s="157">
        <v>742774</v>
      </c>
      <c r="E126" s="157">
        <f t="shared" si="6"/>
        <v>-202526</v>
      </c>
      <c r="F126" s="161">
        <f t="shared" si="7"/>
        <v>-0.21424521315984343</v>
      </c>
    </row>
    <row r="127" spans="1:6" ht="15" customHeight="1" x14ac:dyDescent="0.2">
      <c r="A127" s="147">
        <v>4</v>
      </c>
      <c r="B127" s="169" t="s">
        <v>255</v>
      </c>
      <c r="C127" s="157">
        <v>0</v>
      </c>
      <c r="D127" s="157">
        <v>0</v>
      </c>
      <c r="E127" s="157">
        <f t="shared" si="6"/>
        <v>0</v>
      </c>
      <c r="F127" s="161">
        <f t="shared" si="7"/>
        <v>0</v>
      </c>
    </row>
    <row r="128" spans="1:6" ht="15" customHeight="1" x14ac:dyDescent="0.2">
      <c r="A128" s="147">
        <v>5</v>
      </c>
      <c r="B128" s="169" t="s">
        <v>256</v>
      </c>
      <c r="C128" s="157">
        <v>583388</v>
      </c>
      <c r="D128" s="157">
        <v>504404</v>
      </c>
      <c r="E128" s="157">
        <f t="shared" si="6"/>
        <v>-78984</v>
      </c>
      <c r="F128" s="161">
        <f t="shared" si="7"/>
        <v>-0.13538845502478625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2309616</v>
      </c>
      <c r="D130" s="158">
        <f>SUM(D124:D129)</f>
        <v>1774599</v>
      </c>
      <c r="E130" s="158">
        <f t="shared" si="6"/>
        <v>-535017</v>
      </c>
      <c r="F130" s="159">
        <f t="shared" si="7"/>
        <v>-0.23164759856183886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1866286</v>
      </c>
      <c r="D133" s="157">
        <v>1756675</v>
      </c>
      <c r="E133" s="157">
        <f t="shared" ref="E133:E167" si="8">D133-C133</f>
        <v>-109611</v>
      </c>
      <c r="F133" s="161">
        <f t="shared" ref="F133:F167" si="9">IF(C133=0,0,E133/C133)</f>
        <v>-5.873215573604474E-2</v>
      </c>
    </row>
    <row r="134" spans="1:6" ht="15" customHeight="1" x14ac:dyDescent="0.2">
      <c r="A134" s="147">
        <v>2</v>
      </c>
      <c r="B134" s="169" t="s">
        <v>261</v>
      </c>
      <c r="C134" s="157">
        <v>165562</v>
      </c>
      <c r="D134" s="157">
        <v>215389</v>
      </c>
      <c r="E134" s="157">
        <f t="shared" si="8"/>
        <v>49827</v>
      </c>
      <c r="F134" s="161">
        <f t="shared" si="9"/>
        <v>0.30095674128121186</v>
      </c>
    </row>
    <row r="135" spans="1:6" ht="15" customHeight="1" x14ac:dyDescent="0.2">
      <c r="A135" s="147">
        <v>3</v>
      </c>
      <c r="B135" s="169" t="s">
        <v>262</v>
      </c>
      <c r="C135" s="157">
        <v>28483</v>
      </c>
      <c r="D135" s="157">
        <v>18343</v>
      </c>
      <c r="E135" s="157">
        <f t="shared" si="8"/>
        <v>-10140</v>
      </c>
      <c r="F135" s="161">
        <f t="shared" si="9"/>
        <v>-0.35600182565038796</v>
      </c>
    </row>
    <row r="136" spans="1:6" ht="15" customHeight="1" x14ac:dyDescent="0.2">
      <c r="A136" s="147">
        <v>4</v>
      </c>
      <c r="B136" s="169" t="s">
        <v>263</v>
      </c>
      <c r="C136" s="157">
        <v>479463</v>
      </c>
      <c r="D136" s="157">
        <v>518049</v>
      </c>
      <c r="E136" s="157">
        <f t="shared" si="8"/>
        <v>38586</v>
      </c>
      <c r="F136" s="161">
        <f t="shared" si="9"/>
        <v>8.0477534241432599E-2</v>
      </c>
    </row>
    <row r="137" spans="1:6" ht="15" customHeight="1" x14ac:dyDescent="0.2">
      <c r="A137" s="147">
        <v>5</v>
      </c>
      <c r="B137" s="169" t="s">
        <v>264</v>
      </c>
      <c r="C137" s="157">
        <v>1623588</v>
      </c>
      <c r="D137" s="157">
        <v>1513724</v>
      </c>
      <c r="E137" s="157">
        <f t="shared" si="8"/>
        <v>-109864</v>
      </c>
      <c r="F137" s="161">
        <f t="shared" si="9"/>
        <v>-6.7667413161467072E-2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291512</v>
      </c>
      <c r="D140" s="157">
        <v>228600</v>
      </c>
      <c r="E140" s="157">
        <f t="shared" si="8"/>
        <v>-62912</v>
      </c>
      <c r="F140" s="161">
        <f t="shared" si="9"/>
        <v>-0.2158127281209693</v>
      </c>
    </row>
    <row r="141" spans="1:6" ht="15" customHeight="1" x14ac:dyDescent="0.2">
      <c r="A141" s="147">
        <v>9</v>
      </c>
      <c r="B141" s="169" t="s">
        <v>268</v>
      </c>
      <c r="C141" s="157">
        <v>160547</v>
      </c>
      <c r="D141" s="157">
        <v>363476</v>
      </c>
      <c r="E141" s="157">
        <f t="shared" si="8"/>
        <v>202929</v>
      </c>
      <c r="F141" s="161">
        <f t="shared" si="9"/>
        <v>1.2639850012768847</v>
      </c>
    </row>
    <row r="142" spans="1:6" ht="15" customHeight="1" x14ac:dyDescent="0.2">
      <c r="A142" s="147">
        <v>10</v>
      </c>
      <c r="B142" s="169" t="s">
        <v>269</v>
      </c>
      <c r="C142" s="157">
        <v>2426927</v>
      </c>
      <c r="D142" s="157">
        <v>2597597</v>
      </c>
      <c r="E142" s="157">
        <f t="shared" si="8"/>
        <v>170670</v>
      </c>
      <c r="F142" s="161">
        <f t="shared" si="9"/>
        <v>7.0323499635547335E-2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266976</v>
      </c>
      <c r="D145" s="157">
        <v>262505</v>
      </c>
      <c r="E145" s="157">
        <f t="shared" si="8"/>
        <v>-4471</v>
      </c>
      <c r="F145" s="161">
        <f t="shared" si="9"/>
        <v>-1.6746823684525951E-2</v>
      </c>
    </row>
    <row r="146" spans="1:6" ht="15" customHeight="1" x14ac:dyDescent="0.2">
      <c r="A146" s="147">
        <v>14</v>
      </c>
      <c r="B146" s="169" t="s">
        <v>273</v>
      </c>
      <c r="C146" s="157">
        <v>205028</v>
      </c>
      <c r="D146" s="157">
        <v>114194</v>
      </c>
      <c r="E146" s="157">
        <f t="shared" si="8"/>
        <v>-90834</v>
      </c>
      <c r="F146" s="161">
        <f t="shared" si="9"/>
        <v>-0.44303217121563881</v>
      </c>
    </row>
    <row r="147" spans="1:6" ht="15" customHeight="1" x14ac:dyDescent="0.2">
      <c r="A147" s="147">
        <v>15</v>
      </c>
      <c r="B147" s="169" t="s">
        <v>274</v>
      </c>
      <c r="C147" s="157">
        <v>95225</v>
      </c>
      <c r="D147" s="157">
        <v>96545</v>
      </c>
      <c r="E147" s="157">
        <f t="shared" si="8"/>
        <v>1320</v>
      </c>
      <c r="F147" s="161">
        <f t="shared" si="9"/>
        <v>1.3861906012076661E-2</v>
      </c>
    </row>
    <row r="148" spans="1:6" ht="15" customHeight="1" x14ac:dyDescent="0.2">
      <c r="A148" s="147">
        <v>16</v>
      </c>
      <c r="B148" s="169" t="s">
        <v>275</v>
      </c>
      <c r="C148" s="157">
        <v>99886</v>
      </c>
      <c r="D148" s="157">
        <v>68990</v>
      </c>
      <c r="E148" s="157">
        <f t="shared" si="8"/>
        <v>-30896</v>
      </c>
      <c r="F148" s="161">
        <f t="shared" si="9"/>
        <v>-0.30931261638267626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422018</v>
      </c>
      <c r="D150" s="157">
        <v>411337</v>
      </c>
      <c r="E150" s="157">
        <f t="shared" si="8"/>
        <v>-10681</v>
      </c>
      <c r="F150" s="161">
        <f t="shared" si="9"/>
        <v>-2.5309346994677951E-2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1697929</v>
      </c>
      <c r="D156" s="157">
        <v>1713590</v>
      </c>
      <c r="E156" s="157">
        <f t="shared" si="8"/>
        <v>15661</v>
      </c>
      <c r="F156" s="161">
        <f t="shared" si="9"/>
        <v>9.2235894433748411E-3</v>
      </c>
    </row>
    <row r="157" spans="1:6" ht="15" customHeight="1" x14ac:dyDescent="0.2">
      <c r="A157" s="147">
        <v>25</v>
      </c>
      <c r="B157" s="169" t="s">
        <v>284</v>
      </c>
      <c r="C157" s="157">
        <v>267549</v>
      </c>
      <c r="D157" s="157">
        <v>273015</v>
      </c>
      <c r="E157" s="157">
        <f t="shared" si="8"/>
        <v>5466</v>
      </c>
      <c r="F157" s="161">
        <f t="shared" si="9"/>
        <v>2.0429902559904914E-2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41708</v>
      </c>
      <c r="D163" s="157">
        <v>57522</v>
      </c>
      <c r="E163" s="157">
        <f t="shared" si="8"/>
        <v>15814</v>
      </c>
      <c r="F163" s="161">
        <f t="shared" si="9"/>
        <v>0.37915987340558166</v>
      </c>
    </row>
    <row r="164" spans="1:6" ht="15" customHeight="1" x14ac:dyDescent="0.2">
      <c r="A164" s="147">
        <v>32</v>
      </c>
      <c r="B164" s="169" t="s">
        <v>291</v>
      </c>
      <c r="C164" s="157">
        <v>630601</v>
      </c>
      <c r="D164" s="157">
        <v>609862</v>
      </c>
      <c r="E164" s="157">
        <f t="shared" si="8"/>
        <v>-20739</v>
      </c>
      <c r="F164" s="161">
        <f t="shared" si="9"/>
        <v>-3.2887673822274303E-2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2658318</v>
      </c>
      <c r="D166" s="157">
        <v>2563998</v>
      </c>
      <c r="E166" s="157">
        <f t="shared" si="8"/>
        <v>-94320</v>
      </c>
      <c r="F166" s="161">
        <f t="shared" si="9"/>
        <v>-3.548108239871979E-2</v>
      </c>
    </row>
    <row r="167" spans="1:6" ht="15.75" customHeight="1" x14ac:dyDescent="0.25">
      <c r="A167" s="147"/>
      <c r="B167" s="165" t="s">
        <v>294</v>
      </c>
      <c r="C167" s="158">
        <f>SUM(C133:C166)</f>
        <v>13427606</v>
      </c>
      <c r="D167" s="158">
        <f>SUM(D133:D166)</f>
        <v>13383411</v>
      </c>
      <c r="E167" s="158">
        <f t="shared" si="8"/>
        <v>-44195</v>
      </c>
      <c r="F167" s="159">
        <f t="shared" si="9"/>
        <v>-3.2913536485952894E-3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2450044</v>
      </c>
      <c r="D170" s="157">
        <v>2396291</v>
      </c>
      <c r="E170" s="157">
        <f t="shared" ref="E170:E183" si="10">D170-C170</f>
        <v>-53753</v>
      </c>
      <c r="F170" s="161">
        <f t="shared" ref="F170:F183" si="11">IF(C170=0,0,E170/C170)</f>
        <v>-2.1939605982586437E-2</v>
      </c>
    </row>
    <row r="171" spans="1:6" ht="15" customHeight="1" x14ac:dyDescent="0.2">
      <c r="A171" s="147">
        <v>2</v>
      </c>
      <c r="B171" s="169" t="s">
        <v>297</v>
      </c>
      <c r="C171" s="157">
        <v>1001532</v>
      </c>
      <c r="D171" s="157">
        <v>1015570</v>
      </c>
      <c r="E171" s="157">
        <f t="shared" si="10"/>
        <v>14038</v>
      </c>
      <c r="F171" s="161">
        <f t="shared" si="11"/>
        <v>1.4016526681124518E-2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1982927</v>
      </c>
      <c r="D173" s="157">
        <v>2147695</v>
      </c>
      <c r="E173" s="157">
        <f t="shared" si="10"/>
        <v>164768</v>
      </c>
      <c r="F173" s="161">
        <f t="shared" si="11"/>
        <v>8.309332617892641E-2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380810</v>
      </c>
      <c r="D176" s="157">
        <v>341820</v>
      </c>
      <c r="E176" s="157">
        <f t="shared" si="10"/>
        <v>-38990</v>
      </c>
      <c r="F176" s="161">
        <f t="shared" si="11"/>
        <v>-0.10238701714765894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5815313</v>
      </c>
      <c r="D183" s="158">
        <f>SUM(D170:D182)</f>
        <v>5901376</v>
      </c>
      <c r="E183" s="158">
        <f t="shared" si="10"/>
        <v>86063</v>
      </c>
      <c r="F183" s="159">
        <f t="shared" si="11"/>
        <v>1.4799375373260218E-2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49401485</v>
      </c>
      <c r="D188" s="158">
        <f>+D186+D183+D167+D130+D121</f>
        <v>48236048</v>
      </c>
      <c r="E188" s="158">
        <f>D188-C188</f>
        <v>-1165437</v>
      </c>
      <c r="F188" s="159">
        <f>IF(C188=0,0,E188/C188)</f>
        <v>-2.3591132938615103E-2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54558825</v>
      </c>
      <c r="D11" s="183">
        <v>53746903</v>
      </c>
      <c r="E11" s="76">
        <v>50085913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453530</v>
      </c>
      <c r="D12" s="185">
        <v>429185</v>
      </c>
      <c r="E12" s="185">
        <v>1092483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55012355</v>
      </c>
      <c r="D13" s="76">
        <f>+D11+D12</f>
        <v>54176088</v>
      </c>
      <c r="E13" s="76">
        <f>+E11+E12</f>
        <v>51178396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51745114</v>
      </c>
      <c r="D14" s="185">
        <v>49401485</v>
      </c>
      <c r="E14" s="185">
        <v>48236048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3267241</v>
      </c>
      <c r="D15" s="76">
        <f>+D13-D14</f>
        <v>4774603</v>
      </c>
      <c r="E15" s="76">
        <f>+E13-E14</f>
        <v>2942348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0</v>
      </c>
      <c r="D16" s="185">
        <v>0</v>
      </c>
      <c r="E16" s="185">
        <v>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3267241</v>
      </c>
      <c r="D17" s="76">
        <f>D15+D16</f>
        <v>4774603</v>
      </c>
      <c r="E17" s="76">
        <f>E15+E16</f>
        <v>2942348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5.9391040430826859E-2</v>
      </c>
      <c r="D20" s="189">
        <f>IF(+D27=0,0,+D24/+D27)</f>
        <v>8.8131188062157612E-2</v>
      </c>
      <c r="E20" s="189">
        <f>IF(+E27=0,0,+E24/+E27)</f>
        <v>5.7491993301235937E-2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0</v>
      </c>
      <c r="D21" s="189">
        <f>IF(D27=0,0,+D26/D27)</f>
        <v>0</v>
      </c>
      <c r="E21" s="189">
        <f>IF(E27=0,0,+E26/E27)</f>
        <v>0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5.9391040430826859E-2</v>
      </c>
      <c r="D22" s="189">
        <f>IF(D27=0,0,+D28/D27)</f>
        <v>8.8131188062157612E-2</v>
      </c>
      <c r="E22" s="189">
        <f>IF(E27=0,0,+E28/E27)</f>
        <v>5.7491993301235937E-2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3267241</v>
      </c>
      <c r="D24" s="76">
        <f>+D15</f>
        <v>4774603</v>
      </c>
      <c r="E24" s="76">
        <f>+E15</f>
        <v>2942348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55012355</v>
      </c>
      <c r="D25" s="76">
        <f>+D13</f>
        <v>54176088</v>
      </c>
      <c r="E25" s="76">
        <f>+E13</f>
        <v>51178396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55012355</v>
      </c>
      <c r="D27" s="76">
        <f>+D25+D26</f>
        <v>54176088</v>
      </c>
      <c r="E27" s="76">
        <f>+E25+E26</f>
        <v>51178396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3267241</v>
      </c>
      <c r="D28" s="76">
        <f>+D17</f>
        <v>4774603</v>
      </c>
      <c r="E28" s="76">
        <f>+E17</f>
        <v>2942348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24878651</v>
      </c>
      <c r="D31" s="76">
        <v>30054582</v>
      </c>
      <c r="E31" s="76">
        <v>32809453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24878651</v>
      </c>
      <c r="D32" s="76">
        <v>30054582</v>
      </c>
      <c r="E32" s="76">
        <v>32809453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3245737</v>
      </c>
      <c r="D33" s="76">
        <f>+D32-C32</f>
        <v>5175931</v>
      </c>
      <c r="E33" s="76">
        <f>+E32-D32</f>
        <v>2754871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1.1499999999999999</v>
      </c>
      <c r="D34" s="193">
        <f>IF(C32=0,0,+D33/C32)</f>
        <v>0.20804709226396559</v>
      </c>
      <c r="E34" s="193">
        <f>IF(D32=0,0,+E33/D32)</f>
        <v>9.166226301200929E-2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0.37257444812373952</v>
      </c>
      <c r="D38" s="195">
        <f>IF((D40+D41)=0,0,+D39/(D40+D41))</f>
        <v>0.33408675973696855</v>
      </c>
      <c r="E38" s="195">
        <f>IF((E40+E41)=0,0,+E39/(E40+E41))</f>
        <v>0.32978569079114917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51745114</v>
      </c>
      <c r="D39" s="76">
        <v>49401485</v>
      </c>
      <c r="E39" s="196">
        <v>48236048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138431770</v>
      </c>
      <c r="D40" s="76">
        <v>147441042</v>
      </c>
      <c r="E40" s="196">
        <v>145172347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453530</v>
      </c>
      <c r="D41" s="76">
        <v>429185</v>
      </c>
      <c r="E41" s="196">
        <v>1092483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1.2514620663480185</v>
      </c>
      <c r="D43" s="197">
        <f>IF(D38=0,0,IF((D46-D47)=0,0,((+D44-D45)/(D46-D47)/D38)))</f>
        <v>1.3094621361111916</v>
      </c>
      <c r="E43" s="197">
        <f>IF(E38=0,0,IF((E46-E47)=0,0,((+E44-E45)/(E46-E47)/E38)))</f>
        <v>1.2915977243397487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23341797</v>
      </c>
      <c r="D44" s="76">
        <v>23155548</v>
      </c>
      <c r="E44" s="196">
        <v>21315739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680119</v>
      </c>
      <c r="D45" s="76">
        <v>651124</v>
      </c>
      <c r="E45" s="196">
        <v>279386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52514475</v>
      </c>
      <c r="D46" s="76">
        <v>55244177</v>
      </c>
      <c r="E46" s="196">
        <v>52241943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3911673</v>
      </c>
      <c r="D47" s="76">
        <v>3802432</v>
      </c>
      <c r="E47" s="76">
        <v>2855088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0.92007966185749479</v>
      </c>
      <c r="D49" s="198">
        <f>IF(D38=0,0,IF(D51=0,0,(D50/D51)/D38))</f>
        <v>1.0039727713897144</v>
      </c>
      <c r="E49" s="198">
        <f>IF(E38=0,0,IF(E51=0,0,(E50/E51)/E38))</f>
        <v>0.97521320379841536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24473538</v>
      </c>
      <c r="D50" s="199">
        <v>25498542</v>
      </c>
      <c r="E50" s="199">
        <v>23646098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71393432</v>
      </c>
      <c r="D51" s="199">
        <v>76021100</v>
      </c>
      <c r="E51" s="199">
        <v>73523827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0.66661910607293262</v>
      </c>
      <c r="D53" s="198">
        <f>IF(D38=0,0,IF(D55=0,0,(D54/D55)/D38))</f>
        <v>0.74123078903885731</v>
      </c>
      <c r="E53" s="198">
        <f>IF(E38=0,0,IF(E55=0,0,(E54/E55)/E38))</f>
        <v>0.69164503746983241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2002907</v>
      </c>
      <c r="D54" s="199">
        <v>2090929</v>
      </c>
      <c r="E54" s="199">
        <v>2447356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8064361</v>
      </c>
      <c r="D55" s="199">
        <v>8443579</v>
      </c>
      <c r="E55" s="199">
        <v>10729564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1400677.2444454813</v>
      </c>
      <c r="D57" s="88">
        <f>+D60*D38</f>
        <v>1080914.3250557801</v>
      </c>
      <c r="E57" s="88">
        <f>+E60*E38</f>
        <v>1043330.4580997085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760089</v>
      </c>
      <c r="D58" s="199">
        <v>941923</v>
      </c>
      <c r="E58" s="199">
        <v>892961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2999367</v>
      </c>
      <c r="D59" s="199">
        <v>2293507</v>
      </c>
      <c r="E59" s="199">
        <v>2270701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3759456</v>
      </c>
      <c r="D60" s="76">
        <v>3235430</v>
      </c>
      <c r="E60" s="201">
        <v>3163662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2.7068782657343866E-2</v>
      </c>
      <c r="D62" s="202">
        <f>IF(D63=0,0,+D57/D63)</f>
        <v>2.1880199047777209E-2</v>
      </c>
      <c r="E62" s="202">
        <f>IF(E63=0,0,+E57/E63)</f>
        <v>2.1629683636182395E-2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51745114</v>
      </c>
      <c r="D63" s="199">
        <v>49401485</v>
      </c>
      <c r="E63" s="199">
        <v>48236048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1.7801806406166703</v>
      </c>
      <c r="D67" s="203">
        <f>IF(D69=0,0,D68/D69)</f>
        <v>2.0662173401380346</v>
      </c>
      <c r="E67" s="203">
        <f>IF(E69=0,0,E68/E69)</f>
        <v>2.0897119097503629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9299993</v>
      </c>
      <c r="D68" s="204">
        <v>11159582</v>
      </c>
      <c r="E68" s="204">
        <v>10006947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5224185</v>
      </c>
      <c r="D69" s="204">
        <v>5400972</v>
      </c>
      <c r="E69" s="204">
        <v>4788673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0</v>
      </c>
      <c r="E71" s="203">
        <f>IF((E77/365)=0,0,+E74/(E77/365))</f>
        <v>0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0</v>
      </c>
      <c r="E72" s="183">
        <v>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0</v>
      </c>
      <c r="E74" s="204">
        <f>+E72+E73</f>
        <v>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51745114</v>
      </c>
      <c r="D75" s="204">
        <f>+D14</f>
        <v>49401485</v>
      </c>
      <c r="E75" s="204">
        <f>+E14</f>
        <v>48236048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3051773</v>
      </c>
      <c r="D76" s="204">
        <v>3004141</v>
      </c>
      <c r="E76" s="204">
        <v>2563946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48693341</v>
      </c>
      <c r="D77" s="204">
        <f>+D75-D76</f>
        <v>46397344</v>
      </c>
      <c r="E77" s="204">
        <f>+E75-E76</f>
        <v>45672102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46.342022853314745</v>
      </c>
      <c r="D79" s="203">
        <f>IF((D84/365)=0,0,+D83/(D84/365))</f>
        <v>45.688225887173445</v>
      </c>
      <c r="E79" s="203">
        <f>IF((E84/365)=0,0,+E83/(E84/365))</f>
        <v>46.709106211161611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6927031</v>
      </c>
      <c r="D80" s="212">
        <v>7018848</v>
      </c>
      <c r="E80" s="212">
        <v>6272473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137029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291175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6927031</v>
      </c>
      <c r="D83" s="212">
        <f>+D80+D81-D82</f>
        <v>6727673</v>
      </c>
      <c r="E83" s="212">
        <f>+E80+E81-E82</f>
        <v>6409502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54558825</v>
      </c>
      <c r="D84" s="204">
        <f>+D11</f>
        <v>53746903</v>
      </c>
      <c r="E84" s="204">
        <f>+E11</f>
        <v>50085913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39.159923838456677</v>
      </c>
      <c r="D86" s="203">
        <f>IF((D90/365)=0,0,+D87/(D90/365))</f>
        <v>42.488526498413357</v>
      </c>
      <c r="E86" s="203">
        <f>IF((E90/365)=0,0,+E87/(E90/365))</f>
        <v>38.269875229302997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5224185</v>
      </c>
      <c r="D87" s="76">
        <f>+D69</f>
        <v>5400972</v>
      </c>
      <c r="E87" s="76">
        <f>+E69</f>
        <v>4788673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51745114</v>
      </c>
      <c r="D88" s="76">
        <f t="shared" si="0"/>
        <v>49401485</v>
      </c>
      <c r="E88" s="76">
        <f t="shared" si="0"/>
        <v>48236048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3051773</v>
      </c>
      <c r="D89" s="201">
        <f t="shared" si="0"/>
        <v>3004141</v>
      </c>
      <c r="E89" s="201">
        <f t="shared" si="0"/>
        <v>2563946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48693341</v>
      </c>
      <c r="D90" s="76">
        <f>+D88-D89</f>
        <v>46397344</v>
      </c>
      <c r="E90" s="76">
        <f>+E88-E89</f>
        <v>45672102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52.924117102660162</v>
      </c>
      <c r="D94" s="214">
        <f>IF(D96=0,0,(D95/D96)*100)</f>
        <v>65.187964861126886</v>
      </c>
      <c r="E94" s="214">
        <f>IF(E96=0,0,(E95/E96)*100)</f>
        <v>74.871035856567332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24878651</v>
      </c>
      <c r="D95" s="76">
        <f>+D32</f>
        <v>30054582</v>
      </c>
      <c r="E95" s="76">
        <f>+E32</f>
        <v>32809453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47008155</v>
      </c>
      <c r="D96" s="76">
        <v>46104495</v>
      </c>
      <c r="E96" s="76">
        <v>43821289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31.402971741264341</v>
      </c>
      <c r="D98" s="214">
        <f>IF(D104=0,0,(D101/D104)*100)</f>
        <v>54.673585702277869</v>
      </c>
      <c r="E98" s="214">
        <f>IF(E104=0,0,(E101/E104)*100)</f>
        <v>60.822784726232548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3267241</v>
      </c>
      <c r="D99" s="76">
        <f>+D28</f>
        <v>4774603</v>
      </c>
      <c r="E99" s="76">
        <f>+E28</f>
        <v>2942348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3051773</v>
      </c>
      <c r="D100" s="201">
        <f>+D76</f>
        <v>3004141</v>
      </c>
      <c r="E100" s="201">
        <f>+E76</f>
        <v>2563946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6319014</v>
      </c>
      <c r="D101" s="76">
        <f>+D99+D100</f>
        <v>7778744</v>
      </c>
      <c r="E101" s="76">
        <f>+E99+E100</f>
        <v>5506294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5224185</v>
      </c>
      <c r="D102" s="204">
        <f>+D69</f>
        <v>5400972</v>
      </c>
      <c r="E102" s="204">
        <f>+E69</f>
        <v>4788673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14898159</v>
      </c>
      <c r="D103" s="216">
        <v>8826637</v>
      </c>
      <c r="E103" s="216">
        <v>4264339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20122344</v>
      </c>
      <c r="D104" s="204">
        <f>+D102+D103</f>
        <v>14227609</v>
      </c>
      <c r="E104" s="204">
        <f>+E102+E103</f>
        <v>9053012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37.454383596874663</v>
      </c>
      <c r="D106" s="214">
        <f>IF(D109=0,0,(D107/D109)*100)</f>
        <v>22.701543899639567</v>
      </c>
      <c r="E106" s="214">
        <f>IF(E109=0,0,(E107/E109)*100)</f>
        <v>11.502300600920456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14898159</v>
      </c>
      <c r="D107" s="204">
        <f>+D103</f>
        <v>8826637</v>
      </c>
      <c r="E107" s="204">
        <f>+E103</f>
        <v>4264339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24878651</v>
      </c>
      <c r="D108" s="204">
        <f>+D32</f>
        <v>30054582</v>
      </c>
      <c r="E108" s="204">
        <f>+E32</f>
        <v>32809453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39776810</v>
      </c>
      <c r="D109" s="204">
        <f>+D107+D108</f>
        <v>38881219</v>
      </c>
      <c r="E109" s="204">
        <f>+E107+E108</f>
        <v>37073792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0.19085183299050298</v>
      </c>
      <c r="D111" s="214">
        <f>IF((+D113+D115)=0,0,((+D112+D113+D114)/(+D113+D115)))</f>
        <v>7778744</v>
      </c>
      <c r="E111" s="214">
        <f>IF((+E113+E115)=0,0,((+E112+E113+E114)/(+E113+E115)))</f>
        <v>489.83993252840907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3267241</v>
      </c>
      <c r="D112" s="76">
        <f>+D17</f>
        <v>4774603</v>
      </c>
      <c r="E112" s="76">
        <f>+E17</f>
        <v>2942348</v>
      </c>
    </row>
    <row r="113" spans="1:8" ht="24" customHeight="1" x14ac:dyDescent="0.2">
      <c r="A113" s="85">
        <v>17</v>
      </c>
      <c r="B113" s="75" t="s">
        <v>88</v>
      </c>
      <c r="C113" s="218">
        <v>136325</v>
      </c>
      <c r="D113" s="76">
        <v>0</v>
      </c>
      <c r="E113" s="76">
        <v>11263</v>
      </c>
    </row>
    <row r="114" spans="1:8" ht="24" customHeight="1" x14ac:dyDescent="0.2">
      <c r="A114" s="85">
        <v>18</v>
      </c>
      <c r="B114" s="75" t="s">
        <v>374</v>
      </c>
      <c r="C114" s="218">
        <v>3051773</v>
      </c>
      <c r="D114" s="76">
        <v>3004141</v>
      </c>
      <c r="E114" s="76">
        <v>2563946</v>
      </c>
    </row>
    <row r="115" spans="1:8" ht="24" customHeight="1" x14ac:dyDescent="0.2">
      <c r="A115" s="85">
        <v>19</v>
      </c>
      <c r="B115" s="75" t="s">
        <v>104</v>
      </c>
      <c r="C115" s="218">
        <v>33687500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8.5329213542422711</v>
      </c>
      <c r="D119" s="214">
        <f>IF(+D121=0,0,(+D120)/(+D121))</f>
        <v>9.5037792833292443</v>
      </c>
      <c r="E119" s="214">
        <f>IF(+E121=0,0,(+E120)/(+E121))</f>
        <v>12.123338011018953</v>
      </c>
    </row>
    <row r="120" spans="1:8" ht="24" customHeight="1" x14ac:dyDescent="0.2">
      <c r="A120" s="85">
        <v>21</v>
      </c>
      <c r="B120" s="75" t="s">
        <v>378</v>
      </c>
      <c r="C120" s="218">
        <v>26040539</v>
      </c>
      <c r="D120" s="218">
        <v>28550693</v>
      </c>
      <c r="E120" s="218">
        <v>31083584</v>
      </c>
    </row>
    <row r="121" spans="1:8" ht="24" customHeight="1" x14ac:dyDescent="0.2">
      <c r="A121" s="85">
        <v>22</v>
      </c>
      <c r="B121" s="75" t="s">
        <v>374</v>
      </c>
      <c r="C121" s="218">
        <v>3051773</v>
      </c>
      <c r="D121" s="218">
        <v>3004141</v>
      </c>
      <c r="E121" s="218">
        <v>2563946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11914</v>
      </c>
      <c r="D124" s="218">
        <v>12338</v>
      </c>
      <c r="E124" s="218">
        <v>11690</v>
      </c>
    </row>
    <row r="125" spans="1:8" ht="24" customHeight="1" x14ac:dyDescent="0.2">
      <c r="A125" s="85">
        <v>2</v>
      </c>
      <c r="B125" s="75" t="s">
        <v>381</v>
      </c>
      <c r="C125" s="218">
        <v>2685</v>
      </c>
      <c r="D125" s="218">
        <v>2878</v>
      </c>
      <c r="E125" s="218">
        <v>2616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4.4372439478584731</v>
      </c>
      <c r="D126" s="219">
        <f>IF(D125=0,0,D124/D125)</f>
        <v>4.2870048644892282</v>
      </c>
      <c r="E126" s="219">
        <f>IF(E125=0,0,E124/E125)</f>
        <v>4.4686544342507641</v>
      </c>
    </row>
    <row r="127" spans="1:8" ht="24" customHeight="1" x14ac:dyDescent="0.2">
      <c r="A127" s="85">
        <v>4</v>
      </c>
      <c r="B127" s="75" t="s">
        <v>383</v>
      </c>
      <c r="C127" s="218">
        <v>49</v>
      </c>
      <c r="D127" s="218">
        <v>49</v>
      </c>
      <c r="E127" s="218">
        <v>49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94</v>
      </c>
      <c r="E128" s="218">
        <v>94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94</v>
      </c>
      <c r="D129" s="218">
        <v>78</v>
      </c>
      <c r="E129" s="218">
        <v>94</v>
      </c>
    </row>
    <row r="130" spans="1:7" ht="24" customHeight="1" x14ac:dyDescent="0.2">
      <c r="A130" s="85">
        <v>7</v>
      </c>
      <c r="B130" s="75" t="s">
        <v>386</v>
      </c>
      <c r="C130" s="193">
        <v>0.66610000000000003</v>
      </c>
      <c r="D130" s="193">
        <v>0.68979999999999997</v>
      </c>
      <c r="E130" s="193">
        <v>0.65359999999999996</v>
      </c>
    </row>
    <row r="131" spans="1:7" ht="24" customHeight="1" x14ac:dyDescent="0.2">
      <c r="A131" s="85">
        <v>8</v>
      </c>
      <c r="B131" s="75" t="s">
        <v>387</v>
      </c>
      <c r="C131" s="193">
        <v>0.34720000000000001</v>
      </c>
      <c r="D131" s="193">
        <v>0.35959999999999998</v>
      </c>
      <c r="E131" s="193">
        <v>0.3407</v>
      </c>
    </row>
    <row r="132" spans="1:7" ht="24" customHeight="1" x14ac:dyDescent="0.2">
      <c r="A132" s="85">
        <v>9</v>
      </c>
      <c r="B132" s="75" t="s">
        <v>388</v>
      </c>
      <c r="C132" s="219">
        <v>255.6</v>
      </c>
      <c r="D132" s="219">
        <v>247.4</v>
      </c>
      <c r="E132" s="219">
        <v>259.60000000000002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0.3510957202959985</v>
      </c>
      <c r="D135" s="227">
        <f>IF(D149=0,0,D143/D149)</f>
        <v>0.34889705269445936</v>
      </c>
      <c r="E135" s="227">
        <f>IF(E149=0,0,E143/E149)</f>
        <v>0.34019464464537452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0.5157301102196411</v>
      </c>
      <c r="D136" s="227">
        <f>IF(D149=0,0,D144/D149)</f>
        <v>0.51560338267278383</v>
      </c>
      <c r="E136" s="227">
        <f>IF(E149=0,0,E144/E149)</f>
        <v>0.50645889881493755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5.8255131751909259E-2</v>
      </c>
      <c r="D137" s="227">
        <f>IF(D149=0,0,D145/D149)</f>
        <v>5.7267494080786539E-2</v>
      </c>
      <c r="E137" s="227">
        <f>IF(E149=0,0,E145/E149)</f>
        <v>7.3909144694064913E-2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4.4035881358737233E-2</v>
      </c>
      <c r="D138" s="227">
        <f>IF(D149=0,0,D146/D149)</f>
        <v>5.0573889731462963E-2</v>
      </c>
      <c r="E138" s="227">
        <f>IF(E149=0,0,E146/E149)</f>
        <v>5.8226660756542016E-2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2.8257046774739641E-2</v>
      </c>
      <c r="D139" s="227">
        <f>IF(D149=0,0,D147/D149)</f>
        <v>2.5789508459930714E-2</v>
      </c>
      <c r="E139" s="227">
        <f>IF(E149=0,0,E147/E149)</f>
        <v>1.9666886008256106E-2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2.6261095989742818E-3</v>
      </c>
      <c r="D140" s="227">
        <f>IF(D149=0,0,D148/D149)</f>
        <v>1.8686723605765075E-3</v>
      </c>
      <c r="E140" s="227">
        <f>IF(E149=0,0,E148/E149)</f>
        <v>1.5437650808249315E-3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48602802</v>
      </c>
      <c r="D143" s="229">
        <f>+D46-D147</f>
        <v>51441745</v>
      </c>
      <c r="E143" s="229">
        <f>+E46-E147</f>
        <v>49386855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71393432</v>
      </c>
      <c r="D144" s="229">
        <f>+D51</f>
        <v>76021100</v>
      </c>
      <c r="E144" s="229">
        <f>+E51</f>
        <v>73523827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8064361</v>
      </c>
      <c r="D145" s="229">
        <f>+D55</f>
        <v>8443579</v>
      </c>
      <c r="E145" s="229">
        <f>+E55</f>
        <v>10729564</v>
      </c>
    </row>
    <row r="146" spans="1:7" ht="20.100000000000001" customHeight="1" x14ac:dyDescent="0.2">
      <c r="A146" s="226">
        <v>11</v>
      </c>
      <c r="B146" s="224" t="s">
        <v>400</v>
      </c>
      <c r="C146" s="228">
        <v>6095965</v>
      </c>
      <c r="D146" s="229">
        <v>7456667</v>
      </c>
      <c r="E146" s="229">
        <v>8452901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3911673</v>
      </c>
      <c r="D147" s="229">
        <f>+D47</f>
        <v>3802432</v>
      </c>
      <c r="E147" s="229">
        <f>+E47</f>
        <v>2855088</v>
      </c>
    </row>
    <row r="148" spans="1:7" ht="20.100000000000001" customHeight="1" x14ac:dyDescent="0.2">
      <c r="A148" s="226">
        <v>13</v>
      </c>
      <c r="B148" s="224" t="s">
        <v>402</v>
      </c>
      <c r="C148" s="230">
        <v>363537</v>
      </c>
      <c r="D148" s="229">
        <v>275519</v>
      </c>
      <c r="E148" s="229">
        <v>224112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138431770</v>
      </c>
      <c r="D149" s="229">
        <f>SUM(D143:D148)</f>
        <v>147441042</v>
      </c>
      <c r="E149" s="229">
        <f>SUM(E143:E148)</f>
        <v>145172347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0.44173707004047191</v>
      </c>
      <c r="D152" s="227">
        <f>IF(D166=0,0,D160/D166)</f>
        <v>0.42762401361545627</v>
      </c>
      <c r="E152" s="227">
        <f>IF(E166=0,0,E160/E166)</f>
        <v>0.42641642737057789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0.47705509581612404</v>
      </c>
      <c r="D153" s="227">
        <f>IF(D166=0,0,D161/D166)</f>
        <v>0.48451757180642718</v>
      </c>
      <c r="E153" s="227">
        <f>IF(E166=0,0,E161/E166)</f>
        <v>0.47931714353788263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3.9042045771877594E-2</v>
      </c>
      <c r="D154" s="227">
        <f>IF(D166=0,0,D162/D166)</f>
        <v>3.9731363538340385E-2</v>
      </c>
      <c r="E154" s="227">
        <f>IF(E166=0,0,E162/E166)</f>
        <v>4.960901740068481E-2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2.4683574184364437E-2</v>
      </c>
      <c r="D155" s="227">
        <f>IF(D166=0,0,D163/D166)</f>
        <v>3.3483921771134219E-2</v>
      </c>
      <c r="E155" s="227">
        <f>IF(E166=0,0,E163/E166)</f>
        <v>3.7676875421397402E-2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1.3257349007379581E-2</v>
      </c>
      <c r="D156" s="227">
        <f>IF(D166=0,0,D164/D166)</f>
        <v>1.2372512099903128E-2</v>
      </c>
      <c r="E156" s="227">
        <f>IF(E166=0,0,E164/E166)</f>
        <v>5.663281081913594E-3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4.2248651797824471E-3</v>
      </c>
      <c r="D157" s="227">
        <f>IF(D166=0,0,D165/D166)</f>
        <v>2.270617168738864E-3</v>
      </c>
      <c r="E157" s="227">
        <f>IF(E166=0,0,E165/E166)</f>
        <v>1.3172551875436601E-3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22661678</v>
      </c>
      <c r="D160" s="229">
        <f>+D44-D164</f>
        <v>22504424</v>
      </c>
      <c r="E160" s="229">
        <f>+E44-E164</f>
        <v>21036353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24473538</v>
      </c>
      <c r="D161" s="229">
        <f>+D50</f>
        <v>25498542</v>
      </c>
      <c r="E161" s="229">
        <f>+E50</f>
        <v>23646098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2002907</v>
      </c>
      <c r="D162" s="229">
        <f>+D54</f>
        <v>2090929</v>
      </c>
      <c r="E162" s="229">
        <f>+E54</f>
        <v>2447356</v>
      </c>
    </row>
    <row r="163" spans="1:6" ht="20.100000000000001" customHeight="1" x14ac:dyDescent="0.2">
      <c r="A163" s="226">
        <v>11</v>
      </c>
      <c r="B163" s="224" t="s">
        <v>415</v>
      </c>
      <c r="C163" s="228">
        <v>1266299</v>
      </c>
      <c r="D163" s="229">
        <v>1762147</v>
      </c>
      <c r="E163" s="229">
        <v>1858709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680119</v>
      </c>
      <c r="D164" s="229">
        <f>+D45</f>
        <v>651124</v>
      </c>
      <c r="E164" s="229">
        <f>+E45</f>
        <v>279386</v>
      </c>
    </row>
    <row r="165" spans="1:6" ht="20.100000000000001" customHeight="1" x14ac:dyDescent="0.2">
      <c r="A165" s="226">
        <v>13</v>
      </c>
      <c r="B165" s="224" t="s">
        <v>417</v>
      </c>
      <c r="C165" s="230">
        <v>216741</v>
      </c>
      <c r="D165" s="229">
        <v>119495</v>
      </c>
      <c r="E165" s="229">
        <v>64984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51301282</v>
      </c>
      <c r="D166" s="229">
        <f>SUM(D160:D165)</f>
        <v>52626661</v>
      </c>
      <c r="E166" s="229">
        <f>SUM(E160:E165)</f>
        <v>49332886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743</v>
      </c>
      <c r="D169" s="218">
        <v>830</v>
      </c>
      <c r="E169" s="218">
        <v>703</v>
      </c>
    </row>
    <row r="170" spans="1:6" ht="20.100000000000001" customHeight="1" x14ac:dyDescent="0.2">
      <c r="A170" s="226">
        <v>2</v>
      </c>
      <c r="B170" s="224" t="s">
        <v>420</v>
      </c>
      <c r="C170" s="218">
        <v>1554</v>
      </c>
      <c r="D170" s="218">
        <v>1614</v>
      </c>
      <c r="E170" s="218">
        <v>1461</v>
      </c>
    </row>
    <row r="171" spans="1:6" ht="20.100000000000001" customHeight="1" x14ac:dyDescent="0.2">
      <c r="A171" s="226">
        <v>3</v>
      </c>
      <c r="B171" s="224" t="s">
        <v>421</v>
      </c>
      <c r="C171" s="218">
        <v>377</v>
      </c>
      <c r="D171" s="218">
        <v>425</v>
      </c>
      <c r="E171" s="218">
        <v>447</v>
      </c>
    </row>
    <row r="172" spans="1:6" ht="20.100000000000001" customHeight="1" x14ac:dyDescent="0.2">
      <c r="A172" s="226">
        <v>4</v>
      </c>
      <c r="B172" s="224" t="s">
        <v>422</v>
      </c>
      <c r="C172" s="218">
        <v>194</v>
      </c>
      <c r="D172" s="218">
        <v>217</v>
      </c>
      <c r="E172" s="218">
        <v>235</v>
      </c>
    </row>
    <row r="173" spans="1:6" ht="20.100000000000001" customHeight="1" x14ac:dyDescent="0.2">
      <c r="A173" s="226">
        <v>5</v>
      </c>
      <c r="B173" s="224" t="s">
        <v>423</v>
      </c>
      <c r="C173" s="218">
        <v>183</v>
      </c>
      <c r="D173" s="218">
        <v>208</v>
      </c>
      <c r="E173" s="218">
        <v>212</v>
      </c>
    </row>
    <row r="174" spans="1:6" ht="20.100000000000001" customHeight="1" x14ac:dyDescent="0.2">
      <c r="A174" s="226">
        <v>6</v>
      </c>
      <c r="B174" s="224" t="s">
        <v>424</v>
      </c>
      <c r="C174" s="218">
        <v>11</v>
      </c>
      <c r="D174" s="218">
        <v>9</v>
      </c>
      <c r="E174" s="218">
        <v>5</v>
      </c>
    </row>
    <row r="175" spans="1:6" ht="20.100000000000001" customHeight="1" x14ac:dyDescent="0.2">
      <c r="A175" s="226">
        <v>7</v>
      </c>
      <c r="B175" s="224" t="s">
        <v>425</v>
      </c>
      <c r="C175" s="218">
        <v>73</v>
      </c>
      <c r="D175" s="218">
        <v>93</v>
      </c>
      <c r="E175" s="218">
        <v>40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2685</v>
      </c>
      <c r="D176" s="218">
        <f>+D169+D170+D171+D174</f>
        <v>2878</v>
      </c>
      <c r="E176" s="218">
        <f>+E169+E170+E171+E174</f>
        <v>2616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0.98760000000000003</v>
      </c>
      <c r="D179" s="231">
        <v>1.0066999999999999</v>
      </c>
      <c r="E179" s="231">
        <v>0.92369999999999997</v>
      </c>
    </row>
    <row r="180" spans="1:6" ht="20.100000000000001" customHeight="1" x14ac:dyDescent="0.2">
      <c r="A180" s="226">
        <v>2</v>
      </c>
      <c r="B180" s="224" t="s">
        <v>420</v>
      </c>
      <c r="C180" s="231">
        <v>1.1576</v>
      </c>
      <c r="D180" s="231">
        <v>1.1823999999999999</v>
      </c>
      <c r="E180" s="231">
        <v>1.1961999999999999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0.92894299999999996</v>
      </c>
      <c r="D181" s="231">
        <v>0.93545999999999996</v>
      </c>
      <c r="E181" s="231">
        <v>0.90741300000000003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0.94869999999999999</v>
      </c>
      <c r="D182" s="231">
        <v>0.91049999999999998</v>
      </c>
      <c r="E182" s="231">
        <v>0.93440000000000001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0.90800000000000003</v>
      </c>
      <c r="D183" s="231">
        <v>0.96150000000000002</v>
      </c>
      <c r="E183" s="231">
        <v>0.87749999999999995</v>
      </c>
    </row>
    <row r="184" spans="1:6" ht="20.100000000000001" customHeight="1" x14ac:dyDescent="0.2">
      <c r="A184" s="226">
        <v>6</v>
      </c>
      <c r="B184" s="224" t="s">
        <v>424</v>
      </c>
      <c r="C184" s="231">
        <v>0.77580000000000005</v>
      </c>
      <c r="D184" s="231">
        <v>1.0219</v>
      </c>
      <c r="E184" s="231">
        <v>0.68859999999999999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0.9919</v>
      </c>
      <c r="D185" s="231">
        <v>0.89090000000000003</v>
      </c>
      <c r="E185" s="231">
        <v>0.75600000000000001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1.0768869999999999</v>
      </c>
      <c r="D186" s="231">
        <v>1.0947610000000001</v>
      </c>
      <c r="E186" s="231">
        <v>1.0726549999999999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1766</v>
      </c>
      <c r="D189" s="218">
        <v>1878</v>
      </c>
      <c r="E189" s="218">
        <v>1593</v>
      </c>
    </row>
    <row r="190" spans="1:6" ht="20.100000000000001" customHeight="1" x14ac:dyDescent="0.2">
      <c r="A190" s="226">
        <v>2</v>
      </c>
      <c r="B190" s="224" t="s">
        <v>433</v>
      </c>
      <c r="C190" s="218">
        <v>15856</v>
      </c>
      <c r="D190" s="218">
        <v>15746</v>
      </c>
      <c r="E190" s="218">
        <v>14825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17622</v>
      </c>
      <c r="D191" s="218">
        <f>+D190+D189</f>
        <v>17624</v>
      </c>
      <c r="E191" s="218">
        <f>+E190+E189</f>
        <v>16418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FILING&amp;RESSENT-SHARON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300722</v>
      </c>
      <c r="D14" s="258">
        <v>229456</v>
      </c>
      <c r="E14" s="258">
        <f t="shared" ref="E14:E24" si="0">D14-C14</f>
        <v>-71266</v>
      </c>
      <c r="F14" s="259">
        <f t="shared" ref="F14:F24" si="1">IF(C14=0,0,E14/C14)</f>
        <v>-0.23698299426047978</v>
      </c>
    </row>
    <row r="15" spans="1:7" ht="20.25" customHeight="1" x14ac:dyDescent="0.3">
      <c r="A15" s="256">
        <v>2</v>
      </c>
      <c r="B15" s="257" t="s">
        <v>442</v>
      </c>
      <c r="C15" s="258">
        <v>108190</v>
      </c>
      <c r="D15" s="258">
        <v>47525</v>
      </c>
      <c r="E15" s="258">
        <f t="shared" si="0"/>
        <v>-60665</v>
      </c>
      <c r="F15" s="259">
        <f t="shared" si="1"/>
        <v>-0.56072649967649502</v>
      </c>
    </row>
    <row r="16" spans="1:7" ht="20.25" customHeight="1" x14ac:dyDescent="0.3">
      <c r="A16" s="256">
        <v>3</v>
      </c>
      <c r="B16" s="257" t="s">
        <v>443</v>
      </c>
      <c r="C16" s="258">
        <v>177502</v>
      </c>
      <c r="D16" s="258">
        <v>160422</v>
      </c>
      <c r="E16" s="258">
        <f t="shared" si="0"/>
        <v>-17080</v>
      </c>
      <c r="F16" s="259">
        <f t="shared" si="1"/>
        <v>-9.6224267895573007E-2</v>
      </c>
    </row>
    <row r="17" spans="1:6" ht="20.25" customHeight="1" x14ac:dyDescent="0.3">
      <c r="A17" s="256">
        <v>4</v>
      </c>
      <c r="B17" s="257" t="s">
        <v>444</v>
      </c>
      <c r="C17" s="258">
        <v>46302</v>
      </c>
      <c r="D17" s="258">
        <v>37827</v>
      </c>
      <c r="E17" s="258">
        <f t="shared" si="0"/>
        <v>-8475</v>
      </c>
      <c r="F17" s="259">
        <f t="shared" si="1"/>
        <v>-0.18303744978618633</v>
      </c>
    </row>
    <row r="18" spans="1:6" ht="20.25" customHeight="1" x14ac:dyDescent="0.3">
      <c r="A18" s="256">
        <v>5</v>
      </c>
      <c r="B18" s="257" t="s">
        <v>381</v>
      </c>
      <c r="C18" s="260">
        <v>11</v>
      </c>
      <c r="D18" s="260">
        <v>9</v>
      </c>
      <c r="E18" s="260">
        <f t="shared" si="0"/>
        <v>-2</v>
      </c>
      <c r="F18" s="259">
        <f t="shared" si="1"/>
        <v>-0.18181818181818182</v>
      </c>
    </row>
    <row r="19" spans="1:6" ht="20.25" customHeight="1" x14ac:dyDescent="0.3">
      <c r="A19" s="256">
        <v>6</v>
      </c>
      <c r="B19" s="257" t="s">
        <v>380</v>
      </c>
      <c r="C19" s="260">
        <v>80</v>
      </c>
      <c r="D19" s="260">
        <v>62</v>
      </c>
      <c r="E19" s="260">
        <f t="shared" si="0"/>
        <v>-18</v>
      </c>
      <c r="F19" s="259">
        <f t="shared" si="1"/>
        <v>-0.22500000000000001</v>
      </c>
    </row>
    <row r="20" spans="1:6" ht="20.25" customHeight="1" x14ac:dyDescent="0.3">
      <c r="A20" s="256">
        <v>7</v>
      </c>
      <c r="B20" s="257" t="s">
        <v>445</v>
      </c>
      <c r="C20" s="260">
        <v>157</v>
      </c>
      <c r="D20" s="260">
        <v>179</v>
      </c>
      <c r="E20" s="260">
        <f t="shared" si="0"/>
        <v>22</v>
      </c>
      <c r="F20" s="259">
        <f t="shared" si="1"/>
        <v>0.14012738853503184</v>
      </c>
    </row>
    <row r="21" spans="1:6" ht="20.25" customHeight="1" x14ac:dyDescent="0.3">
      <c r="A21" s="256">
        <v>8</v>
      </c>
      <c r="B21" s="257" t="s">
        <v>446</v>
      </c>
      <c r="C21" s="260">
        <v>17</v>
      </c>
      <c r="D21" s="260">
        <v>2</v>
      </c>
      <c r="E21" s="260">
        <f t="shared" si="0"/>
        <v>-15</v>
      </c>
      <c r="F21" s="259">
        <f t="shared" si="1"/>
        <v>-0.88235294117647056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478224</v>
      </c>
      <c r="D23" s="263">
        <f>+D14+D16</f>
        <v>389878</v>
      </c>
      <c r="E23" s="263">
        <f t="shared" si="0"/>
        <v>-88346</v>
      </c>
      <c r="F23" s="264">
        <f t="shared" si="1"/>
        <v>-0.18473769614239352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154492</v>
      </c>
      <c r="D24" s="263">
        <f>+D15+D17</f>
        <v>85352</v>
      </c>
      <c r="E24" s="263">
        <f t="shared" si="0"/>
        <v>-69140</v>
      </c>
      <c r="F24" s="264">
        <f t="shared" si="1"/>
        <v>-0.44753126375475755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248934</v>
      </c>
      <c r="D40" s="258">
        <v>665303</v>
      </c>
      <c r="E40" s="258">
        <f t="shared" ref="E40:E50" si="4">D40-C40</f>
        <v>416369</v>
      </c>
      <c r="F40" s="259">
        <f t="shared" ref="F40:F50" si="5">IF(C40=0,0,E40/C40)</f>
        <v>1.6726080005141926</v>
      </c>
    </row>
    <row r="41" spans="1:6" ht="20.25" customHeight="1" x14ac:dyDescent="0.3">
      <c r="A41" s="256">
        <v>2</v>
      </c>
      <c r="B41" s="257" t="s">
        <v>442</v>
      </c>
      <c r="C41" s="258">
        <v>108111</v>
      </c>
      <c r="D41" s="258">
        <v>259022</v>
      </c>
      <c r="E41" s="258">
        <f t="shared" si="4"/>
        <v>150911</v>
      </c>
      <c r="F41" s="259">
        <f t="shared" si="5"/>
        <v>1.3958894099582837</v>
      </c>
    </row>
    <row r="42" spans="1:6" ht="20.25" customHeight="1" x14ac:dyDescent="0.3">
      <c r="A42" s="256">
        <v>3</v>
      </c>
      <c r="B42" s="257" t="s">
        <v>443</v>
      </c>
      <c r="C42" s="258">
        <v>554628</v>
      </c>
      <c r="D42" s="258">
        <v>581173</v>
      </c>
      <c r="E42" s="258">
        <f t="shared" si="4"/>
        <v>26545</v>
      </c>
      <c r="F42" s="259">
        <f t="shared" si="5"/>
        <v>4.7860908572953401E-2</v>
      </c>
    </row>
    <row r="43" spans="1:6" ht="20.25" customHeight="1" x14ac:dyDescent="0.3">
      <c r="A43" s="256">
        <v>4</v>
      </c>
      <c r="B43" s="257" t="s">
        <v>444</v>
      </c>
      <c r="C43" s="258">
        <v>111368</v>
      </c>
      <c r="D43" s="258">
        <v>114567</v>
      </c>
      <c r="E43" s="258">
        <f t="shared" si="4"/>
        <v>3199</v>
      </c>
      <c r="F43" s="259">
        <f t="shared" si="5"/>
        <v>2.8724588750808133E-2</v>
      </c>
    </row>
    <row r="44" spans="1:6" ht="20.25" customHeight="1" x14ac:dyDescent="0.3">
      <c r="A44" s="256">
        <v>5</v>
      </c>
      <c r="B44" s="257" t="s">
        <v>381</v>
      </c>
      <c r="C44" s="260">
        <v>11</v>
      </c>
      <c r="D44" s="260">
        <v>22</v>
      </c>
      <c r="E44" s="260">
        <f t="shared" si="4"/>
        <v>11</v>
      </c>
      <c r="F44" s="259">
        <f t="shared" si="5"/>
        <v>1</v>
      </c>
    </row>
    <row r="45" spans="1:6" ht="20.25" customHeight="1" x14ac:dyDescent="0.3">
      <c r="A45" s="256">
        <v>6</v>
      </c>
      <c r="B45" s="257" t="s">
        <v>380</v>
      </c>
      <c r="C45" s="260">
        <v>38</v>
      </c>
      <c r="D45" s="260">
        <v>159</v>
      </c>
      <c r="E45" s="260">
        <f t="shared" si="4"/>
        <v>121</v>
      </c>
      <c r="F45" s="259">
        <f t="shared" si="5"/>
        <v>3.1842105263157894</v>
      </c>
    </row>
    <row r="46" spans="1:6" ht="20.25" customHeight="1" x14ac:dyDescent="0.3">
      <c r="A46" s="256">
        <v>7</v>
      </c>
      <c r="B46" s="257" t="s">
        <v>445</v>
      </c>
      <c r="C46" s="260">
        <v>456</v>
      </c>
      <c r="D46" s="260">
        <v>624</v>
      </c>
      <c r="E46" s="260">
        <f t="shared" si="4"/>
        <v>168</v>
      </c>
      <c r="F46" s="259">
        <f t="shared" si="5"/>
        <v>0.36842105263157893</v>
      </c>
    </row>
    <row r="47" spans="1:6" ht="20.25" customHeight="1" x14ac:dyDescent="0.3">
      <c r="A47" s="256">
        <v>8</v>
      </c>
      <c r="B47" s="257" t="s">
        <v>446</v>
      </c>
      <c r="C47" s="260">
        <v>24</v>
      </c>
      <c r="D47" s="260">
        <v>9</v>
      </c>
      <c r="E47" s="260">
        <f t="shared" si="4"/>
        <v>-15</v>
      </c>
      <c r="F47" s="259">
        <f t="shared" si="5"/>
        <v>-0.625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803562</v>
      </c>
      <c r="D49" s="263">
        <f>+D40+D42</f>
        <v>1246476</v>
      </c>
      <c r="E49" s="263">
        <f t="shared" si="4"/>
        <v>442914</v>
      </c>
      <c r="F49" s="264">
        <f t="shared" si="5"/>
        <v>0.55118833394311828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219479</v>
      </c>
      <c r="D50" s="263">
        <f>+D41+D43</f>
        <v>373589</v>
      </c>
      <c r="E50" s="263">
        <f t="shared" si="4"/>
        <v>154110</v>
      </c>
      <c r="F50" s="264">
        <f t="shared" si="5"/>
        <v>0.70216284929309869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327781</v>
      </c>
      <c r="D66" s="258">
        <v>401496</v>
      </c>
      <c r="E66" s="258">
        <f t="shared" ref="E66:E76" si="8">D66-C66</f>
        <v>73715</v>
      </c>
      <c r="F66" s="259">
        <f t="shared" ref="F66:F76" si="9">IF(C66=0,0,E66/C66)</f>
        <v>0.22489100954600785</v>
      </c>
    </row>
    <row r="67" spans="1:6" ht="20.25" customHeight="1" x14ac:dyDescent="0.3">
      <c r="A67" s="256">
        <v>2</v>
      </c>
      <c r="B67" s="257" t="s">
        <v>442</v>
      </c>
      <c r="C67" s="258">
        <v>144816</v>
      </c>
      <c r="D67" s="258">
        <v>163229</v>
      </c>
      <c r="E67" s="258">
        <f t="shared" si="8"/>
        <v>18413</v>
      </c>
      <c r="F67" s="259">
        <f t="shared" si="9"/>
        <v>0.12714755275660147</v>
      </c>
    </row>
    <row r="68" spans="1:6" ht="20.25" customHeight="1" x14ac:dyDescent="0.3">
      <c r="A68" s="256">
        <v>3</v>
      </c>
      <c r="B68" s="257" t="s">
        <v>443</v>
      </c>
      <c r="C68" s="258">
        <v>395149</v>
      </c>
      <c r="D68" s="258">
        <v>238234</v>
      </c>
      <c r="E68" s="258">
        <f t="shared" si="8"/>
        <v>-156915</v>
      </c>
      <c r="F68" s="259">
        <f t="shared" si="9"/>
        <v>-0.39710337113342054</v>
      </c>
    </row>
    <row r="69" spans="1:6" ht="20.25" customHeight="1" x14ac:dyDescent="0.3">
      <c r="A69" s="256">
        <v>4</v>
      </c>
      <c r="B69" s="257" t="s">
        <v>444</v>
      </c>
      <c r="C69" s="258">
        <v>77997</v>
      </c>
      <c r="D69" s="258">
        <v>43924</v>
      </c>
      <c r="E69" s="258">
        <f t="shared" si="8"/>
        <v>-34073</v>
      </c>
      <c r="F69" s="259">
        <f t="shared" si="9"/>
        <v>-0.43685013526161265</v>
      </c>
    </row>
    <row r="70" spans="1:6" ht="20.25" customHeight="1" x14ac:dyDescent="0.3">
      <c r="A70" s="256">
        <v>5</v>
      </c>
      <c r="B70" s="257" t="s">
        <v>381</v>
      </c>
      <c r="C70" s="260">
        <v>14</v>
      </c>
      <c r="D70" s="260">
        <v>17</v>
      </c>
      <c r="E70" s="260">
        <f t="shared" si="8"/>
        <v>3</v>
      </c>
      <c r="F70" s="259">
        <f t="shared" si="9"/>
        <v>0.21428571428571427</v>
      </c>
    </row>
    <row r="71" spans="1:6" ht="20.25" customHeight="1" x14ac:dyDescent="0.3">
      <c r="A71" s="256">
        <v>6</v>
      </c>
      <c r="B71" s="257" t="s">
        <v>380</v>
      </c>
      <c r="C71" s="260">
        <v>89</v>
      </c>
      <c r="D71" s="260">
        <v>102</v>
      </c>
      <c r="E71" s="260">
        <f t="shared" si="8"/>
        <v>13</v>
      </c>
      <c r="F71" s="259">
        <f t="shared" si="9"/>
        <v>0.14606741573033707</v>
      </c>
    </row>
    <row r="72" spans="1:6" ht="20.25" customHeight="1" x14ac:dyDescent="0.3">
      <c r="A72" s="256">
        <v>7</v>
      </c>
      <c r="B72" s="257" t="s">
        <v>445</v>
      </c>
      <c r="C72" s="260">
        <v>348</v>
      </c>
      <c r="D72" s="260">
        <v>210</v>
      </c>
      <c r="E72" s="260">
        <f t="shared" si="8"/>
        <v>-138</v>
      </c>
      <c r="F72" s="259">
        <f t="shared" si="9"/>
        <v>-0.39655172413793105</v>
      </c>
    </row>
    <row r="73" spans="1:6" ht="20.25" customHeight="1" x14ac:dyDescent="0.3">
      <c r="A73" s="256">
        <v>8</v>
      </c>
      <c r="B73" s="257" t="s">
        <v>446</v>
      </c>
      <c r="C73" s="260">
        <v>29</v>
      </c>
      <c r="D73" s="260">
        <v>5</v>
      </c>
      <c r="E73" s="260">
        <f t="shared" si="8"/>
        <v>-24</v>
      </c>
      <c r="F73" s="259">
        <f t="shared" si="9"/>
        <v>-0.82758620689655171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722930</v>
      </c>
      <c r="D75" s="263">
        <f>+D66+D68</f>
        <v>639730</v>
      </c>
      <c r="E75" s="263">
        <f t="shared" si="8"/>
        <v>-83200</v>
      </c>
      <c r="F75" s="264">
        <f t="shared" si="9"/>
        <v>-0.11508721452976084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222813</v>
      </c>
      <c r="D76" s="263">
        <f>+D67+D69</f>
        <v>207153</v>
      </c>
      <c r="E76" s="263">
        <f t="shared" si="8"/>
        <v>-15660</v>
      </c>
      <c r="F76" s="264">
        <f t="shared" si="9"/>
        <v>-7.0283152239770566E-2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23376</v>
      </c>
      <c r="D81" s="258">
        <v>9819</v>
      </c>
      <c r="E81" s="258">
        <f t="shared" si="10"/>
        <v>-13557</v>
      </c>
      <c r="F81" s="259">
        <f t="shared" si="11"/>
        <v>-0.57995379876796715</v>
      </c>
    </row>
    <row r="82" spans="1:6" ht="20.25" customHeight="1" x14ac:dyDescent="0.3">
      <c r="A82" s="256">
        <v>4</v>
      </c>
      <c r="B82" s="257" t="s">
        <v>444</v>
      </c>
      <c r="C82" s="258">
        <v>6532</v>
      </c>
      <c r="D82" s="258">
        <v>3429</v>
      </c>
      <c r="E82" s="258">
        <f t="shared" si="10"/>
        <v>-3103</v>
      </c>
      <c r="F82" s="259">
        <f t="shared" si="11"/>
        <v>-0.4750459277403552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4</v>
      </c>
      <c r="D85" s="260">
        <v>14</v>
      </c>
      <c r="E85" s="260">
        <f t="shared" si="10"/>
        <v>10</v>
      </c>
      <c r="F85" s="259">
        <f t="shared" si="11"/>
        <v>2.5</v>
      </c>
    </row>
    <row r="86" spans="1:6" ht="20.25" customHeight="1" x14ac:dyDescent="0.3">
      <c r="A86" s="256">
        <v>8</v>
      </c>
      <c r="B86" s="257" t="s">
        <v>446</v>
      </c>
      <c r="C86" s="260">
        <v>21</v>
      </c>
      <c r="D86" s="260">
        <v>1</v>
      </c>
      <c r="E86" s="260">
        <f t="shared" si="10"/>
        <v>-20</v>
      </c>
      <c r="F86" s="259">
        <f t="shared" si="11"/>
        <v>-0.95238095238095233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23376</v>
      </c>
      <c r="D88" s="263">
        <f>+D79+D81</f>
        <v>9819</v>
      </c>
      <c r="E88" s="263">
        <f t="shared" si="10"/>
        <v>-13557</v>
      </c>
      <c r="F88" s="264">
        <f t="shared" si="11"/>
        <v>-0.57995379876796715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6532</v>
      </c>
      <c r="D89" s="263">
        <f>+D80+D82</f>
        <v>3429</v>
      </c>
      <c r="E89" s="263">
        <f t="shared" si="10"/>
        <v>-3103</v>
      </c>
      <c r="F89" s="264">
        <f t="shared" si="11"/>
        <v>-0.4750459277403552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106846</v>
      </c>
      <c r="D105" s="258">
        <v>136160</v>
      </c>
      <c r="E105" s="258">
        <f t="shared" ref="E105:E115" si="14">D105-C105</f>
        <v>29314</v>
      </c>
      <c r="F105" s="259">
        <f t="shared" ref="F105:F115" si="15">IF(C105=0,0,E105/C105)</f>
        <v>0.27435748647586244</v>
      </c>
    </row>
    <row r="106" spans="1:6" ht="20.25" customHeight="1" x14ac:dyDescent="0.3">
      <c r="A106" s="256">
        <v>2</v>
      </c>
      <c r="B106" s="257" t="s">
        <v>442</v>
      </c>
      <c r="C106" s="258">
        <v>38533</v>
      </c>
      <c r="D106" s="258">
        <v>64317</v>
      </c>
      <c r="E106" s="258">
        <f t="shared" si="14"/>
        <v>25784</v>
      </c>
      <c r="F106" s="259">
        <f t="shared" si="15"/>
        <v>0.66914073651156147</v>
      </c>
    </row>
    <row r="107" spans="1:6" ht="20.25" customHeight="1" x14ac:dyDescent="0.3">
      <c r="A107" s="256">
        <v>3</v>
      </c>
      <c r="B107" s="257" t="s">
        <v>443</v>
      </c>
      <c r="C107" s="258">
        <v>42737</v>
      </c>
      <c r="D107" s="258">
        <v>88294</v>
      </c>
      <c r="E107" s="258">
        <f t="shared" si="14"/>
        <v>45557</v>
      </c>
      <c r="F107" s="259">
        <f t="shared" si="15"/>
        <v>1.0659849778880128</v>
      </c>
    </row>
    <row r="108" spans="1:6" ht="20.25" customHeight="1" x14ac:dyDescent="0.3">
      <c r="A108" s="256">
        <v>4</v>
      </c>
      <c r="B108" s="257" t="s">
        <v>444</v>
      </c>
      <c r="C108" s="258">
        <v>9707</v>
      </c>
      <c r="D108" s="258">
        <v>14895</v>
      </c>
      <c r="E108" s="258">
        <f t="shared" si="14"/>
        <v>5188</v>
      </c>
      <c r="F108" s="259">
        <f t="shared" si="15"/>
        <v>0.53445966828062219</v>
      </c>
    </row>
    <row r="109" spans="1:6" ht="20.25" customHeight="1" x14ac:dyDescent="0.3">
      <c r="A109" s="256">
        <v>5</v>
      </c>
      <c r="B109" s="257" t="s">
        <v>381</v>
      </c>
      <c r="C109" s="260">
        <v>5</v>
      </c>
      <c r="D109" s="260">
        <v>7</v>
      </c>
      <c r="E109" s="260">
        <f t="shared" si="14"/>
        <v>2</v>
      </c>
      <c r="F109" s="259">
        <f t="shared" si="15"/>
        <v>0.4</v>
      </c>
    </row>
    <row r="110" spans="1:6" ht="20.25" customHeight="1" x14ac:dyDescent="0.3">
      <c r="A110" s="256">
        <v>6</v>
      </c>
      <c r="B110" s="257" t="s">
        <v>380</v>
      </c>
      <c r="C110" s="260">
        <v>21</v>
      </c>
      <c r="D110" s="260">
        <v>38</v>
      </c>
      <c r="E110" s="260">
        <f t="shared" si="14"/>
        <v>17</v>
      </c>
      <c r="F110" s="259">
        <f t="shared" si="15"/>
        <v>0.80952380952380953</v>
      </c>
    </row>
    <row r="111" spans="1:6" ht="20.25" customHeight="1" x14ac:dyDescent="0.3">
      <c r="A111" s="256">
        <v>7</v>
      </c>
      <c r="B111" s="257" t="s">
        <v>445</v>
      </c>
      <c r="C111" s="260">
        <v>24</v>
      </c>
      <c r="D111" s="260">
        <v>67</v>
      </c>
      <c r="E111" s="260">
        <f t="shared" si="14"/>
        <v>43</v>
      </c>
      <c r="F111" s="259">
        <f t="shared" si="15"/>
        <v>1.7916666666666667</v>
      </c>
    </row>
    <row r="112" spans="1:6" ht="20.25" customHeight="1" x14ac:dyDescent="0.3">
      <c r="A112" s="256">
        <v>8</v>
      </c>
      <c r="B112" s="257" t="s">
        <v>446</v>
      </c>
      <c r="C112" s="260">
        <v>16</v>
      </c>
      <c r="D112" s="260">
        <v>4</v>
      </c>
      <c r="E112" s="260">
        <f t="shared" si="14"/>
        <v>-12</v>
      </c>
      <c r="F112" s="259">
        <f t="shared" si="15"/>
        <v>-0.75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149583</v>
      </c>
      <c r="D114" s="263">
        <f>+D105+D107</f>
        <v>224454</v>
      </c>
      <c r="E114" s="263">
        <f t="shared" si="14"/>
        <v>74871</v>
      </c>
      <c r="F114" s="264">
        <f t="shared" si="15"/>
        <v>0.50053147750747073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48240</v>
      </c>
      <c r="D115" s="263">
        <f>+D106+D108</f>
        <v>79212</v>
      </c>
      <c r="E115" s="263">
        <f t="shared" si="14"/>
        <v>30972</v>
      </c>
      <c r="F115" s="264">
        <f t="shared" si="15"/>
        <v>0.64203980099502489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277981</v>
      </c>
      <c r="D118" s="258">
        <v>752568</v>
      </c>
      <c r="E118" s="258">
        <f t="shared" ref="E118:E128" si="16">D118-C118</f>
        <v>474587</v>
      </c>
      <c r="F118" s="259">
        <f t="shared" ref="F118:F128" si="17">IF(C118=0,0,E118/C118)</f>
        <v>1.7072641655364935</v>
      </c>
    </row>
    <row r="119" spans="1:6" ht="20.25" customHeight="1" x14ac:dyDescent="0.3">
      <c r="A119" s="256">
        <v>2</v>
      </c>
      <c r="B119" s="257" t="s">
        <v>442</v>
      </c>
      <c r="C119" s="258">
        <v>131897</v>
      </c>
      <c r="D119" s="258">
        <v>296703</v>
      </c>
      <c r="E119" s="258">
        <f t="shared" si="16"/>
        <v>164806</v>
      </c>
      <c r="F119" s="259">
        <f t="shared" si="17"/>
        <v>1.2495052957989947</v>
      </c>
    </row>
    <row r="120" spans="1:6" ht="20.25" customHeight="1" x14ac:dyDescent="0.3">
      <c r="A120" s="256">
        <v>3</v>
      </c>
      <c r="B120" s="257" t="s">
        <v>443</v>
      </c>
      <c r="C120" s="258">
        <v>291177</v>
      </c>
      <c r="D120" s="258">
        <v>670740</v>
      </c>
      <c r="E120" s="258">
        <f t="shared" si="16"/>
        <v>379563</v>
      </c>
      <c r="F120" s="259">
        <f t="shared" si="17"/>
        <v>1.3035473268836482</v>
      </c>
    </row>
    <row r="121" spans="1:6" ht="20.25" customHeight="1" x14ac:dyDescent="0.3">
      <c r="A121" s="256">
        <v>4</v>
      </c>
      <c r="B121" s="257" t="s">
        <v>444</v>
      </c>
      <c r="C121" s="258">
        <v>57316</v>
      </c>
      <c r="D121" s="258">
        <v>135305</v>
      </c>
      <c r="E121" s="258">
        <f t="shared" si="16"/>
        <v>77989</v>
      </c>
      <c r="F121" s="259">
        <f t="shared" si="17"/>
        <v>1.3606846255844791</v>
      </c>
    </row>
    <row r="122" spans="1:6" ht="20.25" customHeight="1" x14ac:dyDescent="0.3">
      <c r="A122" s="256">
        <v>5</v>
      </c>
      <c r="B122" s="257" t="s">
        <v>381</v>
      </c>
      <c r="C122" s="260">
        <v>14</v>
      </c>
      <c r="D122" s="260">
        <v>25</v>
      </c>
      <c r="E122" s="260">
        <f t="shared" si="16"/>
        <v>11</v>
      </c>
      <c r="F122" s="259">
        <f t="shared" si="17"/>
        <v>0.7857142857142857</v>
      </c>
    </row>
    <row r="123" spans="1:6" ht="20.25" customHeight="1" x14ac:dyDescent="0.3">
      <c r="A123" s="256">
        <v>6</v>
      </c>
      <c r="B123" s="257" t="s">
        <v>380</v>
      </c>
      <c r="C123" s="260">
        <v>75</v>
      </c>
      <c r="D123" s="260">
        <v>130</v>
      </c>
      <c r="E123" s="260">
        <f t="shared" si="16"/>
        <v>55</v>
      </c>
      <c r="F123" s="259">
        <f t="shared" si="17"/>
        <v>0.73333333333333328</v>
      </c>
    </row>
    <row r="124" spans="1:6" ht="20.25" customHeight="1" x14ac:dyDescent="0.3">
      <c r="A124" s="256">
        <v>7</v>
      </c>
      <c r="B124" s="257" t="s">
        <v>445</v>
      </c>
      <c r="C124" s="260">
        <v>296</v>
      </c>
      <c r="D124" s="260">
        <v>589</v>
      </c>
      <c r="E124" s="260">
        <f t="shared" si="16"/>
        <v>293</v>
      </c>
      <c r="F124" s="259">
        <f t="shared" si="17"/>
        <v>0.98986486486486491</v>
      </c>
    </row>
    <row r="125" spans="1:6" ht="20.25" customHeight="1" x14ac:dyDescent="0.3">
      <c r="A125" s="256">
        <v>8</v>
      </c>
      <c r="B125" s="257" t="s">
        <v>446</v>
      </c>
      <c r="C125" s="260">
        <v>24</v>
      </c>
      <c r="D125" s="260">
        <v>8</v>
      </c>
      <c r="E125" s="260">
        <f t="shared" si="16"/>
        <v>-16</v>
      </c>
      <c r="F125" s="259">
        <f t="shared" si="17"/>
        <v>-0.66666666666666663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569158</v>
      </c>
      <c r="D127" s="263">
        <f>+D118+D120</f>
        <v>1423308</v>
      </c>
      <c r="E127" s="263">
        <f t="shared" si="16"/>
        <v>854150</v>
      </c>
      <c r="F127" s="264">
        <f t="shared" si="17"/>
        <v>1.5007256333039332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189213</v>
      </c>
      <c r="D128" s="263">
        <f>+D119+D121</f>
        <v>432008</v>
      </c>
      <c r="E128" s="263">
        <f t="shared" si="16"/>
        <v>242795</v>
      </c>
      <c r="F128" s="264">
        <f t="shared" si="17"/>
        <v>1.2831835021906528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1609</v>
      </c>
      <c r="D133" s="258">
        <v>472</v>
      </c>
      <c r="E133" s="258">
        <f t="shared" si="18"/>
        <v>-1137</v>
      </c>
      <c r="F133" s="259">
        <f t="shared" si="19"/>
        <v>-0.70665009322560601</v>
      </c>
    </row>
    <row r="134" spans="1:6" ht="20.25" customHeight="1" x14ac:dyDescent="0.3">
      <c r="A134" s="256">
        <v>4</v>
      </c>
      <c r="B134" s="257" t="s">
        <v>444</v>
      </c>
      <c r="C134" s="258">
        <v>357</v>
      </c>
      <c r="D134" s="258">
        <v>121</v>
      </c>
      <c r="E134" s="258">
        <f t="shared" si="18"/>
        <v>-236</v>
      </c>
      <c r="F134" s="259">
        <f t="shared" si="19"/>
        <v>-0.66106442577030811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1</v>
      </c>
      <c r="D137" s="260">
        <v>1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1</v>
      </c>
      <c r="D138" s="260">
        <v>0</v>
      </c>
      <c r="E138" s="260">
        <f t="shared" si="18"/>
        <v>-1</v>
      </c>
      <c r="F138" s="259">
        <f t="shared" si="19"/>
        <v>-1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1609</v>
      </c>
      <c r="D140" s="263">
        <f>+D131+D133</f>
        <v>472</v>
      </c>
      <c r="E140" s="263">
        <f t="shared" si="18"/>
        <v>-1137</v>
      </c>
      <c r="F140" s="264">
        <f t="shared" si="19"/>
        <v>-0.70665009322560601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357</v>
      </c>
      <c r="D141" s="263">
        <f>+D132+D134</f>
        <v>121</v>
      </c>
      <c r="E141" s="263">
        <f t="shared" si="18"/>
        <v>-236</v>
      </c>
      <c r="F141" s="264">
        <f t="shared" si="19"/>
        <v>-0.66106442577030811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1167359</v>
      </c>
      <c r="D183" s="258">
        <v>1420293</v>
      </c>
      <c r="E183" s="258">
        <f t="shared" ref="E183:E193" si="26">D183-C183</f>
        <v>252934</v>
      </c>
      <c r="F183" s="259">
        <f t="shared" ref="F183:F193" si="27">IF(C183=0,0,E183/C183)</f>
        <v>0.2166719920778441</v>
      </c>
    </row>
    <row r="184" spans="1:6" ht="20.25" customHeight="1" x14ac:dyDescent="0.3">
      <c r="A184" s="256">
        <v>2</v>
      </c>
      <c r="B184" s="257" t="s">
        <v>442</v>
      </c>
      <c r="C184" s="258">
        <v>454876</v>
      </c>
      <c r="D184" s="258">
        <v>521443</v>
      </c>
      <c r="E184" s="258">
        <f t="shared" si="26"/>
        <v>66567</v>
      </c>
      <c r="F184" s="259">
        <f t="shared" si="27"/>
        <v>0.14634098083873406</v>
      </c>
    </row>
    <row r="185" spans="1:6" ht="20.25" customHeight="1" x14ac:dyDescent="0.3">
      <c r="A185" s="256">
        <v>3</v>
      </c>
      <c r="B185" s="257" t="s">
        <v>443</v>
      </c>
      <c r="C185" s="258">
        <v>858808</v>
      </c>
      <c r="D185" s="258">
        <v>904156</v>
      </c>
      <c r="E185" s="258">
        <f t="shared" si="26"/>
        <v>45348</v>
      </c>
      <c r="F185" s="259">
        <f t="shared" si="27"/>
        <v>5.2803420555001819E-2</v>
      </c>
    </row>
    <row r="186" spans="1:6" ht="20.25" customHeight="1" x14ac:dyDescent="0.3">
      <c r="A186" s="256">
        <v>4</v>
      </c>
      <c r="B186" s="257" t="s">
        <v>444</v>
      </c>
      <c r="C186" s="258">
        <v>209925</v>
      </c>
      <c r="D186" s="258">
        <v>215012</v>
      </c>
      <c r="E186" s="258">
        <f t="shared" si="26"/>
        <v>5087</v>
      </c>
      <c r="F186" s="259">
        <f t="shared" si="27"/>
        <v>2.4232463975229247E-2</v>
      </c>
    </row>
    <row r="187" spans="1:6" ht="20.25" customHeight="1" x14ac:dyDescent="0.3">
      <c r="A187" s="256">
        <v>5</v>
      </c>
      <c r="B187" s="257" t="s">
        <v>381</v>
      </c>
      <c r="C187" s="260">
        <v>44</v>
      </c>
      <c r="D187" s="260">
        <v>53</v>
      </c>
      <c r="E187" s="260">
        <f t="shared" si="26"/>
        <v>9</v>
      </c>
      <c r="F187" s="259">
        <f t="shared" si="27"/>
        <v>0.20454545454545456</v>
      </c>
    </row>
    <row r="188" spans="1:6" ht="20.25" customHeight="1" x14ac:dyDescent="0.3">
      <c r="A188" s="256">
        <v>6</v>
      </c>
      <c r="B188" s="257" t="s">
        <v>380</v>
      </c>
      <c r="C188" s="260">
        <v>317</v>
      </c>
      <c r="D188" s="260">
        <v>345</v>
      </c>
      <c r="E188" s="260">
        <f t="shared" si="26"/>
        <v>28</v>
      </c>
      <c r="F188" s="259">
        <f t="shared" si="27"/>
        <v>8.8328075709779186E-2</v>
      </c>
    </row>
    <row r="189" spans="1:6" ht="20.25" customHeight="1" x14ac:dyDescent="0.3">
      <c r="A189" s="256">
        <v>7</v>
      </c>
      <c r="B189" s="257" t="s">
        <v>445</v>
      </c>
      <c r="C189" s="260">
        <v>780</v>
      </c>
      <c r="D189" s="260">
        <v>574</v>
      </c>
      <c r="E189" s="260">
        <f t="shared" si="26"/>
        <v>-206</v>
      </c>
      <c r="F189" s="259">
        <f t="shared" si="27"/>
        <v>-0.26410256410256411</v>
      </c>
    </row>
    <row r="190" spans="1:6" ht="20.25" customHeight="1" x14ac:dyDescent="0.3">
      <c r="A190" s="256">
        <v>8</v>
      </c>
      <c r="B190" s="257" t="s">
        <v>446</v>
      </c>
      <c r="C190" s="260">
        <v>96</v>
      </c>
      <c r="D190" s="260">
        <v>243</v>
      </c>
      <c r="E190" s="260">
        <f t="shared" si="26"/>
        <v>147</v>
      </c>
      <c r="F190" s="259">
        <f t="shared" si="27"/>
        <v>1.53125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2026167</v>
      </c>
      <c r="D192" s="263">
        <f>+D183+D185</f>
        <v>2324449</v>
      </c>
      <c r="E192" s="263">
        <f t="shared" si="26"/>
        <v>298282</v>
      </c>
      <c r="F192" s="264">
        <f t="shared" si="27"/>
        <v>0.14721491367690817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664801</v>
      </c>
      <c r="D193" s="263">
        <f>+D184+D186</f>
        <v>736455</v>
      </c>
      <c r="E193" s="263">
        <f t="shared" si="26"/>
        <v>71654</v>
      </c>
      <c r="F193" s="264">
        <f t="shared" si="27"/>
        <v>0.10778262968918519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2429623</v>
      </c>
      <c r="D198" s="263">
        <f t="shared" si="28"/>
        <v>3605276</v>
      </c>
      <c r="E198" s="263">
        <f t="shared" ref="E198:E208" si="29">D198-C198</f>
        <v>1175653</v>
      </c>
      <c r="F198" s="273">
        <f t="shared" ref="F198:F208" si="30">IF(C198=0,0,E198/C198)</f>
        <v>0.48388289047313104</v>
      </c>
    </row>
    <row r="199" spans="1:9" ht="20.25" customHeight="1" x14ac:dyDescent="0.3">
      <c r="A199" s="271"/>
      <c r="B199" s="272" t="s">
        <v>466</v>
      </c>
      <c r="C199" s="263">
        <f t="shared" si="28"/>
        <v>986423</v>
      </c>
      <c r="D199" s="263">
        <f t="shared" si="28"/>
        <v>1352239</v>
      </c>
      <c r="E199" s="263">
        <f t="shared" si="29"/>
        <v>365816</v>
      </c>
      <c r="F199" s="273">
        <f t="shared" si="30"/>
        <v>0.37085104463298202</v>
      </c>
    </row>
    <row r="200" spans="1:9" ht="20.25" customHeight="1" x14ac:dyDescent="0.3">
      <c r="A200" s="271"/>
      <c r="B200" s="272" t="s">
        <v>467</v>
      </c>
      <c r="C200" s="263">
        <f t="shared" si="28"/>
        <v>2344986</v>
      </c>
      <c r="D200" s="263">
        <f t="shared" si="28"/>
        <v>2653310</v>
      </c>
      <c r="E200" s="263">
        <f t="shared" si="29"/>
        <v>308324</v>
      </c>
      <c r="F200" s="273">
        <f t="shared" si="30"/>
        <v>0.13148223486195654</v>
      </c>
    </row>
    <row r="201" spans="1:9" ht="20.25" customHeight="1" x14ac:dyDescent="0.3">
      <c r="A201" s="271"/>
      <c r="B201" s="272" t="s">
        <v>468</v>
      </c>
      <c r="C201" s="263">
        <f t="shared" si="28"/>
        <v>519504</v>
      </c>
      <c r="D201" s="263">
        <f t="shared" si="28"/>
        <v>565080</v>
      </c>
      <c r="E201" s="263">
        <f t="shared" si="29"/>
        <v>45576</v>
      </c>
      <c r="F201" s="273">
        <f t="shared" si="30"/>
        <v>8.7729834611475557E-2</v>
      </c>
    </row>
    <row r="202" spans="1:9" ht="20.25" customHeight="1" x14ac:dyDescent="0.3">
      <c r="A202" s="271"/>
      <c r="B202" s="272" t="s">
        <v>138</v>
      </c>
      <c r="C202" s="274">
        <f t="shared" si="28"/>
        <v>99</v>
      </c>
      <c r="D202" s="274">
        <f t="shared" si="28"/>
        <v>133</v>
      </c>
      <c r="E202" s="274">
        <f t="shared" si="29"/>
        <v>34</v>
      </c>
      <c r="F202" s="273">
        <f t="shared" si="30"/>
        <v>0.34343434343434343</v>
      </c>
    </row>
    <row r="203" spans="1:9" ht="20.25" customHeight="1" x14ac:dyDescent="0.3">
      <c r="A203" s="271"/>
      <c r="B203" s="272" t="s">
        <v>140</v>
      </c>
      <c r="C203" s="274">
        <f t="shared" si="28"/>
        <v>620</v>
      </c>
      <c r="D203" s="274">
        <f t="shared" si="28"/>
        <v>836</v>
      </c>
      <c r="E203" s="274">
        <f t="shared" si="29"/>
        <v>216</v>
      </c>
      <c r="F203" s="273">
        <f t="shared" si="30"/>
        <v>0.34838709677419355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2066</v>
      </c>
      <c r="D204" s="274">
        <f t="shared" si="28"/>
        <v>2258</v>
      </c>
      <c r="E204" s="274">
        <f t="shared" si="29"/>
        <v>192</v>
      </c>
      <c r="F204" s="273">
        <f t="shared" si="30"/>
        <v>9.2933204259438532E-2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228</v>
      </c>
      <c r="D205" s="274">
        <f t="shared" si="28"/>
        <v>272</v>
      </c>
      <c r="E205" s="274">
        <f t="shared" si="29"/>
        <v>44</v>
      </c>
      <c r="F205" s="273">
        <f t="shared" si="30"/>
        <v>0.19298245614035087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4774609</v>
      </c>
      <c r="D207" s="263">
        <f>+D198+D200</f>
        <v>6258586</v>
      </c>
      <c r="E207" s="263">
        <f t="shared" si="29"/>
        <v>1483977</v>
      </c>
      <c r="F207" s="273">
        <f t="shared" si="30"/>
        <v>0.31080597385042419</v>
      </c>
    </row>
    <row r="208" spans="1:9" ht="20.25" customHeight="1" x14ac:dyDescent="0.3">
      <c r="A208" s="271"/>
      <c r="B208" s="262" t="s">
        <v>472</v>
      </c>
      <c r="C208" s="263">
        <f>+C199+C201</f>
        <v>1505927</v>
      </c>
      <c r="D208" s="263">
        <f>+D199+D201</f>
        <v>1917319</v>
      </c>
      <c r="E208" s="263">
        <f t="shared" si="29"/>
        <v>411392</v>
      </c>
      <c r="F208" s="273">
        <f t="shared" si="30"/>
        <v>0.2731819005834944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FILING&amp;RESSENT-SHARON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FILING&amp;RESSENT-SHARON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117062</v>
      </c>
      <c r="D13" s="22">
        <v>10465</v>
      </c>
      <c r="E13" s="22">
        <f t="shared" ref="E13:E22" si="0">D13-C13</f>
        <v>-106597</v>
      </c>
      <c r="F13" s="306">
        <f t="shared" ref="F13:F22" si="1">IF(C13=0,0,E13/C13)</f>
        <v>-0.91060292836274792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7934530</v>
      </c>
      <c r="D15" s="22">
        <v>6904941</v>
      </c>
      <c r="E15" s="22">
        <f t="shared" si="0"/>
        <v>-1029589</v>
      </c>
      <c r="F15" s="306">
        <f t="shared" si="1"/>
        <v>-0.12976055292499997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137029</v>
      </c>
      <c r="E18" s="22">
        <f t="shared" si="0"/>
        <v>137029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1271046</v>
      </c>
      <c r="D19" s="22">
        <v>1192492</v>
      </c>
      <c r="E19" s="22">
        <f t="shared" si="0"/>
        <v>-78554</v>
      </c>
      <c r="F19" s="306">
        <f t="shared" si="1"/>
        <v>-6.1802641289142958E-2</v>
      </c>
    </row>
    <row r="20" spans="1:11" ht="24" customHeight="1" x14ac:dyDescent="0.2">
      <c r="A20" s="304">
        <v>8</v>
      </c>
      <c r="B20" s="305" t="s">
        <v>23</v>
      </c>
      <c r="C20" s="22">
        <v>1848189</v>
      </c>
      <c r="D20" s="22">
        <v>813147</v>
      </c>
      <c r="E20" s="22">
        <f t="shared" si="0"/>
        <v>-1035042</v>
      </c>
      <c r="F20" s="306">
        <f t="shared" si="1"/>
        <v>-0.56003038650267911</v>
      </c>
    </row>
    <row r="21" spans="1:11" ht="24" customHeight="1" x14ac:dyDescent="0.2">
      <c r="A21" s="304">
        <v>9</v>
      </c>
      <c r="B21" s="305" t="s">
        <v>24</v>
      </c>
      <c r="C21" s="22">
        <v>1179591</v>
      </c>
      <c r="D21" s="22">
        <v>1656812</v>
      </c>
      <c r="E21" s="22">
        <f t="shared" si="0"/>
        <v>477221</v>
      </c>
      <c r="F21" s="306">
        <f t="shared" si="1"/>
        <v>0.40456480254596722</v>
      </c>
    </row>
    <row r="22" spans="1:11" ht="24" customHeight="1" x14ac:dyDescent="0.25">
      <c r="A22" s="307"/>
      <c r="B22" s="308" t="s">
        <v>25</v>
      </c>
      <c r="C22" s="309">
        <f>SUM(C13:C21)</f>
        <v>12350418</v>
      </c>
      <c r="D22" s="309">
        <f>SUM(D13:D21)</f>
        <v>10714886</v>
      </c>
      <c r="E22" s="309">
        <f t="shared" si="0"/>
        <v>-1635532</v>
      </c>
      <c r="F22" s="310">
        <f t="shared" si="1"/>
        <v>-0.13242725873731562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667672</v>
      </c>
      <c r="D33" s="22">
        <v>706549</v>
      </c>
      <c r="E33" s="22">
        <f>D33-C33</f>
        <v>38877</v>
      </c>
      <c r="F33" s="306">
        <f>IF(C33=0,0,E33/C33)</f>
        <v>5.8227692639499631E-2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63297105</v>
      </c>
      <c r="D36" s="22">
        <v>64190748</v>
      </c>
      <c r="E36" s="22">
        <f>D36-C36</f>
        <v>893643</v>
      </c>
      <c r="F36" s="306">
        <f>IF(C36=0,0,E36/C36)</f>
        <v>1.4118228629887576E-2</v>
      </c>
    </row>
    <row r="37" spans="1:8" ht="24" customHeight="1" x14ac:dyDescent="0.2">
      <c r="A37" s="304">
        <v>2</v>
      </c>
      <c r="B37" s="305" t="s">
        <v>39</v>
      </c>
      <c r="C37" s="22">
        <v>28688271</v>
      </c>
      <c r="D37" s="22">
        <v>31083584</v>
      </c>
      <c r="E37" s="22">
        <f>D37-C37</f>
        <v>2395313</v>
      </c>
      <c r="F37" s="22">
        <f>IF(C37=0,0,E37/C37)</f>
        <v>8.3494505472288663E-2</v>
      </c>
    </row>
    <row r="38" spans="1:8" ht="24" customHeight="1" x14ac:dyDescent="0.25">
      <c r="A38" s="307"/>
      <c r="B38" s="308" t="s">
        <v>40</v>
      </c>
      <c r="C38" s="309">
        <f>C36-C37</f>
        <v>34608834</v>
      </c>
      <c r="D38" s="309">
        <f>D36-D37</f>
        <v>33107164</v>
      </c>
      <c r="E38" s="309">
        <f>D38-C38</f>
        <v>-1501670</v>
      </c>
      <c r="F38" s="310">
        <f>IF(C38=0,0,E38/C38)</f>
        <v>-4.3389788861421912E-2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34608834</v>
      </c>
      <c r="D41" s="309">
        <f>+D38+D40</f>
        <v>33107164</v>
      </c>
      <c r="E41" s="309">
        <f>D41-C41</f>
        <v>-1501670</v>
      </c>
      <c r="F41" s="310">
        <f>IF(C41=0,0,E41/C41)</f>
        <v>-4.3389788861421912E-2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47626924</v>
      </c>
      <c r="D43" s="309">
        <f>D22+D29+D31+D32+D33+D41</f>
        <v>44528599</v>
      </c>
      <c r="E43" s="309">
        <f>D43-C43</f>
        <v>-3098325</v>
      </c>
      <c r="F43" s="310">
        <f>IF(C43=0,0,E43/C43)</f>
        <v>-6.5054064797466241E-2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1739478</v>
      </c>
      <c r="D49" s="22">
        <v>1941959</v>
      </c>
      <c r="E49" s="22">
        <f t="shared" ref="E49:E56" si="2">D49-C49</f>
        <v>202481</v>
      </c>
      <c r="F49" s="306">
        <f t="shared" ref="F49:F56" si="3">IF(C49=0,0,E49/C49)</f>
        <v>0.11640331179813715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4264163</v>
      </c>
      <c r="D50" s="22">
        <v>3439322</v>
      </c>
      <c r="E50" s="22">
        <f t="shared" si="2"/>
        <v>-824841</v>
      </c>
      <c r="F50" s="306">
        <f t="shared" si="3"/>
        <v>-0.19343561679044632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345766</v>
      </c>
      <c r="D51" s="22">
        <v>0</v>
      </c>
      <c r="E51" s="22">
        <f t="shared" si="2"/>
        <v>-345766</v>
      </c>
      <c r="F51" s="306">
        <f t="shared" si="3"/>
        <v>-1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165055</v>
      </c>
      <c r="E54" s="22">
        <f t="shared" si="2"/>
        <v>165055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6349407</v>
      </c>
      <c r="D56" s="309">
        <f>SUM(D49:D55)</f>
        <v>5546336</v>
      </c>
      <c r="E56" s="309">
        <f t="shared" si="2"/>
        <v>-803071</v>
      </c>
      <c r="F56" s="310">
        <f t="shared" si="3"/>
        <v>-0.12647968542574134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21600220</v>
      </c>
      <c r="D60" s="22">
        <v>20704808</v>
      </c>
      <c r="E60" s="22">
        <f>D60-C60</f>
        <v>-895412</v>
      </c>
      <c r="F60" s="306">
        <f>IF(C60=0,0,E60/C60)</f>
        <v>-4.1453837044252324E-2</v>
      </c>
    </row>
    <row r="61" spans="1:6" ht="24" customHeight="1" x14ac:dyDescent="0.25">
      <c r="A61" s="307"/>
      <c r="B61" s="308" t="s">
        <v>58</v>
      </c>
      <c r="C61" s="309">
        <f>SUM(C59:C60)</f>
        <v>21600220</v>
      </c>
      <c r="D61" s="309">
        <f>SUM(D59:D60)</f>
        <v>20704808</v>
      </c>
      <c r="E61" s="309">
        <f>D61-C61</f>
        <v>-895412</v>
      </c>
      <c r="F61" s="310">
        <f>IF(C61=0,0,E61/C61)</f>
        <v>-4.1453837044252324E-2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1268000</v>
      </c>
      <c r="D63" s="22">
        <v>1450000</v>
      </c>
      <c r="E63" s="22">
        <f>D63-C63</f>
        <v>182000</v>
      </c>
      <c r="F63" s="306">
        <f>IF(C63=0,0,E63/C63)</f>
        <v>0.14353312302839116</v>
      </c>
    </row>
    <row r="64" spans="1:6" ht="24" customHeight="1" x14ac:dyDescent="0.2">
      <c r="A64" s="304">
        <v>4</v>
      </c>
      <c r="B64" s="305" t="s">
        <v>60</v>
      </c>
      <c r="C64" s="22">
        <v>554304</v>
      </c>
      <c r="D64" s="22">
        <v>508824</v>
      </c>
      <c r="E64" s="22">
        <f>D64-C64</f>
        <v>-45480</v>
      </c>
      <c r="F64" s="306">
        <f>IF(C64=0,0,E64/C64)</f>
        <v>-8.2048839625909253E-2</v>
      </c>
    </row>
    <row r="65" spans="1:6" ht="24" customHeight="1" x14ac:dyDescent="0.25">
      <c r="A65" s="307"/>
      <c r="B65" s="308" t="s">
        <v>61</v>
      </c>
      <c r="C65" s="309">
        <f>SUM(C61:C64)</f>
        <v>23422524</v>
      </c>
      <c r="D65" s="309">
        <f>SUM(D61:D64)</f>
        <v>22663632</v>
      </c>
      <c r="E65" s="309">
        <f>D65-C65</f>
        <v>-758892</v>
      </c>
      <c r="F65" s="310">
        <f>IF(C65=0,0,E65/C65)</f>
        <v>-3.2400094883027974E-2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250000</v>
      </c>
      <c r="D67" s="22">
        <v>250000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17604993</v>
      </c>
      <c r="D70" s="22">
        <v>16068631</v>
      </c>
      <c r="E70" s="22">
        <f>D70-C70</f>
        <v>-1536362</v>
      </c>
      <c r="F70" s="306">
        <f>IF(C70=0,0,E70/C70)</f>
        <v>-8.7268537965337442E-2</v>
      </c>
    </row>
    <row r="71" spans="1:6" ht="24" customHeight="1" x14ac:dyDescent="0.2">
      <c r="A71" s="304">
        <v>2</v>
      </c>
      <c r="B71" s="305" t="s">
        <v>65</v>
      </c>
      <c r="C71" s="22">
        <v>0</v>
      </c>
      <c r="D71" s="22">
        <v>0</v>
      </c>
      <c r="E71" s="22">
        <f>D71-C71</f>
        <v>0</v>
      </c>
      <c r="F71" s="306">
        <f>IF(C71=0,0,E71/C71)</f>
        <v>0</v>
      </c>
    </row>
    <row r="72" spans="1:6" ht="24" customHeight="1" x14ac:dyDescent="0.2">
      <c r="A72" s="304">
        <v>3</v>
      </c>
      <c r="B72" s="305" t="s">
        <v>66</v>
      </c>
      <c r="C72" s="22">
        <v>0</v>
      </c>
      <c r="D72" s="22">
        <v>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17604993</v>
      </c>
      <c r="D73" s="309">
        <f>SUM(D70:D72)</f>
        <v>16068631</v>
      </c>
      <c r="E73" s="309">
        <f>D73-C73</f>
        <v>-1536362</v>
      </c>
      <c r="F73" s="310">
        <f>IF(C73=0,0,E73/C73)</f>
        <v>-8.7268537965337442E-2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47626924</v>
      </c>
      <c r="D75" s="309">
        <f>D56+D65+D67+D73</f>
        <v>44528599</v>
      </c>
      <c r="E75" s="309">
        <f>D75-C75</f>
        <v>-3098325</v>
      </c>
      <c r="F75" s="310">
        <f>IF(C75=0,0,E75/C75)</f>
        <v>-6.5054064797466241E-2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FILING&amp;RSHARON HOSPITAL HOLDING CO,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161643985</v>
      </c>
      <c r="D11" s="76">
        <v>159429171</v>
      </c>
      <c r="E11" s="76">
        <f t="shared" ref="E11:E20" si="0">D11-C11</f>
        <v>-2214814</v>
      </c>
      <c r="F11" s="77">
        <f t="shared" ref="F11:F20" si="1">IF(C11=0,0,E11/C11)</f>
        <v>-1.3701802761172957E-2</v>
      </c>
    </row>
    <row r="12" spans="1:7" ht="23.1" customHeight="1" x14ac:dyDescent="0.2">
      <c r="A12" s="74">
        <v>2</v>
      </c>
      <c r="B12" s="75" t="s">
        <v>72</v>
      </c>
      <c r="C12" s="76">
        <v>97303651</v>
      </c>
      <c r="D12" s="76">
        <v>99028534</v>
      </c>
      <c r="E12" s="76">
        <f t="shared" si="0"/>
        <v>1724883</v>
      </c>
      <c r="F12" s="77">
        <f t="shared" si="1"/>
        <v>1.7726806571728742E-2</v>
      </c>
    </row>
    <row r="13" spans="1:7" ht="23.1" customHeight="1" x14ac:dyDescent="0.2">
      <c r="A13" s="74">
        <v>3</v>
      </c>
      <c r="B13" s="75" t="s">
        <v>73</v>
      </c>
      <c r="C13" s="76">
        <v>941923</v>
      </c>
      <c r="D13" s="76">
        <v>892961</v>
      </c>
      <c r="E13" s="76">
        <f t="shared" si="0"/>
        <v>-48962</v>
      </c>
      <c r="F13" s="77">
        <f t="shared" si="1"/>
        <v>-5.1980894404319675E-2</v>
      </c>
    </row>
    <row r="14" spans="1:7" ht="23.1" customHeight="1" x14ac:dyDescent="0.2">
      <c r="A14" s="74">
        <v>4</v>
      </c>
      <c r="B14" s="75" t="s">
        <v>74</v>
      </c>
      <c r="C14" s="76">
        <v>682983</v>
      </c>
      <c r="D14" s="76">
        <v>745840</v>
      </c>
      <c r="E14" s="76">
        <f t="shared" si="0"/>
        <v>62857</v>
      </c>
      <c r="F14" s="77">
        <f t="shared" si="1"/>
        <v>9.2033037425528888E-2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62715428</v>
      </c>
      <c r="D15" s="79">
        <f>D11-D12-D13-D14</f>
        <v>58761836</v>
      </c>
      <c r="E15" s="79">
        <f t="shared" si="0"/>
        <v>-3953592</v>
      </c>
      <c r="F15" s="80">
        <f t="shared" si="1"/>
        <v>-6.3040182074496881E-2</v>
      </c>
    </row>
    <row r="16" spans="1:7" ht="23.1" customHeight="1" x14ac:dyDescent="0.2">
      <c r="A16" s="74">
        <v>5</v>
      </c>
      <c r="B16" s="75" t="s">
        <v>76</v>
      </c>
      <c r="C16" s="76">
        <v>2466684</v>
      </c>
      <c r="D16" s="76">
        <v>2651594</v>
      </c>
      <c r="E16" s="76">
        <f t="shared" si="0"/>
        <v>184910</v>
      </c>
      <c r="F16" s="77">
        <f t="shared" si="1"/>
        <v>7.4962986746579613E-2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60248744</v>
      </c>
      <c r="D17" s="79">
        <f>D15-D16</f>
        <v>56110242</v>
      </c>
      <c r="E17" s="79">
        <f t="shared" si="0"/>
        <v>-4138502</v>
      </c>
      <c r="F17" s="80">
        <f t="shared" si="1"/>
        <v>-6.8690261825209167E-2</v>
      </c>
    </row>
    <row r="18" spans="1:7" ht="23.1" customHeight="1" x14ac:dyDescent="0.2">
      <c r="A18" s="74">
        <v>6</v>
      </c>
      <c r="B18" s="75" t="s">
        <v>78</v>
      </c>
      <c r="C18" s="76">
        <v>429185</v>
      </c>
      <c r="D18" s="76">
        <v>1205475</v>
      </c>
      <c r="E18" s="76">
        <f t="shared" si="0"/>
        <v>776290</v>
      </c>
      <c r="F18" s="77">
        <f t="shared" si="1"/>
        <v>1.8087538008085091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60677929</v>
      </c>
      <c r="D20" s="79">
        <f>SUM(D17:D19)</f>
        <v>57315717</v>
      </c>
      <c r="E20" s="79">
        <f t="shared" si="0"/>
        <v>-3362212</v>
      </c>
      <c r="F20" s="80">
        <f t="shared" si="1"/>
        <v>-5.5410790305648036E-2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22702349</v>
      </c>
      <c r="D23" s="76">
        <v>22975001</v>
      </c>
      <c r="E23" s="76">
        <f t="shared" ref="E23:E32" si="2">D23-C23</f>
        <v>272652</v>
      </c>
      <c r="F23" s="77">
        <f t="shared" ref="F23:F32" si="3">IF(C23=0,0,E23/C23)</f>
        <v>1.200985853930798E-2</v>
      </c>
    </row>
    <row r="24" spans="1:7" ht="23.1" customHeight="1" x14ac:dyDescent="0.2">
      <c r="A24" s="74">
        <v>2</v>
      </c>
      <c r="B24" s="75" t="s">
        <v>83</v>
      </c>
      <c r="C24" s="76">
        <v>4568997</v>
      </c>
      <c r="D24" s="76">
        <v>4537331</v>
      </c>
      <c r="E24" s="76">
        <f t="shared" si="2"/>
        <v>-31666</v>
      </c>
      <c r="F24" s="77">
        <f t="shared" si="3"/>
        <v>-6.9306239421912516E-3</v>
      </c>
    </row>
    <row r="25" spans="1:7" ht="23.1" customHeight="1" x14ac:dyDescent="0.2">
      <c r="A25" s="74">
        <v>3</v>
      </c>
      <c r="B25" s="75" t="s">
        <v>84</v>
      </c>
      <c r="C25" s="76">
        <v>2260982</v>
      </c>
      <c r="D25" s="76">
        <v>2741068</v>
      </c>
      <c r="E25" s="76">
        <f t="shared" si="2"/>
        <v>480086</v>
      </c>
      <c r="F25" s="77">
        <f t="shared" si="3"/>
        <v>0.21233517117783335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6890427</v>
      </c>
      <c r="D26" s="76">
        <v>6326695</v>
      </c>
      <c r="E26" s="76">
        <f t="shared" si="2"/>
        <v>-563732</v>
      </c>
      <c r="F26" s="77">
        <f t="shared" si="3"/>
        <v>-8.1813797606447317E-2</v>
      </c>
    </row>
    <row r="27" spans="1:7" ht="23.1" customHeight="1" x14ac:dyDescent="0.2">
      <c r="A27" s="74">
        <v>5</v>
      </c>
      <c r="B27" s="75" t="s">
        <v>86</v>
      </c>
      <c r="C27" s="76">
        <v>2992573</v>
      </c>
      <c r="D27" s="76">
        <v>2576361</v>
      </c>
      <c r="E27" s="76">
        <f t="shared" si="2"/>
        <v>-416212</v>
      </c>
      <c r="F27" s="77">
        <f t="shared" si="3"/>
        <v>-0.13908165314597171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-5555</v>
      </c>
      <c r="D29" s="76">
        <v>11263</v>
      </c>
      <c r="E29" s="76">
        <f t="shared" si="2"/>
        <v>16818</v>
      </c>
      <c r="F29" s="77">
        <f t="shared" si="3"/>
        <v>-3.0275427542754274</v>
      </c>
    </row>
    <row r="30" spans="1:7" ht="23.1" customHeight="1" x14ac:dyDescent="0.2">
      <c r="A30" s="74">
        <v>8</v>
      </c>
      <c r="B30" s="75" t="s">
        <v>89</v>
      </c>
      <c r="C30" s="76">
        <v>1146183</v>
      </c>
      <c r="D30" s="76">
        <v>1435297</v>
      </c>
      <c r="E30" s="76">
        <f t="shared" si="2"/>
        <v>289114</v>
      </c>
      <c r="F30" s="77">
        <f t="shared" si="3"/>
        <v>0.25224069803862037</v>
      </c>
    </row>
    <row r="31" spans="1:7" ht="23.1" customHeight="1" x14ac:dyDescent="0.2">
      <c r="A31" s="74">
        <v>9</v>
      </c>
      <c r="B31" s="75" t="s">
        <v>90</v>
      </c>
      <c r="C31" s="76">
        <v>18597746</v>
      </c>
      <c r="D31" s="76">
        <v>18123045</v>
      </c>
      <c r="E31" s="76">
        <f t="shared" si="2"/>
        <v>-474701</v>
      </c>
      <c r="F31" s="77">
        <f t="shared" si="3"/>
        <v>-2.5524652288508511E-2</v>
      </c>
    </row>
    <row r="32" spans="1:7" ht="23.1" customHeight="1" x14ac:dyDescent="0.25">
      <c r="A32" s="71"/>
      <c r="B32" s="78" t="s">
        <v>91</v>
      </c>
      <c r="C32" s="79">
        <f>SUM(C23:C31)</f>
        <v>59153702</v>
      </c>
      <c r="D32" s="79">
        <f>SUM(D23:D31)</f>
        <v>58726061</v>
      </c>
      <c r="E32" s="79">
        <f t="shared" si="2"/>
        <v>-427641</v>
      </c>
      <c r="F32" s="80">
        <f t="shared" si="3"/>
        <v>-7.2293193078600557E-3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1524227</v>
      </c>
      <c r="D34" s="79">
        <f>+D20-D32</f>
        <v>-1410344</v>
      </c>
      <c r="E34" s="79">
        <f>D34-C34</f>
        <v>-2934571</v>
      </c>
      <c r="F34" s="80">
        <f>IF(C34=0,0,E34/C34)</f>
        <v>-1.9252847508934037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0</v>
      </c>
      <c r="D40" s="79">
        <f>SUM(D37:D39)</f>
        <v>0</v>
      </c>
      <c r="E40" s="79">
        <f>D40-C40</f>
        <v>0</v>
      </c>
      <c r="F40" s="80">
        <f>IF(C40=0,0,E40/C40)</f>
        <v>0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1524227</v>
      </c>
      <c r="D42" s="79">
        <f>D34+D40</f>
        <v>-1410344</v>
      </c>
      <c r="E42" s="79">
        <f>D42-C42</f>
        <v>-2934571</v>
      </c>
      <c r="F42" s="80">
        <f>IF(C42=0,0,E42/C42)</f>
        <v>-1.9252847508934037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1524227</v>
      </c>
      <c r="D49" s="79">
        <f>D42+D47</f>
        <v>-1410344</v>
      </c>
      <c r="E49" s="79">
        <f>D49-C49</f>
        <v>-2934571</v>
      </c>
      <c r="F49" s="80">
        <f>IF(C49=0,0,E49/C49)</f>
        <v>-1.9252847508934037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2015-07-07T12:13:16Z</cp:lastPrinted>
  <dcterms:created xsi:type="dcterms:W3CDTF">2015-07-07T12:09:07Z</dcterms:created>
  <dcterms:modified xsi:type="dcterms:W3CDTF">2015-07-07T12:13:25Z</dcterms:modified>
</cp:coreProperties>
</file>