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E101" i="22"/>
  <c r="D83" i="22"/>
  <c r="D102" i="22"/>
  <c r="C83" i="22"/>
  <c r="C101" i="22" s="1"/>
  <c r="E76" i="22"/>
  <c r="D76" i="22"/>
  <c r="C76" i="22"/>
  <c r="E75" i="22"/>
  <c r="E77" i="22" s="1"/>
  <c r="D75" i="22"/>
  <c r="D77" i="22" s="1"/>
  <c r="D109" i="22" s="1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/>
  <c r="D21" i="21"/>
  <c r="E21" i="21" s="1"/>
  <c r="C21" i="21"/>
  <c r="D19" i="21"/>
  <c r="C19" i="21"/>
  <c r="F17" i="21"/>
  <c r="E17" i="21"/>
  <c r="E15" i="21"/>
  <c r="F15" i="21" s="1"/>
  <c r="D45" i="20"/>
  <c r="C45" i="20"/>
  <c r="D44" i="20"/>
  <c r="E44" i="20" s="1"/>
  <c r="C44" i="20"/>
  <c r="F44" i="20" s="1"/>
  <c r="D43" i="20"/>
  <c r="D46" i="20"/>
  <c r="C43" i="20"/>
  <c r="D36" i="20"/>
  <c r="D40" i="20" s="1"/>
  <c r="E40" i="20" s="1"/>
  <c r="C36" i="20"/>
  <c r="C40" i="20"/>
  <c r="F35" i="20"/>
  <c r="E35" i="20"/>
  <c r="E34" i="20"/>
  <c r="F33" i="20"/>
  <c r="E33" i="20"/>
  <c r="F30" i="20"/>
  <c r="E30" i="20"/>
  <c r="F29" i="20"/>
  <c r="E29" i="20"/>
  <c r="F28" i="20"/>
  <c r="E28" i="20"/>
  <c r="E27" i="20"/>
  <c r="F27" i="20" s="1"/>
  <c r="D25" i="20"/>
  <c r="D39" i="20" s="1"/>
  <c r="C25" i="20"/>
  <c r="C39" i="20" s="1"/>
  <c r="F24" i="20"/>
  <c r="E24" i="20"/>
  <c r="E23" i="20"/>
  <c r="F23" i="20" s="1"/>
  <c r="F22" i="20"/>
  <c r="E22" i="20"/>
  <c r="E25" i="20"/>
  <c r="D19" i="20"/>
  <c r="D20" i="20" s="1"/>
  <c r="C19" i="20"/>
  <c r="C20" i="20"/>
  <c r="E18" i="20"/>
  <c r="F18" i="20" s="1"/>
  <c r="D16" i="20"/>
  <c r="E16" i="20" s="1"/>
  <c r="C16" i="20"/>
  <c r="E15" i="20"/>
  <c r="F15" i="20" s="1"/>
  <c r="E13" i="20"/>
  <c r="F13" i="20" s="1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65" i="19"/>
  <c r="C114" i="19" s="1"/>
  <c r="C116" i="19" s="1"/>
  <c r="C119" i="19" s="1"/>
  <c r="C123" i="19" s="1"/>
  <c r="C60" i="19"/>
  <c r="C59" i="19"/>
  <c r="C49" i="19"/>
  <c r="C48" i="19"/>
  <c r="C64" i="19" s="1"/>
  <c r="C36" i="19"/>
  <c r="C32" i="19"/>
  <c r="C33" i="19" s="1"/>
  <c r="C21" i="19"/>
  <c r="C37" i="19"/>
  <c r="C38" i="19" s="1"/>
  <c r="C127" i="19" s="1"/>
  <c r="C129" i="19" s="1"/>
  <c r="C133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E292" i="18" s="1"/>
  <c r="C292" i="18"/>
  <c r="D291" i="18"/>
  <c r="E291" i="18" s="1"/>
  <c r="C291" i="18"/>
  <c r="D290" i="18"/>
  <c r="C290" i="18"/>
  <c r="E290" i="18"/>
  <c r="D288" i="18"/>
  <c r="E288" i="18" s="1"/>
  <c r="C288" i="18"/>
  <c r="D287" i="18"/>
  <c r="E287" i="18" s="1"/>
  <c r="C287" i="18"/>
  <c r="D282" i="18"/>
  <c r="C282" i="18"/>
  <c r="E282" i="18"/>
  <c r="D281" i="18"/>
  <c r="C281" i="18"/>
  <c r="E281" i="18" s="1"/>
  <c r="D280" i="18"/>
  <c r="E280" i="18" s="1"/>
  <c r="C280" i="18"/>
  <c r="D279" i="18"/>
  <c r="E279" i="18"/>
  <c r="C279" i="18"/>
  <c r="D278" i="18"/>
  <c r="E278" i="18" s="1"/>
  <c r="C278" i="18"/>
  <c r="D277" i="18"/>
  <c r="E277" i="18" s="1"/>
  <c r="C277" i="18"/>
  <c r="D276" i="18"/>
  <c r="E276" i="18" s="1"/>
  <c r="C276" i="18"/>
  <c r="E270" i="18"/>
  <c r="D265" i="18"/>
  <c r="D302" i="18" s="1"/>
  <c r="C265" i="18"/>
  <c r="C302" i="18"/>
  <c r="D262" i="18"/>
  <c r="E262" i="18" s="1"/>
  <c r="C262" i="18"/>
  <c r="D251" i="18"/>
  <c r="E251" i="18" s="1"/>
  <c r="C251" i="18"/>
  <c r="D233" i="18"/>
  <c r="C233" i="18"/>
  <c r="D232" i="18"/>
  <c r="E232" i="18" s="1"/>
  <c r="C232" i="18"/>
  <c r="D231" i="18"/>
  <c r="E231" i="18" s="1"/>
  <c r="C231" i="18"/>
  <c r="D230" i="18"/>
  <c r="C230" i="18"/>
  <c r="E230" i="18" s="1"/>
  <c r="D228" i="18"/>
  <c r="C228" i="18"/>
  <c r="D227" i="18"/>
  <c r="E227" i="18" s="1"/>
  <c r="C227" i="18"/>
  <c r="D221" i="18"/>
  <c r="D245" i="18"/>
  <c r="C221" i="18"/>
  <c r="C245" i="18"/>
  <c r="D220" i="18"/>
  <c r="D244" i="18" s="1"/>
  <c r="C220" i="18"/>
  <c r="C244" i="18" s="1"/>
  <c r="D219" i="18"/>
  <c r="D243" i="18"/>
  <c r="C219" i="18"/>
  <c r="C243" i="18"/>
  <c r="D218" i="18"/>
  <c r="C218" i="18"/>
  <c r="C242" i="18" s="1"/>
  <c r="D216" i="18"/>
  <c r="D240" i="18" s="1"/>
  <c r="E240" i="18"/>
  <c r="C216" i="18"/>
  <c r="C240" i="18" s="1"/>
  <c r="D215" i="18"/>
  <c r="D239" i="18" s="1"/>
  <c r="E239" i="18" s="1"/>
  <c r="C215" i="18"/>
  <c r="C239" i="18" s="1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D261" i="18"/>
  <c r="C188" i="18"/>
  <c r="E186" i="18"/>
  <c r="E185" i="18"/>
  <c r="D179" i="18"/>
  <c r="E179" i="18" s="1"/>
  <c r="C179" i="18"/>
  <c r="D178" i="18"/>
  <c r="E178" i="18"/>
  <c r="C178" i="18"/>
  <c r="D177" i="18"/>
  <c r="E177" i="18" s="1"/>
  <c r="C177" i="18"/>
  <c r="D176" i="18"/>
  <c r="E176" i="18" s="1"/>
  <c r="C176" i="18"/>
  <c r="C175" i="18"/>
  <c r="D174" i="18"/>
  <c r="E174" i="18"/>
  <c r="C174" i="18"/>
  <c r="D173" i="18"/>
  <c r="E173" i="18" s="1"/>
  <c r="C173" i="18"/>
  <c r="D167" i="18"/>
  <c r="E167" i="18"/>
  <c r="C167" i="18"/>
  <c r="D166" i="18"/>
  <c r="C166" i="18"/>
  <c r="D165" i="18"/>
  <c r="E165" i="18" s="1"/>
  <c r="C165" i="18"/>
  <c r="D164" i="18"/>
  <c r="C164" i="18"/>
  <c r="E164" i="18"/>
  <c r="D162" i="18"/>
  <c r="E162" i="18" s="1"/>
  <c r="C162" i="18"/>
  <c r="D161" i="18"/>
  <c r="C161" i="18"/>
  <c r="E161" i="18" s="1"/>
  <c r="D157" i="18"/>
  <c r="E155" i="18"/>
  <c r="E154" i="18"/>
  <c r="E153" i="18"/>
  <c r="E152" i="18"/>
  <c r="D151" i="18"/>
  <c r="D156" i="18" s="1"/>
  <c r="C151" i="18"/>
  <c r="C156" i="18" s="1"/>
  <c r="E150" i="18"/>
  <c r="E149" i="18"/>
  <c r="E143" i="18"/>
  <c r="E142" i="18"/>
  <c r="E141" i="18"/>
  <c r="E140" i="18"/>
  <c r="D139" i="18"/>
  <c r="D163" i="18"/>
  <c r="C139" i="18"/>
  <c r="C144" i="18" s="1"/>
  <c r="E138" i="18"/>
  <c r="E137" i="18"/>
  <c r="D75" i="18"/>
  <c r="E75" i="18" s="1"/>
  <c r="C75" i="18"/>
  <c r="D74" i="18"/>
  <c r="E74" i="18" s="1"/>
  <c r="C74" i="18"/>
  <c r="D73" i="18"/>
  <c r="C73" i="18"/>
  <c r="E73" i="18"/>
  <c r="D72" i="18"/>
  <c r="E72" i="18"/>
  <c r="C72" i="18"/>
  <c r="C71" i="18"/>
  <c r="C76" i="18" s="1"/>
  <c r="D70" i="18"/>
  <c r="C70" i="18"/>
  <c r="D69" i="18"/>
  <c r="C69" i="18"/>
  <c r="C65" i="18"/>
  <c r="C66" i="18" s="1"/>
  <c r="C295" i="18" s="1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E40" i="18"/>
  <c r="C40" i="18"/>
  <c r="D39" i="18"/>
  <c r="E39" i="18" s="1"/>
  <c r="C39" i="18"/>
  <c r="D38" i="18"/>
  <c r="E38" i="18" s="1"/>
  <c r="C38" i="18"/>
  <c r="D37" i="18"/>
  <c r="C37" i="18"/>
  <c r="C43" i="18" s="1"/>
  <c r="D36" i="18"/>
  <c r="E36" i="18" s="1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E330" i="17"/>
  <c r="F330" i="17" s="1"/>
  <c r="F329" i="17"/>
  <c r="E329" i="17"/>
  <c r="F316" i="17"/>
  <c r="E316" i="17"/>
  <c r="D311" i="17"/>
  <c r="E311" i="17" s="1"/>
  <c r="C311" i="17"/>
  <c r="F311" i="17"/>
  <c r="E308" i="17"/>
  <c r="F308" i="17" s="1"/>
  <c r="D307" i="17"/>
  <c r="E307" i="17" s="1"/>
  <c r="F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 s="1"/>
  <c r="C250" i="17"/>
  <c r="C306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E238" i="17"/>
  <c r="F238" i="17"/>
  <c r="C238" i="17"/>
  <c r="D237" i="17"/>
  <c r="C237" i="17"/>
  <c r="E234" i="17"/>
  <c r="F234" i="17" s="1"/>
  <c r="F233" i="17"/>
  <c r="E233" i="17"/>
  <c r="D230" i="17"/>
  <c r="E230" i="17" s="1"/>
  <c r="F230" i="17" s="1"/>
  <c r="C230" i="17"/>
  <c r="D229" i="17"/>
  <c r="E229" i="17" s="1"/>
  <c r="F229" i="17" s="1"/>
  <c r="C229" i="17"/>
  <c r="F228" i="17"/>
  <c r="E228" i="17"/>
  <c r="D226" i="17"/>
  <c r="E226" i="17" s="1"/>
  <c r="F226" i="17"/>
  <c r="C226" i="17"/>
  <c r="C227" i="17" s="1"/>
  <c r="E225" i="17"/>
  <c r="F225" i="17" s="1"/>
  <c r="E224" i="17"/>
  <c r="F224" i="17" s="1"/>
  <c r="D223" i="17"/>
  <c r="E223" i="17"/>
  <c r="F223" i="17"/>
  <c r="C223" i="17"/>
  <c r="E222" i="17"/>
  <c r="F222" i="17" s="1"/>
  <c r="E221" i="17"/>
  <c r="F221" i="17" s="1"/>
  <c r="D204" i="17"/>
  <c r="C204" i="17"/>
  <c r="C285" i="17"/>
  <c r="D203" i="17"/>
  <c r="C203" i="17"/>
  <c r="C283" i="17"/>
  <c r="D198" i="17"/>
  <c r="C198" i="17"/>
  <c r="C290" i="17" s="1"/>
  <c r="D191" i="17"/>
  <c r="C191" i="17"/>
  <c r="C280" i="17" s="1"/>
  <c r="D189" i="17"/>
  <c r="C189" i="17"/>
  <c r="D188" i="17"/>
  <c r="C188" i="17"/>
  <c r="D180" i="17"/>
  <c r="C180" i="17"/>
  <c r="D179" i="17"/>
  <c r="D181" i="17" s="1"/>
  <c r="E181" i="17" s="1"/>
  <c r="C179" i="17"/>
  <c r="C181" i="17" s="1"/>
  <c r="D171" i="17"/>
  <c r="D172" i="17" s="1"/>
  <c r="C171" i="17"/>
  <c r="C172" i="17"/>
  <c r="D170" i="17"/>
  <c r="C170" i="17"/>
  <c r="E169" i="17"/>
  <c r="F169" i="17" s="1"/>
  <c r="E168" i="17"/>
  <c r="F168" i="17" s="1"/>
  <c r="D165" i="17"/>
  <c r="C165" i="17"/>
  <c r="D164" i="17"/>
  <c r="C164" i="17"/>
  <c r="E163" i="17"/>
  <c r="F163" i="17" s="1"/>
  <c r="D158" i="17"/>
  <c r="D159" i="17" s="1"/>
  <c r="C158" i="17"/>
  <c r="C159" i="17"/>
  <c r="E157" i="17"/>
  <c r="F157" i="17" s="1"/>
  <c r="E156" i="17"/>
  <c r="F156" i="17" s="1"/>
  <c r="D155" i="17"/>
  <c r="C155" i="17"/>
  <c r="E155" i="17"/>
  <c r="E154" i="17"/>
  <c r="F154" i="17" s="1"/>
  <c r="E153" i="17"/>
  <c r="F153" i="17"/>
  <c r="D145" i="17"/>
  <c r="C145" i="17"/>
  <c r="E145" i="17" s="1"/>
  <c r="D144" i="17"/>
  <c r="D146" i="17"/>
  <c r="C144" i="17"/>
  <c r="C146" i="17" s="1"/>
  <c r="D136" i="17"/>
  <c r="D137" i="17" s="1"/>
  <c r="C136" i="17"/>
  <c r="C137" i="17" s="1"/>
  <c r="D135" i="17"/>
  <c r="E135" i="17" s="1"/>
  <c r="C135" i="17"/>
  <c r="E134" i="17"/>
  <c r="F134" i="17"/>
  <c r="E133" i="17"/>
  <c r="F133" i="17"/>
  <c r="D130" i="17"/>
  <c r="C130" i="17"/>
  <c r="E130" i="17"/>
  <c r="D129" i="17"/>
  <c r="E129" i="17" s="1"/>
  <c r="C129" i="17"/>
  <c r="E128" i="17"/>
  <c r="F128" i="17"/>
  <c r="D123" i="17"/>
  <c r="D192" i="17"/>
  <c r="C123" i="17"/>
  <c r="E122" i="17"/>
  <c r="F122" i="17" s="1"/>
  <c r="E121" i="17"/>
  <c r="F121" i="17" s="1"/>
  <c r="D120" i="17"/>
  <c r="C120" i="17"/>
  <c r="E119" i="17"/>
  <c r="F119" i="17"/>
  <c r="E118" i="17"/>
  <c r="F118" i="17" s="1"/>
  <c r="D110" i="17"/>
  <c r="C110" i="17"/>
  <c r="D109" i="17"/>
  <c r="D111" i="17" s="1"/>
  <c r="E111" i="17" s="1"/>
  <c r="C109" i="17"/>
  <c r="C111" i="17" s="1"/>
  <c r="D101" i="17"/>
  <c r="D102" i="17"/>
  <c r="C101" i="17"/>
  <c r="C102" i="17"/>
  <c r="D100" i="17"/>
  <c r="C100" i="17"/>
  <c r="E99" i="17"/>
  <c r="F99" i="17" s="1"/>
  <c r="E98" i="17"/>
  <c r="F98" i="17"/>
  <c r="D95" i="17"/>
  <c r="C95" i="17"/>
  <c r="D94" i="17"/>
  <c r="C94" i="17"/>
  <c r="E93" i="17"/>
  <c r="F93" i="17" s="1"/>
  <c r="D88" i="17"/>
  <c r="D89" i="17"/>
  <c r="C88" i="17"/>
  <c r="C89" i="17"/>
  <c r="E87" i="17"/>
  <c r="F87" i="17"/>
  <c r="E86" i="17"/>
  <c r="F86" i="17" s="1"/>
  <c r="D85" i="17"/>
  <c r="C85" i="17"/>
  <c r="E85" i="17" s="1"/>
  <c r="E84" i="17"/>
  <c r="F84" i="17" s="1"/>
  <c r="E83" i="17"/>
  <c r="F83" i="17"/>
  <c r="D76" i="17"/>
  <c r="D77" i="17" s="1"/>
  <c r="C76" i="17"/>
  <c r="C77" i="17" s="1"/>
  <c r="F74" i="17"/>
  <c r="E74" i="17"/>
  <c r="F73" i="17"/>
  <c r="E73" i="17"/>
  <c r="D67" i="17"/>
  <c r="E67" i="17" s="1"/>
  <c r="C67" i="17"/>
  <c r="F67" i="17" s="1"/>
  <c r="D66" i="17"/>
  <c r="D68" i="17" s="1"/>
  <c r="C66" i="17"/>
  <c r="C68" i="17"/>
  <c r="D59" i="17"/>
  <c r="D60" i="17" s="1"/>
  <c r="C59" i="17"/>
  <c r="C60" i="17" s="1"/>
  <c r="D58" i="17"/>
  <c r="C58" i="17"/>
  <c r="E57" i="17"/>
  <c r="F57" i="17" s="1"/>
  <c r="E56" i="17"/>
  <c r="F56" i="17"/>
  <c r="D53" i="17"/>
  <c r="E53" i="17" s="1"/>
  <c r="F53" i="17" s="1"/>
  <c r="C53" i="17"/>
  <c r="D52" i="17"/>
  <c r="E52" i="17" s="1"/>
  <c r="C52" i="17"/>
  <c r="F52" i="17" s="1"/>
  <c r="E51" i="17"/>
  <c r="F51" i="17" s="1"/>
  <c r="D47" i="17"/>
  <c r="D48" i="17"/>
  <c r="C47" i="17"/>
  <c r="C48" i="17" s="1"/>
  <c r="E46" i="17"/>
  <c r="F46" i="17"/>
  <c r="E45" i="17"/>
  <c r="F45" i="17" s="1"/>
  <c r="D44" i="17"/>
  <c r="E44" i="17" s="1"/>
  <c r="F44" i="17" s="1"/>
  <c r="C44" i="17"/>
  <c r="E43" i="17"/>
  <c r="F43" i="17"/>
  <c r="E42" i="17"/>
  <c r="F42" i="17" s="1"/>
  <c r="D36" i="17"/>
  <c r="D37" i="17" s="1"/>
  <c r="E36" i="17"/>
  <c r="F36" i="17" s="1"/>
  <c r="C36" i="17"/>
  <c r="D35" i="17"/>
  <c r="C35" i="17"/>
  <c r="D30" i="17"/>
  <c r="D31" i="17"/>
  <c r="C30" i="17"/>
  <c r="C31" i="17" s="1"/>
  <c r="D29" i="17"/>
  <c r="C29" i="17"/>
  <c r="E28" i="17"/>
  <c r="F28" i="17"/>
  <c r="E27" i="17"/>
  <c r="F27" i="17" s="1"/>
  <c r="D24" i="17"/>
  <c r="E24" i="17" s="1"/>
  <c r="C24" i="17"/>
  <c r="D23" i="17"/>
  <c r="E23" i="17"/>
  <c r="F23" i="17"/>
  <c r="C23" i="17"/>
  <c r="E22" i="17"/>
  <c r="F22" i="17" s="1"/>
  <c r="D20" i="17"/>
  <c r="E20" i="17"/>
  <c r="C20" i="17"/>
  <c r="E19" i="17"/>
  <c r="F19" i="17" s="1"/>
  <c r="E18" i="17"/>
  <c r="F18" i="17" s="1"/>
  <c r="D17" i="17"/>
  <c r="E17" i="17"/>
  <c r="C17" i="17"/>
  <c r="E16" i="17"/>
  <c r="F16" i="17" s="1"/>
  <c r="E15" i="17"/>
  <c r="F15" i="17" s="1"/>
  <c r="D21" i="16"/>
  <c r="E21" i="16"/>
  <c r="C21" i="16"/>
  <c r="F20" i="16"/>
  <c r="E20" i="16"/>
  <c r="D17" i="16"/>
  <c r="E17" i="16" s="1"/>
  <c r="C17" i="16"/>
  <c r="E16" i="16"/>
  <c r="F16" i="16" s="1"/>
  <c r="D13" i="16"/>
  <c r="E13" i="16" s="1"/>
  <c r="F13" i="16" s="1"/>
  <c r="C13" i="16"/>
  <c r="E12" i="16"/>
  <c r="F12" i="16" s="1"/>
  <c r="D107" i="15"/>
  <c r="E107" i="15"/>
  <c r="F107" i="15" s="1"/>
  <c r="C107" i="15"/>
  <c r="F106" i="15"/>
  <c r="E106" i="15"/>
  <c r="F105" i="15"/>
  <c r="E105" i="15"/>
  <c r="E104" i="15"/>
  <c r="F104" i="15" s="1"/>
  <c r="D100" i="15"/>
  <c r="E100" i="15" s="1"/>
  <c r="F100" i="15" s="1"/>
  <c r="C100" i="15"/>
  <c r="E99" i="15"/>
  <c r="F99" i="15" s="1"/>
  <c r="F98" i="15"/>
  <c r="E98" i="15"/>
  <c r="F97" i="15"/>
  <c r="E97" i="15"/>
  <c r="F96" i="15"/>
  <c r="E96" i="15"/>
  <c r="E95" i="15"/>
  <c r="F95" i="15" s="1"/>
  <c r="D92" i="15"/>
  <c r="E92" i="15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F73" i="15"/>
  <c r="E73" i="15"/>
  <c r="D70" i="15"/>
  <c r="E70" i="15"/>
  <c r="C70" i="15"/>
  <c r="F69" i="15"/>
  <c r="E69" i="15"/>
  <c r="F68" i="15"/>
  <c r="E68" i="15"/>
  <c r="D65" i="15"/>
  <c r="E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 s="1"/>
  <c r="D55" i="15"/>
  <c r="E55" i="15" s="1"/>
  <c r="C55" i="15"/>
  <c r="F55" i="15" s="1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E45" i="15" s="1"/>
  <c r="C45" i="15"/>
  <c r="F45" i="15" s="1"/>
  <c r="F44" i="15"/>
  <c r="E44" i="15"/>
  <c r="F43" i="15"/>
  <c r="E43" i="15"/>
  <c r="D37" i="15"/>
  <c r="E37" i="15" s="1"/>
  <c r="C37" i="15"/>
  <c r="F37" i="15" s="1"/>
  <c r="F36" i="15"/>
  <c r="E36" i="15"/>
  <c r="F35" i="15"/>
  <c r="E35" i="15"/>
  <c r="F34" i="15"/>
  <c r="E34" i="15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E21" i="15"/>
  <c r="F21" i="15" s="1"/>
  <c r="E20" i="15"/>
  <c r="F20" i="15" s="1"/>
  <c r="E19" i="15"/>
  <c r="F19" i="15" s="1"/>
  <c r="D16" i="15"/>
  <c r="E16" i="15" s="1"/>
  <c r="C16" i="15"/>
  <c r="F16" i="15" s="1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/>
  <c r="H33" i="14" s="1"/>
  <c r="H36" i="14" s="1"/>
  <c r="E17" i="14"/>
  <c r="E31" i="14"/>
  <c r="D17" i="14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C80" i="13" s="1"/>
  <c r="C77" i="13" s="1"/>
  <c r="E73" i="13"/>
  <c r="E75" i="13"/>
  <c r="D73" i="13"/>
  <c r="D75" i="13" s="1"/>
  <c r="C73" i="13"/>
  <c r="C75" i="13"/>
  <c r="E71" i="13"/>
  <c r="D71" i="13"/>
  <c r="C71" i="13"/>
  <c r="E66" i="13"/>
  <c r="D66" i="13"/>
  <c r="D65" i="13" s="1"/>
  <c r="C66" i="13"/>
  <c r="C65" i="13" s="1"/>
  <c r="E65" i="13"/>
  <c r="E60" i="13"/>
  <c r="D60" i="13"/>
  <c r="C60" i="13"/>
  <c r="D59" i="13"/>
  <c r="D61" i="13" s="1"/>
  <c r="D57" i="13" s="1"/>
  <c r="E58" i="13"/>
  <c r="D58" i="13"/>
  <c r="C58" i="13"/>
  <c r="E55" i="13"/>
  <c r="D55" i="13"/>
  <c r="C55" i="13"/>
  <c r="C50" i="13" s="1"/>
  <c r="E54" i="13"/>
  <c r="E50" i="13" s="1"/>
  <c r="D54" i="13"/>
  <c r="D50" i="13" s="1"/>
  <c r="C54" i="13"/>
  <c r="D48" i="13"/>
  <c r="D42" i="13"/>
  <c r="E46" i="13"/>
  <c r="E59" i="13"/>
  <c r="E61" i="13"/>
  <c r="E57" i="13" s="1"/>
  <c r="D46" i="13"/>
  <c r="C46" i="13"/>
  <c r="C59" i="13"/>
  <c r="C61" i="13"/>
  <c r="C57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D25" i="13"/>
  <c r="D27" i="13"/>
  <c r="D15" i="13"/>
  <c r="D24" i="13"/>
  <c r="E13" i="13"/>
  <c r="E25" i="13" s="1"/>
  <c r="E27" i="13" s="1"/>
  <c r="D13" i="13"/>
  <c r="C13" i="13"/>
  <c r="C25" i="13"/>
  <c r="C27" i="13" s="1"/>
  <c r="C21" i="13" s="1"/>
  <c r="F47" i="12"/>
  <c r="D47" i="12"/>
  <c r="E47" i="12" s="1"/>
  <c r="C47" i="12"/>
  <c r="F46" i="12"/>
  <c r="E46" i="12"/>
  <c r="F45" i="12"/>
  <c r="E45" i="12"/>
  <c r="F40" i="12"/>
  <c r="D40" i="12"/>
  <c r="E40" i="12" s="1"/>
  <c r="C40" i="12"/>
  <c r="F39" i="12"/>
  <c r="E39" i="12"/>
  <c r="F38" i="12"/>
  <c r="E38" i="12"/>
  <c r="F37" i="12"/>
  <c r="E37" i="12"/>
  <c r="D32" i="12"/>
  <c r="E32" i="12" s="1"/>
  <c r="C32" i="12"/>
  <c r="F31" i="12"/>
  <c r="E31" i="12"/>
  <c r="F30" i="12"/>
  <c r="E30" i="12"/>
  <c r="F29" i="12"/>
  <c r="E29" i="12"/>
  <c r="E28" i="12"/>
  <c r="F28" i="12" s="1"/>
  <c r="F27" i="12"/>
  <c r="E27" i="12"/>
  <c r="E26" i="12"/>
  <c r="F26" i="12" s="1"/>
  <c r="F25" i="12"/>
  <c r="E25" i="12"/>
  <c r="E24" i="12"/>
  <c r="F24" i="12" s="1"/>
  <c r="F23" i="12"/>
  <c r="E23" i="12"/>
  <c r="F19" i="12"/>
  <c r="E19" i="12"/>
  <c r="F18" i="12"/>
  <c r="E18" i="12"/>
  <c r="F16" i="12"/>
  <c r="E16" i="12"/>
  <c r="D15" i="12"/>
  <c r="D17" i="12" s="1"/>
  <c r="C15" i="12"/>
  <c r="C17" i="12" s="1"/>
  <c r="F14" i="12"/>
  <c r="E14" i="12"/>
  <c r="E13" i="12"/>
  <c r="F13" i="12" s="1"/>
  <c r="F12" i="12"/>
  <c r="E12" i="12"/>
  <c r="F11" i="12"/>
  <c r="E11" i="12"/>
  <c r="D73" i="11"/>
  <c r="C73" i="11"/>
  <c r="F72" i="11"/>
  <c r="E72" i="11"/>
  <c r="F71" i="11"/>
  <c r="E71" i="11"/>
  <c r="E70" i="11"/>
  <c r="F70" i="11" s="1"/>
  <c r="E67" i="11"/>
  <c r="F67" i="11" s="1"/>
  <c r="E64" i="11"/>
  <c r="F64" i="11"/>
  <c r="E63" i="11"/>
  <c r="F63" i="11" s="1"/>
  <c r="D61" i="11"/>
  <c r="D65" i="11"/>
  <c r="C61" i="11"/>
  <c r="E60" i="11"/>
  <c r="F60" i="11" s="1"/>
  <c r="F59" i="11"/>
  <c r="E59" i="11"/>
  <c r="D56" i="11"/>
  <c r="C56" i="11"/>
  <c r="F55" i="11"/>
  <c r="E55" i="11"/>
  <c r="F54" i="11"/>
  <c r="E54" i="11"/>
  <c r="F53" i="11"/>
  <c r="E53" i="11"/>
  <c r="F52" i="11"/>
  <c r="E52" i="11"/>
  <c r="E51" i="11"/>
  <c r="F51" i="11" s="1"/>
  <c r="E50" i="11"/>
  <c r="F50" i="11" s="1"/>
  <c r="A50" i="11"/>
  <c r="A51" i="11"/>
  <c r="A52" i="11" s="1"/>
  <c r="A53" i="11" s="1"/>
  <c r="A54" i="11" s="1"/>
  <c r="A55" i="11" s="1"/>
  <c r="E49" i="11"/>
  <c r="F49" i="11" s="1"/>
  <c r="E40" i="11"/>
  <c r="F40" i="11"/>
  <c r="D38" i="11"/>
  <c r="D41" i="11"/>
  <c r="C38" i="11"/>
  <c r="E37" i="11"/>
  <c r="F37" i="11" s="1"/>
  <c r="E36" i="11"/>
  <c r="F36" i="11"/>
  <c r="E33" i="11"/>
  <c r="F33" i="11" s="1"/>
  <c r="F32" i="11"/>
  <c r="E32" i="11"/>
  <c r="F31" i="11"/>
  <c r="E31" i="11"/>
  <c r="D29" i="11"/>
  <c r="C29" i="11"/>
  <c r="F28" i="11"/>
  <c r="E28" i="11"/>
  <c r="F27" i="11"/>
  <c r="E27" i="11"/>
  <c r="F26" i="11"/>
  <c r="E26" i="11"/>
  <c r="F25" i="11"/>
  <c r="E25" i="11"/>
  <c r="D22" i="11"/>
  <c r="E22" i="11" s="1"/>
  <c r="F22" i="11" s="1"/>
  <c r="D43" i="11"/>
  <c r="E43" i="11" s="1"/>
  <c r="C22" i="11"/>
  <c r="E21" i="11"/>
  <c r="F21" i="11" s="1"/>
  <c r="E20" i="11"/>
  <c r="F20" i="11"/>
  <c r="E19" i="11"/>
  <c r="F19" i="11"/>
  <c r="F18" i="11"/>
  <c r="E18" i="11"/>
  <c r="F17" i="11"/>
  <c r="E17" i="11"/>
  <c r="F16" i="11"/>
  <c r="E16" i="11"/>
  <c r="E15" i="11"/>
  <c r="F15" i="11"/>
  <c r="F14" i="11"/>
  <c r="E14" i="11"/>
  <c r="F13" i="11"/>
  <c r="E13" i="11"/>
  <c r="D120" i="10"/>
  <c r="E120" i="10"/>
  <c r="C120" i="10"/>
  <c r="F120" i="10"/>
  <c r="D119" i="10"/>
  <c r="E119" i="10" s="1"/>
  <c r="F119" i="10" s="1"/>
  <c r="C119" i="10"/>
  <c r="D118" i="10"/>
  <c r="C118" i="10"/>
  <c r="E118" i="10" s="1"/>
  <c r="D117" i="10"/>
  <c r="E117" i="10"/>
  <c r="C117" i="10"/>
  <c r="D116" i="10"/>
  <c r="E116" i="10" s="1"/>
  <c r="C116" i="10"/>
  <c r="D115" i="10"/>
  <c r="E115" i="10"/>
  <c r="C115" i="10"/>
  <c r="D114" i="10"/>
  <c r="E114" i="10" s="1"/>
  <c r="C114" i="10"/>
  <c r="D113" i="10"/>
  <c r="D122" i="10" s="1"/>
  <c r="C113" i="10"/>
  <c r="D112" i="10"/>
  <c r="D121" i="10" s="1"/>
  <c r="E121" i="10" s="1"/>
  <c r="C112" i="10"/>
  <c r="D108" i="10"/>
  <c r="E108" i="10" s="1"/>
  <c r="C108" i="10"/>
  <c r="D107" i="10"/>
  <c r="C107" i="10"/>
  <c r="E107" i="10" s="1"/>
  <c r="F106" i="10"/>
  <c r="E106" i="10"/>
  <c r="F105" i="10"/>
  <c r="E105" i="10"/>
  <c r="E104" i="10"/>
  <c r="F104" i="10" s="1"/>
  <c r="E103" i="10"/>
  <c r="F103" i="10" s="1"/>
  <c r="E102" i="10"/>
  <c r="F102" i="10" s="1"/>
  <c r="F101" i="10"/>
  <c r="E101" i="10"/>
  <c r="E100" i="10"/>
  <c r="F100" i="10" s="1"/>
  <c r="E99" i="10"/>
  <c r="F99" i="10" s="1"/>
  <c r="E98" i="10"/>
  <c r="F98" i="10" s="1"/>
  <c r="D96" i="10"/>
  <c r="E96" i="10" s="1"/>
  <c r="C96" i="10"/>
  <c r="D95" i="10"/>
  <c r="C95" i="10"/>
  <c r="F94" i="10"/>
  <c r="E94" i="10"/>
  <c r="F93" i="10"/>
  <c r="E93" i="10"/>
  <c r="E92" i="10"/>
  <c r="F92" i="10" s="1"/>
  <c r="F91" i="10"/>
  <c r="E91" i="10"/>
  <c r="F90" i="10"/>
  <c r="E90" i="10"/>
  <c r="F89" i="10"/>
  <c r="E89" i="10"/>
  <c r="E88" i="10"/>
  <c r="F88" i="10" s="1"/>
  <c r="F87" i="10"/>
  <c r="E87" i="10"/>
  <c r="F86" i="10"/>
  <c r="E86" i="10"/>
  <c r="D84" i="10"/>
  <c r="C84" i="10"/>
  <c r="D83" i="10"/>
  <c r="E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F60" i="10"/>
  <c r="C60" i="10"/>
  <c r="D59" i="10"/>
  <c r="C59" i="10"/>
  <c r="F58" i="10"/>
  <c r="E58" i="10"/>
  <c r="F57" i="10"/>
  <c r="E57" i="10"/>
  <c r="F56" i="10"/>
  <c r="E56" i="10"/>
  <c r="E55" i="10"/>
  <c r="F55" i="10" s="1"/>
  <c r="E54" i="10"/>
  <c r="F54" i="10" s="1"/>
  <c r="F53" i="10"/>
  <c r="E53" i="10"/>
  <c r="F52" i="10"/>
  <c r="E52" i="10"/>
  <c r="E51" i="10"/>
  <c r="F51" i="10" s="1"/>
  <c r="E50" i="10"/>
  <c r="F50" i="10" s="1"/>
  <c r="F48" i="10"/>
  <c r="D48" i="10"/>
  <c r="E48" i="10" s="1"/>
  <c r="C48" i="10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D35" i="10"/>
  <c r="E35" i="10"/>
  <c r="F35" i="10" s="1"/>
  <c r="C35" i="10"/>
  <c r="F34" i="10"/>
  <c r="E34" i="10"/>
  <c r="E33" i="10"/>
  <c r="F33" i="10" s="1"/>
  <c r="E32" i="10"/>
  <c r="F32" i="10" s="1"/>
  <c r="F31" i="10"/>
  <c r="E31" i="10"/>
  <c r="F30" i="10"/>
  <c r="E30" i="10"/>
  <c r="E29" i="10"/>
  <c r="F29" i="10" s="1"/>
  <c r="E28" i="10"/>
  <c r="F28" i="10" s="1"/>
  <c r="F27" i="10"/>
  <c r="E27" i="10"/>
  <c r="F26" i="10"/>
  <c r="E26" i="10"/>
  <c r="D24" i="10"/>
  <c r="E24" i="10" s="1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 s="1"/>
  <c r="D205" i="9"/>
  <c r="C205" i="9"/>
  <c r="D204" i="9"/>
  <c r="E204" i="9"/>
  <c r="F204" i="9"/>
  <c r="C204" i="9"/>
  <c r="D203" i="9"/>
  <c r="E203" i="9" s="1"/>
  <c r="C203" i="9"/>
  <c r="D202" i="9"/>
  <c r="E202" i="9"/>
  <c r="F202" i="9" s="1"/>
  <c r="C202" i="9"/>
  <c r="D201" i="9"/>
  <c r="E201" i="9" s="1"/>
  <c r="C201" i="9"/>
  <c r="D200" i="9"/>
  <c r="E200" i="9"/>
  <c r="F200" i="9"/>
  <c r="C200" i="9"/>
  <c r="D199" i="9"/>
  <c r="D208" i="9" s="1"/>
  <c r="C199" i="9"/>
  <c r="D198" i="9"/>
  <c r="C198" i="9"/>
  <c r="C207" i="9" s="1"/>
  <c r="D193" i="9"/>
  <c r="C193" i="9"/>
  <c r="D192" i="9"/>
  <c r="E192" i="9" s="1"/>
  <c r="F192" i="9" s="1"/>
  <c r="C192" i="9"/>
  <c r="F191" i="9"/>
  <c r="E191" i="9"/>
  <c r="E190" i="9"/>
  <c r="F190" i="9" s="1"/>
  <c r="F189" i="9"/>
  <c r="E189" i="9"/>
  <c r="F188" i="9"/>
  <c r="E188" i="9"/>
  <c r="E187" i="9"/>
  <c r="F187" i="9" s="1"/>
  <c r="E186" i="9"/>
  <c r="F186" i="9" s="1"/>
  <c r="F185" i="9"/>
  <c r="E185" i="9"/>
  <c r="F184" i="9"/>
  <c r="E184" i="9"/>
  <c r="E183" i="9"/>
  <c r="F183" i="9" s="1"/>
  <c r="D180" i="9"/>
  <c r="E180" i="9" s="1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E153" i="9" s="1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 s="1"/>
  <c r="F140" i="9"/>
  <c r="D140" i="9"/>
  <c r="E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E127" i="9" s="1"/>
  <c r="C127" i="9"/>
  <c r="F126" i="9"/>
  <c r="E126" i="9"/>
  <c r="F125" i="9"/>
  <c r="E125" i="9"/>
  <c r="F124" i="9"/>
  <c r="E124" i="9"/>
  <c r="F123" i="9"/>
  <c r="E123" i="9"/>
  <c r="E122" i="9"/>
  <c r="F122" i="9" s="1"/>
  <c r="F121" i="9"/>
  <c r="E121" i="9"/>
  <c r="F120" i="9"/>
  <c r="E120" i="9"/>
  <c r="E119" i="9"/>
  <c r="F119" i="9" s="1"/>
  <c r="E118" i="9"/>
  <c r="F118" i="9" s="1"/>
  <c r="D115" i="9"/>
  <c r="E115" i="9" s="1"/>
  <c r="F115" i="9" s="1"/>
  <c r="C115" i="9"/>
  <c r="D114" i="9"/>
  <c r="E114" i="9"/>
  <c r="F114" i="9" s="1"/>
  <c r="C114" i="9"/>
  <c r="F113" i="9"/>
  <c r="E113" i="9"/>
  <c r="F112" i="9"/>
  <c r="E112" i="9"/>
  <c r="E111" i="9"/>
  <c r="F111" i="9" s="1"/>
  <c r="F110" i="9"/>
  <c r="E110" i="9"/>
  <c r="F109" i="9"/>
  <c r="E109" i="9"/>
  <c r="F108" i="9"/>
  <c r="E108" i="9"/>
  <c r="E107" i="9"/>
  <c r="F107" i="9" s="1"/>
  <c r="F106" i="9"/>
  <c r="E106" i="9"/>
  <c r="F105" i="9"/>
  <c r="E105" i="9"/>
  <c r="D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F89" i="9" s="1"/>
  <c r="C89" i="9"/>
  <c r="D88" i="9"/>
  <c r="E88" i="9" s="1"/>
  <c r="F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/>
  <c r="C76" i="9"/>
  <c r="D75" i="9"/>
  <c r="C75" i="9"/>
  <c r="F74" i="9"/>
  <c r="E74" i="9"/>
  <c r="E73" i="9"/>
  <c r="F73" i="9" s="1"/>
  <c r="F72" i="9"/>
  <c r="E72" i="9"/>
  <c r="E71" i="9"/>
  <c r="F71" i="9" s="1"/>
  <c r="F70" i="9"/>
  <c r="E70" i="9"/>
  <c r="E69" i="9"/>
  <c r="F69" i="9" s="1"/>
  <c r="F68" i="9"/>
  <c r="E68" i="9"/>
  <c r="E67" i="9"/>
  <c r="F67" i="9" s="1"/>
  <c r="F66" i="9"/>
  <c r="E66" i="9"/>
  <c r="F63" i="9"/>
  <c r="D63" i="9"/>
  <c r="E63" i="9" s="1"/>
  <c r="C63" i="9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E49" i="9" s="1"/>
  <c r="C49" i="9"/>
  <c r="F48" i="9"/>
  <c r="E48" i="9"/>
  <c r="E47" i="9"/>
  <c r="F47" i="9" s="1"/>
  <c r="F46" i="9"/>
  <c r="E46" i="9"/>
  <c r="E45" i="9"/>
  <c r="F45" i="9" s="1"/>
  <c r="F44" i="9"/>
  <c r="E44" i="9"/>
  <c r="E43" i="9"/>
  <c r="F43" i="9" s="1"/>
  <c r="F42" i="9"/>
  <c r="E42" i="9"/>
  <c r="E41" i="9"/>
  <c r="F41" i="9" s="1"/>
  <c r="F40" i="9"/>
  <c r="E40" i="9"/>
  <c r="D37" i="9"/>
  <c r="C37" i="9"/>
  <c r="D36" i="9"/>
  <c r="E36" i="9" s="1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C24" i="9"/>
  <c r="D23" i="9"/>
  <c r="E23" i="9" s="1"/>
  <c r="C23" i="9"/>
  <c r="F23" i="9" s="1"/>
  <c r="F22" i="9"/>
  <c r="E22" i="9"/>
  <c r="E21" i="9"/>
  <c r="F21" i="9" s="1"/>
  <c r="F20" i="9"/>
  <c r="E20" i="9"/>
  <c r="E19" i="9"/>
  <c r="F19" i="9" s="1"/>
  <c r="E18" i="9"/>
  <c r="F18" i="9" s="1"/>
  <c r="E17" i="9"/>
  <c r="F17" i="9" s="1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D160" i="8"/>
  <c r="D166" i="8" s="1"/>
  <c r="C160" i="8"/>
  <c r="C166" i="8" s="1"/>
  <c r="C152" i="8" s="1"/>
  <c r="E147" i="8"/>
  <c r="E143" i="8" s="1"/>
  <c r="D147" i="8"/>
  <c r="D143" i="8" s="1"/>
  <c r="D149" i="8" s="1"/>
  <c r="C147" i="8"/>
  <c r="C143" i="8" s="1"/>
  <c r="E145" i="8"/>
  <c r="D145" i="8"/>
  <c r="C145" i="8"/>
  <c r="E144" i="8"/>
  <c r="D144" i="8"/>
  <c r="C144" i="8"/>
  <c r="E149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/>
  <c r="D106" i="8" s="1"/>
  <c r="C107" i="8"/>
  <c r="C109" i="8" s="1"/>
  <c r="C106" i="8" s="1"/>
  <c r="E102" i="8"/>
  <c r="E104" i="8" s="1"/>
  <c r="D102" i="8"/>
  <c r="D104" i="8"/>
  <c r="C102" i="8"/>
  <c r="C104" i="8" s="1"/>
  <c r="E100" i="8"/>
  <c r="D100" i="8"/>
  <c r="C100" i="8"/>
  <c r="E95" i="8"/>
  <c r="E94" i="8" s="1"/>
  <c r="D95" i="8"/>
  <c r="C95" i="8"/>
  <c r="C94" i="8" s="1"/>
  <c r="D94" i="8"/>
  <c r="E89" i="8"/>
  <c r="D89" i="8"/>
  <c r="C89" i="8"/>
  <c r="E87" i="8"/>
  <c r="D87" i="8"/>
  <c r="C87" i="8"/>
  <c r="E84" i="8"/>
  <c r="D84" i="8"/>
  <c r="C84" i="8"/>
  <c r="C79" i="8" s="1"/>
  <c r="E83" i="8"/>
  <c r="E79" i="8" s="1"/>
  <c r="D83" i="8"/>
  <c r="D79" i="8" s="1"/>
  <c r="C83" i="8"/>
  <c r="E75" i="8"/>
  <c r="E88" i="8"/>
  <c r="E90" i="8"/>
  <c r="E86" i="8" s="1"/>
  <c r="D75" i="8"/>
  <c r="D88" i="8"/>
  <c r="C75" i="8"/>
  <c r="C88" i="8"/>
  <c r="C90" i="8"/>
  <c r="C86" i="8" s="1"/>
  <c r="E74" i="8"/>
  <c r="D74" i="8"/>
  <c r="C74" i="8"/>
  <c r="E67" i="8"/>
  <c r="D67" i="8"/>
  <c r="C67" i="8"/>
  <c r="E38" i="8"/>
  <c r="E57" i="8" s="1"/>
  <c r="E62" i="8" s="1"/>
  <c r="D38" i="8"/>
  <c r="C38" i="8"/>
  <c r="C57" i="8" s="1"/>
  <c r="C62" i="8" s="1"/>
  <c r="E33" i="8"/>
  <c r="E34" i="8" s="1"/>
  <c r="D33" i="8"/>
  <c r="D34" i="8"/>
  <c r="E26" i="8"/>
  <c r="D26" i="8"/>
  <c r="C26" i="8"/>
  <c r="C15" i="8"/>
  <c r="C24" i="8" s="1"/>
  <c r="E13" i="8"/>
  <c r="D13" i="8"/>
  <c r="D25" i="8"/>
  <c r="D27" i="8"/>
  <c r="C13" i="8"/>
  <c r="C25" i="8" s="1"/>
  <c r="C27" i="8"/>
  <c r="C20" i="8" s="1"/>
  <c r="F186" i="7"/>
  <c r="E186" i="7"/>
  <c r="D183" i="7"/>
  <c r="C183" i="7"/>
  <c r="E183" i="7" s="1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E171" i="7"/>
  <c r="F171" i="7" s="1"/>
  <c r="F170" i="7"/>
  <c r="E170" i="7"/>
  <c r="D167" i="7"/>
  <c r="C167" i="7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E154" i="7"/>
  <c r="F154" i="7" s="1"/>
  <c r="F153" i="7"/>
  <c r="E153" i="7"/>
  <c r="F152" i="7"/>
  <c r="E152" i="7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F144" i="7"/>
  <c r="E144" i="7"/>
  <c r="F143" i="7"/>
  <c r="E143" i="7"/>
  <c r="E142" i="7"/>
  <c r="F142" i="7" s="1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E134" i="7"/>
  <c r="F134" i="7" s="1"/>
  <c r="F133" i="7"/>
  <c r="E133" i="7"/>
  <c r="D130" i="7"/>
  <c r="E130" i="7" s="1"/>
  <c r="F130" i="7" s="1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 s="1"/>
  <c r="F121" i="7" s="1"/>
  <c r="C121" i="7"/>
  <c r="E120" i="7"/>
  <c r="F120" i="7" s="1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E112" i="7"/>
  <c r="F112" i="7" s="1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C90" i="7"/>
  <c r="C95" i="7"/>
  <c r="E89" i="7"/>
  <c r="F89" i="7" s="1"/>
  <c r="F88" i="7"/>
  <c r="E88" i="7"/>
  <c r="E87" i="7"/>
  <c r="F87" i="7" s="1"/>
  <c r="F86" i="7"/>
  <c r="E86" i="7"/>
  <c r="F85" i="7"/>
  <c r="E85" i="7"/>
  <c r="F84" i="7"/>
  <c r="E84" i="7"/>
  <c r="E83" i="7"/>
  <c r="F83" i="7" s="1"/>
  <c r="E82" i="7"/>
  <c r="F82" i="7" s="1"/>
  <c r="E81" i="7"/>
  <c r="F81" i="7" s="1"/>
  <c r="F80" i="7"/>
  <c r="E80" i="7"/>
  <c r="F79" i="7"/>
  <c r="E79" i="7"/>
  <c r="E78" i="7"/>
  <c r="F78" i="7" s="1"/>
  <c r="F77" i="7"/>
  <c r="E77" i="7"/>
  <c r="F76" i="7"/>
  <c r="E76" i="7"/>
  <c r="E75" i="7"/>
  <c r="F75" i="7" s="1"/>
  <c r="F74" i="7"/>
  <c r="E74" i="7"/>
  <c r="E73" i="7"/>
  <c r="F73" i="7" s="1"/>
  <c r="F72" i="7"/>
  <c r="E72" i="7"/>
  <c r="F71" i="7"/>
  <c r="E71" i="7"/>
  <c r="F70" i="7"/>
  <c r="E70" i="7"/>
  <c r="E69" i="7"/>
  <c r="F69" i="7" s="1"/>
  <c r="F68" i="7"/>
  <c r="E68" i="7"/>
  <c r="E67" i="7"/>
  <c r="F67" i="7" s="1"/>
  <c r="E66" i="7"/>
  <c r="F66" i="7" s="1"/>
  <c r="F65" i="7"/>
  <c r="E65" i="7"/>
  <c r="F64" i="7"/>
  <c r="E64" i="7"/>
  <c r="E63" i="7"/>
  <c r="F63" i="7" s="1"/>
  <c r="F62" i="7"/>
  <c r="E62" i="7"/>
  <c r="D59" i="7"/>
  <c r="E59" i="7"/>
  <c r="F59" i="7" s="1"/>
  <c r="C59" i="7"/>
  <c r="E58" i="7"/>
  <c r="F58" i="7" s="1"/>
  <c r="E57" i="7"/>
  <c r="F57" i="7" s="1"/>
  <c r="E56" i="7"/>
  <c r="F56" i="7" s="1"/>
  <c r="F55" i="7"/>
  <c r="E55" i="7"/>
  <c r="E54" i="7"/>
  <c r="F54" i="7" s="1"/>
  <c r="F53" i="7"/>
  <c r="E53" i="7"/>
  <c r="E50" i="7"/>
  <c r="F50" i="7" s="1"/>
  <c r="F47" i="7"/>
  <c r="E47" i="7"/>
  <c r="E44" i="7"/>
  <c r="F44" i="7" s="1"/>
  <c r="D41" i="7"/>
  <c r="E41" i="7" s="1"/>
  <c r="C41" i="7"/>
  <c r="F40" i="7"/>
  <c r="E40" i="7"/>
  <c r="E39" i="7"/>
  <c r="F39" i="7" s="1"/>
  <c r="F38" i="7"/>
  <c r="E38" i="7"/>
  <c r="D35" i="7"/>
  <c r="E35" i="7"/>
  <c r="F35" i="7" s="1"/>
  <c r="C35" i="7"/>
  <c r="E34" i="7"/>
  <c r="F34" i="7" s="1"/>
  <c r="F33" i="7"/>
  <c r="E33" i="7"/>
  <c r="D30" i="7"/>
  <c r="E30" i="7"/>
  <c r="F30" i="7" s="1"/>
  <c r="C30" i="7"/>
  <c r="E29" i="7"/>
  <c r="F29" i="7" s="1"/>
  <c r="F28" i="7"/>
  <c r="E28" i="7"/>
  <c r="E27" i="7"/>
  <c r="F27" i="7" s="1"/>
  <c r="D24" i="7"/>
  <c r="E24" i="7" s="1"/>
  <c r="C24" i="7"/>
  <c r="E23" i="7"/>
  <c r="F23" i="7" s="1"/>
  <c r="F22" i="7"/>
  <c r="E22" i="7"/>
  <c r="F21" i="7"/>
  <c r="E21" i="7"/>
  <c r="D18" i="7"/>
  <c r="F18" i="7"/>
  <c r="C18" i="7"/>
  <c r="E18" i="7" s="1"/>
  <c r="E17" i="7"/>
  <c r="F17" i="7" s="1"/>
  <c r="F16" i="7"/>
  <c r="E16" i="7"/>
  <c r="E15" i="7"/>
  <c r="F15" i="7" s="1"/>
  <c r="D179" i="6"/>
  <c r="E179" i="6"/>
  <c r="C179" i="6"/>
  <c r="F178" i="6"/>
  <c r="E178" i="6"/>
  <c r="F177" i="6"/>
  <c r="E177" i="6"/>
  <c r="E176" i="6"/>
  <c r="F176" i="6" s="1"/>
  <c r="E175" i="6"/>
  <c r="F175" i="6" s="1"/>
  <c r="F174" i="6"/>
  <c r="E174" i="6"/>
  <c r="E173" i="6"/>
  <c r="F173" i="6" s="1"/>
  <c r="F172" i="6"/>
  <c r="E172" i="6"/>
  <c r="E171" i="6"/>
  <c r="F171" i="6" s="1"/>
  <c r="F170" i="6"/>
  <c r="E170" i="6"/>
  <c r="E169" i="6"/>
  <c r="F169" i="6" s="1"/>
  <c r="E168" i="6"/>
  <c r="F168" i="6" s="1"/>
  <c r="D166" i="6"/>
  <c r="E166" i="6"/>
  <c r="F166" i="6" s="1"/>
  <c r="C166" i="6"/>
  <c r="E165" i="6"/>
  <c r="F165" i="6" s="1"/>
  <c r="F164" i="6"/>
  <c r="E164" i="6"/>
  <c r="E163" i="6"/>
  <c r="F163" i="6" s="1"/>
  <c r="F162" i="6"/>
  <c r="E162" i="6"/>
  <c r="E161" i="6"/>
  <c r="F161" i="6" s="1"/>
  <c r="F160" i="6"/>
  <c r="E160" i="6"/>
  <c r="E159" i="6"/>
  <c r="F159" i="6" s="1"/>
  <c r="F158" i="6"/>
  <c r="E158" i="6"/>
  <c r="E157" i="6"/>
  <c r="F157" i="6" s="1"/>
  <c r="F156" i="6"/>
  <c r="E156" i="6"/>
  <c r="E155" i="6"/>
  <c r="F155" i="6" s="1"/>
  <c r="D153" i="6"/>
  <c r="E153" i="6" s="1"/>
  <c r="C153" i="6"/>
  <c r="F153" i="6" s="1"/>
  <c r="E152" i="6"/>
  <c r="F152" i="6" s="1"/>
  <c r="F151" i="6"/>
  <c r="E151" i="6"/>
  <c r="F150" i="6"/>
  <c r="E150" i="6"/>
  <c r="E149" i="6"/>
  <c r="F149" i="6" s="1"/>
  <c r="F148" i="6"/>
  <c r="E148" i="6"/>
  <c r="E147" i="6"/>
  <c r="F147" i="6" s="1"/>
  <c r="F146" i="6"/>
  <c r="E146" i="6"/>
  <c r="E145" i="6"/>
  <c r="F145" i="6" s="1"/>
  <c r="E144" i="6"/>
  <c r="F144" i="6" s="1"/>
  <c r="E143" i="6"/>
  <c r="F143" i="6" s="1"/>
  <c r="F142" i="6"/>
  <c r="E142" i="6"/>
  <c r="D137" i="6"/>
  <c r="F137" i="6"/>
  <c r="C137" i="6"/>
  <c r="E137" i="6" s="1"/>
  <c r="E136" i="6"/>
  <c r="F136" i="6" s="1"/>
  <c r="F135" i="6"/>
  <c r="E135" i="6"/>
  <c r="E134" i="6"/>
  <c r="F134" i="6" s="1"/>
  <c r="F133" i="6"/>
  <c r="E133" i="6"/>
  <c r="E132" i="6"/>
  <c r="F132" i="6" s="1"/>
  <c r="F131" i="6"/>
  <c r="E131" i="6"/>
  <c r="E130" i="6"/>
  <c r="F130" i="6" s="1"/>
  <c r="F129" i="6"/>
  <c r="E129" i="6"/>
  <c r="E128" i="6"/>
  <c r="F128" i="6" s="1"/>
  <c r="F127" i="6"/>
  <c r="E127" i="6"/>
  <c r="E126" i="6"/>
  <c r="F126" i="6" s="1"/>
  <c r="D124" i="6"/>
  <c r="E124" i="6" s="1"/>
  <c r="C124" i="6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F117" i="6"/>
  <c r="E117" i="6"/>
  <c r="E116" i="6"/>
  <c r="F116" i="6" s="1"/>
  <c r="F115" i="6"/>
  <c r="E115" i="6"/>
  <c r="E114" i="6"/>
  <c r="F114" i="6" s="1"/>
  <c r="E113" i="6"/>
  <c r="F113" i="6" s="1"/>
  <c r="D111" i="6"/>
  <c r="E111" i="6"/>
  <c r="F111" i="6" s="1"/>
  <c r="C111" i="6"/>
  <c r="E110" i="6"/>
  <c r="F110" i="6" s="1"/>
  <c r="F109" i="6"/>
  <c r="E109" i="6"/>
  <c r="E108" i="6"/>
  <c r="F108" i="6" s="1"/>
  <c r="F107" i="6"/>
  <c r="E107" i="6"/>
  <c r="E106" i="6"/>
  <c r="F106" i="6" s="1"/>
  <c r="F105" i="6"/>
  <c r="E105" i="6"/>
  <c r="E104" i="6"/>
  <c r="F104" i="6" s="1"/>
  <c r="F103" i="6"/>
  <c r="E103" i="6"/>
  <c r="E102" i="6"/>
  <c r="F102" i="6" s="1"/>
  <c r="F101" i="6"/>
  <c r="E101" i="6"/>
  <c r="E100" i="6"/>
  <c r="F100" i="6" s="1"/>
  <c r="D94" i="6"/>
  <c r="E94" i="6" s="1"/>
  <c r="C94" i="6"/>
  <c r="F94" i="6" s="1"/>
  <c r="D93" i="6"/>
  <c r="E93" i="6" s="1"/>
  <c r="C93" i="6"/>
  <c r="F93" i="6" s="1"/>
  <c r="D92" i="6"/>
  <c r="E92" i="6" s="1"/>
  <c r="C92" i="6"/>
  <c r="D91" i="6"/>
  <c r="E91" i="6"/>
  <c r="C91" i="6"/>
  <c r="D90" i="6"/>
  <c r="E90" i="6" s="1"/>
  <c r="C90" i="6"/>
  <c r="F90" i="6" s="1"/>
  <c r="D89" i="6"/>
  <c r="E89" i="6" s="1"/>
  <c r="C89" i="6"/>
  <c r="D88" i="6"/>
  <c r="E88" i="6" s="1"/>
  <c r="C88" i="6"/>
  <c r="D87" i="6"/>
  <c r="E87" i="6" s="1"/>
  <c r="C87" i="6"/>
  <c r="D86" i="6"/>
  <c r="E86" i="6" s="1"/>
  <c r="C86" i="6"/>
  <c r="D85" i="6"/>
  <c r="C85" i="6"/>
  <c r="D84" i="6"/>
  <c r="C84" i="6"/>
  <c r="D81" i="6"/>
  <c r="E81" i="6" s="1"/>
  <c r="C81" i="6"/>
  <c r="F80" i="6"/>
  <c r="E80" i="6"/>
  <c r="F79" i="6"/>
  <c r="E79" i="6"/>
  <c r="F78" i="6"/>
  <c r="E78" i="6"/>
  <c r="E77" i="6"/>
  <c r="F77" i="6" s="1"/>
  <c r="F76" i="6"/>
  <c r="E76" i="6"/>
  <c r="E75" i="6"/>
  <c r="F75" i="6" s="1"/>
  <c r="F74" i="6"/>
  <c r="E74" i="6"/>
  <c r="E73" i="6"/>
  <c r="F73" i="6" s="1"/>
  <c r="F72" i="6"/>
  <c r="E72" i="6"/>
  <c r="E71" i="6"/>
  <c r="F71" i="6" s="1"/>
  <c r="F70" i="6"/>
  <c r="E70" i="6"/>
  <c r="D68" i="6"/>
  <c r="E68" i="6"/>
  <c r="F68" i="6"/>
  <c r="C68" i="6"/>
  <c r="E67" i="6"/>
  <c r="F67" i="6" s="1"/>
  <c r="F66" i="6"/>
  <c r="E66" i="6"/>
  <c r="E65" i="6"/>
  <c r="F65" i="6" s="1"/>
  <c r="F64" i="6"/>
  <c r="E64" i="6"/>
  <c r="E63" i="6"/>
  <c r="F63" i="6" s="1"/>
  <c r="F62" i="6"/>
  <c r="E62" i="6"/>
  <c r="E61" i="6"/>
  <c r="F61" i="6" s="1"/>
  <c r="F60" i="6"/>
  <c r="E60" i="6"/>
  <c r="E59" i="6"/>
  <c r="F59" i="6" s="1"/>
  <c r="E58" i="6"/>
  <c r="F58" i="6" s="1"/>
  <c r="E57" i="6"/>
  <c r="F57" i="6" s="1"/>
  <c r="D51" i="6"/>
  <c r="E51" i="6" s="1"/>
  <c r="C51" i="6"/>
  <c r="F50" i="6"/>
  <c r="D50" i="6"/>
  <c r="E50" i="6" s="1"/>
  <c r="C50" i="6"/>
  <c r="D49" i="6"/>
  <c r="C49" i="6"/>
  <c r="D48" i="6"/>
  <c r="E48" i="6" s="1"/>
  <c r="C48" i="6"/>
  <c r="D47" i="6"/>
  <c r="C47" i="6"/>
  <c r="D46" i="6"/>
  <c r="E46" i="6" s="1"/>
  <c r="C46" i="6"/>
  <c r="D45" i="6"/>
  <c r="E45" i="6" s="1"/>
  <c r="C45" i="6"/>
  <c r="D44" i="6"/>
  <c r="C44" i="6"/>
  <c r="D43" i="6"/>
  <c r="E43" i="6" s="1"/>
  <c r="C43" i="6"/>
  <c r="D42" i="6"/>
  <c r="E42" i="6" s="1"/>
  <c r="C42" i="6"/>
  <c r="D41" i="6"/>
  <c r="C41" i="6"/>
  <c r="C52" i="6" s="1"/>
  <c r="D38" i="6"/>
  <c r="C38" i="6"/>
  <c r="F37" i="6"/>
  <c r="E37" i="6"/>
  <c r="F36" i="6"/>
  <c r="E36" i="6"/>
  <c r="F35" i="6"/>
  <c r="E35" i="6"/>
  <c r="E34" i="6"/>
  <c r="F34" i="6" s="1"/>
  <c r="F33" i="6"/>
  <c r="E33" i="6"/>
  <c r="E32" i="6"/>
  <c r="F32" i="6" s="1"/>
  <c r="F31" i="6"/>
  <c r="E31" i="6"/>
  <c r="E30" i="6"/>
  <c r="F30" i="6" s="1"/>
  <c r="F29" i="6"/>
  <c r="E29" i="6"/>
  <c r="E28" i="6"/>
  <c r="F28" i="6" s="1"/>
  <c r="F27" i="6"/>
  <c r="E27" i="6"/>
  <c r="D25" i="6"/>
  <c r="E25" i="6"/>
  <c r="F25" i="6" s="1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F41" i="5"/>
  <c r="D41" i="5"/>
  <c r="E41" i="5"/>
  <c r="C41" i="5"/>
  <c r="F40" i="5"/>
  <c r="E40" i="5"/>
  <c r="F39" i="5"/>
  <c r="E39" i="5"/>
  <c r="F38" i="5"/>
  <c r="E38" i="5"/>
  <c r="D33" i="5"/>
  <c r="E33" i="5" s="1"/>
  <c r="F33" i="5" s="1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 s="1"/>
  <c r="C16" i="5"/>
  <c r="F15" i="5"/>
  <c r="E15" i="5"/>
  <c r="E14" i="5"/>
  <c r="F14" i="5" s="1"/>
  <c r="F13" i="5"/>
  <c r="E13" i="5"/>
  <c r="F12" i="5"/>
  <c r="E12" i="5"/>
  <c r="D73" i="4"/>
  <c r="E73" i="4" s="1"/>
  <c r="C73" i="4"/>
  <c r="F72" i="4"/>
  <c r="E72" i="4"/>
  <c r="F71" i="4"/>
  <c r="E71" i="4"/>
  <c r="F70" i="4"/>
  <c r="E70" i="4"/>
  <c r="E67" i="4"/>
  <c r="F67" i="4" s="1"/>
  <c r="F64" i="4"/>
  <c r="E64" i="4"/>
  <c r="E63" i="4"/>
  <c r="F63" i="4" s="1"/>
  <c r="D61" i="4"/>
  <c r="C61" i="4"/>
  <c r="F60" i="4"/>
  <c r="E60" i="4"/>
  <c r="F59" i="4"/>
  <c r="E59" i="4"/>
  <c r="D56" i="4"/>
  <c r="C56" i="4"/>
  <c r="F55" i="4"/>
  <c r="E55" i="4"/>
  <c r="E54" i="4"/>
  <c r="F54" i="4"/>
  <c r="F53" i="4"/>
  <c r="E53" i="4"/>
  <c r="F52" i="4"/>
  <c r="E52" i="4"/>
  <c r="F51" i="4"/>
  <c r="E51" i="4"/>
  <c r="A52" i="4"/>
  <c r="A53" i="4" s="1"/>
  <c r="A54" i="4" s="1"/>
  <c r="A55" i="4" s="1"/>
  <c r="E50" i="4"/>
  <c r="F50" i="4" s="1"/>
  <c r="A50" i="4"/>
  <c r="A51" i="4" s="1"/>
  <c r="F49" i="4"/>
  <c r="E49" i="4"/>
  <c r="E40" i="4"/>
  <c r="F40" i="4" s="1"/>
  <c r="D38" i="4"/>
  <c r="D41" i="4" s="1"/>
  <c r="C38" i="4"/>
  <c r="C41" i="4" s="1"/>
  <c r="C43" i="4" s="1"/>
  <c r="F37" i="4"/>
  <c r="E37" i="4"/>
  <c r="F36" i="4"/>
  <c r="E36" i="4"/>
  <c r="F33" i="4"/>
  <c r="E33" i="4"/>
  <c r="F32" i="4"/>
  <c r="E32" i="4"/>
  <c r="F31" i="4"/>
  <c r="E31" i="4"/>
  <c r="F29" i="4"/>
  <c r="D29" i="4"/>
  <c r="E29" i="4"/>
  <c r="C29" i="4"/>
  <c r="F28" i="4"/>
  <c r="E28" i="4"/>
  <c r="F27" i="4"/>
  <c r="E27" i="4"/>
  <c r="F26" i="4"/>
  <c r="E26" i="4"/>
  <c r="F25" i="4"/>
  <c r="E25" i="4"/>
  <c r="D22" i="4"/>
  <c r="E22" i="4" s="1"/>
  <c r="F22" i="4" s="1"/>
  <c r="C22" i="4"/>
  <c r="E21" i="4"/>
  <c r="F21" i="4" s="1"/>
  <c r="F20" i="4"/>
  <c r="E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F13" i="4"/>
  <c r="E13" i="4"/>
  <c r="C109" i="22"/>
  <c r="C108" i="22"/>
  <c r="E109" i="22"/>
  <c r="E108" i="22"/>
  <c r="D22" i="22"/>
  <c r="C23" i="22"/>
  <c r="E23" i="22"/>
  <c r="D33" i="22"/>
  <c r="C34" i="22"/>
  <c r="E34" i="22"/>
  <c r="D101" i="22"/>
  <c r="D103" i="22" s="1"/>
  <c r="C102" i="22"/>
  <c r="C103" i="22" s="1"/>
  <c r="E102" i="22"/>
  <c r="C22" i="22"/>
  <c r="E22" i="22"/>
  <c r="F21" i="21"/>
  <c r="C41" i="20"/>
  <c r="F40" i="20"/>
  <c r="D41" i="20"/>
  <c r="E39" i="20"/>
  <c r="E41" i="20"/>
  <c r="E19" i="20"/>
  <c r="F19" i="20"/>
  <c r="E43" i="20"/>
  <c r="C22" i="19"/>
  <c r="E94" i="17"/>
  <c r="F94" i="17" s="1"/>
  <c r="E95" i="17"/>
  <c r="E100" i="17"/>
  <c r="F100" i="17" s="1"/>
  <c r="E110" i="17"/>
  <c r="E120" i="17"/>
  <c r="F120" i="17"/>
  <c r="E164" i="17"/>
  <c r="F164" i="17" s="1"/>
  <c r="E165" i="17"/>
  <c r="F165" i="17" s="1"/>
  <c r="E170" i="17"/>
  <c r="E180" i="17"/>
  <c r="F180" i="17" s="1"/>
  <c r="E294" i="17"/>
  <c r="E295" i="17"/>
  <c r="E296" i="17"/>
  <c r="F296" i="17" s="1"/>
  <c r="E297" i="17"/>
  <c r="F297" i="17" s="1"/>
  <c r="E298" i="17"/>
  <c r="E299" i="17"/>
  <c r="D55" i="18"/>
  <c r="E55" i="18"/>
  <c r="E54" i="18"/>
  <c r="D289" i="18"/>
  <c r="E289" i="18" s="1"/>
  <c r="D71" i="18"/>
  <c r="D65" i="18"/>
  <c r="E60" i="18"/>
  <c r="C77" i="18"/>
  <c r="E69" i="18"/>
  <c r="E70" i="18"/>
  <c r="C283" i="18"/>
  <c r="C22" i="18"/>
  <c r="C284" i="18" s="1"/>
  <c r="D294" i="18"/>
  <c r="D33" i="18"/>
  <c r="D295" i="18" s="1"/>
  <c r="E32" i="18"/>
  <c r="C294" i="18"/>
  <c r="E139" i="18"/>
  <c r="D144" i="18"/>
  <c r="C145" i="18"/>
  <c r="E156" i="18"/>
  <c r="D175" i="18"/>
  <c r="E175" i="18" s="1"/>
  <c r="C229" i="18"/>
  <c r="C210" i="18"/>
  <c r="E205" i="18"/>
  <c r="E243" i="18"/>
  <c r="E244" i="18"/>
  <c r="E245" i="18"/>
  <c r="D252" i="18"/>
  <c r="D253" i="18"/>
  <c r="C303" i="18"/>
  <c r="C306" i="18"/>
  <c r="C310" i="18" s="1"/>
  <c r="C261" i="18"/>
  <c r="E261" i="18" s="1"/>
  <c r="C189" i="18"/>
  <c r="E188" i="18"/>
  <c r="D260" i="18"/>
  <c r="E195" i="18"/>
  <c r="E229" i="18"/>
  <c r="D234" i="18"/>
  <c r="D211" i="18"/>
  <c r="E210" i="18"/>
  <c r="E326" i="18"/>
  <c r="D330" i="18"/>
  <c r="E330" i="18" s="1"/>
  <c r="E215" i="18"/>
  <c r="C217" i="18"/>
  <c r="C241" i="18"/>
  <c r="E219" i="18"/>
  <c r="E221" i="18"/>
  <c r="D222" i="18"/>
  <c r="C252" i="18"/>
  <c r="E265" i="18"/>
  <c r="E314" i="18"/>
  <c r="E216" i="18"/>
  <c r="E218" i="18"/>
  <c r="E220" i="18"/>
  <c r="C222" i="18"/>
  <c r="D223" i="18"/>
  <c r="E233" i="18"/>
  <c r="E301" i="18"/>
  <c r="E324" i="18"/>
  <c r="D32" i="17"/>
  <c r="E31" i="17"/>
  <c r="F31" i="17" s="1"/>
  <c r="D160" i="17"/>
  <c r="D90" i="17"/>
  <c r="E48" i="17"/>
  <c r="F48" i="17" s="1"/>
  <c r="D61" i="17"/>
  <c r="E60" i="17"/>
  <c r="F60" i="17" s="1"/>
  <c r="E68" i="17"/>
  <c r="F68" i="17" s="1"/>
  <c r="E77" i="17"/>
  <c r="C103" i="17"/>
  <c r="F111" i="17"/>
  <c r="D207" i="17"/>
  <c r="E207" i="17" s="1"/>
  <c r="E137" i="17"/>
  <c r="F137" i="17" s="1"/>
  <c r="D138" i="17"/>
  <c r="D139" i="17" s="1"/>
  <c r="E139" i="17" s="1"/>
  <c r="F139" i="17" s="1"/>
  <c r="E146" i="17"/>
  <c r="E159" i="17"/>
  <c r="F159" i="17" s="1"/>
  <c r="C173" i="17"/>
  <c r="F181" i="17"/>
  <c r="C32" i="17"/>
  <c r="C160" i="17"/>
  <c r="C61" i="17"/>
  <c r="E102" i="17"/>
  <c r="F102" i="17"/>
  <c r="D103" i="17"/>
  <c r="E103" i="17" s="1"/>
  <c r="F103" i="17" s="1"/>
  <c r="C207" i="17"/>
  <c r="C138" i="17"/>
  <c r="C139" i="17" s="1"/>
  <c r="F146" i="17"/>
  <c r="E172" i="17"/>
  <c r="F172" i="17" s="1"/>
  <c r="D173" i="17"/>
  <c r="C21" i="17"/>
  <c r="C161" i="17" s="1"/>
  <c r="E30" i="17"/>
  <c r="F30" i="17" s="1"/>
  <c r="E35" i="17"/>
  <c r="F35" i="17" s="1"/>
  <c r="C37" i="17"/>
  <c r="E47" i="17"/>
  <c r="F47" i="17"/>
  <c r="E59" i="17"/>
  <c r="F59" i="17" s="1"/>
  <c r="E66" i="17"/>
  <c r="F66" i="17"/>
  <c r="E76" i="17"/>
  <c r="F76" i="17" s="1"/>
  <c r="F85" i="17"/>
  <c r="F95" i="17"/>
  <c r="F110" i="17"/>
  <c r="D124" i="17"/>
  <c r="F129" i="17"/>
  <c r="F130" i="17"/>
  <c r="F135" i="17"/>
  <c r="F145" i="17"/>
  <c r="F155" i="17"/>
  <c r="F170" i="17"/>
  <c r="D277" i="17"/>
  <c r="D261" i="17"/>
  <c r="D268" i="17" s="1"/>
  <c r="D214" i="17"/>
  <c r="D206" i="17"/>
  <c r="E206" i="17" s="1"/>
  <c r="F206" i="17" s="1"/>
  <c r="D278" i="17"/>
  <c r="E278" i="17" s="1"/>
  <c r="D262" i="17"/>
  <c r="D215" i="17"/>
  <c r="D190" i="17"/>
  <c r="D280" i="17"/>
  <c r="E191" i="17"/>
  <c r="F191" i="17" s="1"/>
  <c r="D264" i="17"/>
  <c r="D200" i="17"/>
  <c r="D193" i="17"/>
  <c r="D282" i="17" s="1"/>
  <c r="D21" i="17"/>
  <c r="E88" i="17"/>
  <c r="F88" i="17" s="1"/>
  <c r="E101" i="17"/>
  <c r="F101" i="17" s="1"/>
  <c r="E109" i="17"/>
  <c r="F109" i="17"/>
  <c r="C193" i="17"/>
  <c r="E193" i="17" s="1"/>
  <c r="C192" i="17"/>
  <c r="E123" i="17"/>
  <c r="F123" i="17" s="1"/>
  <c r="C124" i="17"/>
  <c r="E136" i="17"/>
  <c r="F136" i="17"/>
  <c r="E144" i="17"/>
  <c r="F144" i="17" s="1"/>
  <c r="E158" i="17"/>
  <c r="F158" i="17" s="1"/>
  <c r="E171" i="17"/>
  <c r="F171" i="17" s="1"/>
  <c r="E179" i="17"/>
  <c r="F179" i="17" s="1"/>
  <c r="C277" i="17"/>
  <c r="C261" i="17"/>
  <c r="C254" i="17"/>
  <c r="C214" i="17"/>
  <c r="C206" i="17"/>
  <c r="E188" i="17"/>
  <c r="F188" i="17"/>
  <c r="C278" i="17"/>
  <c r="C262" i="17"/>
  <c r="C255" i="17"/>
  <c r="C215" i="17"/>
  <c r="E189" i="17"/>
  <c r="F189" i="17" s="1"/>
  <c r="C190" i="17"/>
  <c r="D290" i="17"/>
  <c r="E290" i="17" s="1"/>
  <c r="D274" i="17"/>
  <c r="D199" i="17"/>
  <c r="E199" i="17" s="1"/>
  <c r="D283" i="17"/>
  <c r="D267" i="17"/>
  <c r="D285" i="17"/>
  <c r="E285" i="17"/>
  <c r="F285" i="17" s="1"/>
  <c r="D269" i="17"/>
  <c r="D205" i="17"/>
  <c r="D227" i="17"/>
  <c r="E227" i="17" s="1"/>
  <c r="F227" i="17" s="1"/>
  <c r="D239" i="17"/>
  <c r="F290" i="17"/>
  <c r="E198" i="17"/>
  <c r="F198" i="17"/>
  <c r="C199" i="17"/>
  <c r="C200" i="17"/>
  <c r="C286" i="17"/>
  <c r="E203" i="17"/>
  <c r="F203" i="17" s="1"/>
  <c r="E204" i="17"/>
  <c r="F204" i="17" s="1"/>
  <c r="C205" i="17"/>
  <c r="E205" i="17" s="1"/>
  <c r="F205" i="17" s="1"/>
  <c r="E250" i="17"/>
  <c r="F250" i="17" s="1"/>
  <c r="C264" i="17"/>
  <c r="C267" i="17"/>
  <c r="C269" i="17"/>
  <c r="C274" i="17"/>
  <c r="F294" i="17"/>
  <c r="F295" i="17"/>
  <c r="F298" i="17"/>
  <c r="F299" i="17"/>
  <c r="I31" i="14"/>
  <c r="I17" i="14"/>
  <c r="F31" i="14"/>
  <c r="H31" i="14"/>
  <c r="C33" i="14"/>
  <c r="C36" i="14" s="1"/>
  <c r="C38" i="14" s="1"/>
  <c r="C40" i="14" s="1"/>
  <c r="E33" i="14"/>
  <c r="E36" i="14" s="1"/>
  <c r="E38" i="14" s="1"/>
  <c r="E40" i="14"/>
  <c r="G33" i="14"/>
  <c r="G36" i="14" s="1"/>
  <c r="G38" i="14" s="1"/>
  <c r="H17" i="14"/>
  <c r="E21" i="13"/>
  <c r="D21" i="13"/>
  <c r="D20" i="13"/>
  <c r="C15" i="13"/>
  <c r="E15" i="13"/>
  <c r="E17" i="13" s="1"/>
  <c r="D17" i="13"/>
  <c r="D28" i="13" s="1"/>
  <c r="C48" i="13"/>
  <c r="C42" i="13" s="1"/>
  <c r="E48" i="13"/>
  <c r="E42" i="13" s="1"/>
  <c r="D20" i="12"/>
  <c r="E15" i="12"/>
  <c r="F15" i="12" s="1"/>
  <c r="D75" i="11"/>
  <c r="E38" i="11"/>
  <c r="F38" i="11" s="1"/>
  <c r="C41" i="11"/>
  <c r="C43" i="11"/>
  <c r="E61" i="11"/>
  <c r="F61" i="11" s="1"/>
  <c r="C65" i="11"/>
  <c r="E65" i="11" s="1"/>
  <c r="E73" i="11"/>
  <c r="F73" i="11"/>
  <c r="F107" i="10"/>
  <c r="F108" i="10"/>
  <c r="F114" i="10"/>
  <c r="F115" i="10"/>
  <c r="F116" i="10"/>
  <c r="F117" i="10"/>
  <c r="E112" i="10"/>
  <c r="F112" i="10" s="1"/>
  <c r="E113" i="10"/>
  <c r="F113" i="10" s="1"/>
  <c r="C121" i="10"/>
  <c r="C122" i="10"/>
  <c r="E199" i="9"/>
  <c r="F199" i="9" s="1"/>
  <c r="C21" i="8"/>
  <c r="E140" i="8"/>
  <c r="E138" i="8"/>
  <c r="E136" i="8"/>
  <c r="E139" i="8"/>
  <c r="E137" i="8"/>
  <c r="E135" i="8"/>
  <c r="E141" i="8" s="1"/>
  <c r="D139" i="8"/>
  <c r="D137" i="8"/>
  <c r="D140" i="8"/>
  <c r="D21" i="8"/>
  <c r="D156" i="8"/>
  <c r="D152" i="8"/>
  <c r="D15" i="8"/>
  <c r="C17" i="8"/>
  <c r="C28" i="8" s="1"/>
  <c r="C43" i="8"/>
  <c r="E43" i="8"/>
  <c r="C53" i="8"/>
  <c r="E53" i="8"/>
  <c r="D57" i="8"/>
  <c r="D62" i="8" s="1"/>
  <c r="D77" i="8"/>
  <c r="D43" i="8"/>
  <c r="C49" i="8"/>
  <c r="E49" i="8"/>
  <c r="C77" i="8"/>
  <c r="C71" i="8"/>
  <c r="E77" i="8"/>
  <c r="E71" i="8" s="1"/>
  <c r="E90" i="7"/>
  <c r="F90" i="7" s="1"/>
  <c r="F183" i="7"/>
  <c r="C188" i="7"/>
  <c r="D21" i="5"/>
  <c r="F73" i="4"/>
  <c r="E56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C113" i="22" s="1"/>
  <c r="C53" i="22"/>
  <c r="C45" i="22"/>
  <c r="C39" i="22"/>
  <c r="C35" i="22"/>
  <c r="C29" i="22"/>
  <c r="C110" i="22"/>
  <c r="E111" i="22"/>
  <c r="E36" i="22"/>
  <c r="E30" i="22"/>
  <c r="F39" i="20"/>
  <c r="F43" i="20"/>
  <c r="F41" i="20"/>
  <c r="C223" i="18"/>
  <c r="C247" i="18"/>
  <c r="E247" i="18" s="1"/>
  <c r="D254" i="18"/>
  <c r="E252" i="18"/>
  <c r="C126" i="18"/>
  <c r="C124" i="18"/>
  <c r="C122" i="18"/>
  <c r="C113" i="18"/>
  <c r="C111" i="18"/>
  <c r="C125" i="18"/>
  <c r="C123" i="18"/>
  <c r="C128" i="18" s="1"/>
  <c r="C121" i="18"/>
  <c r="C129" i="18" s="1"/>
  <c r="C112" i="18"/>
  <c r="C110" i="18"/>
  <c r="D66" i="18"/>
  <c r="D247" i="18"/>
  <c r="E223" i="18"/>
  <c r="E222" i="18"/>
  <c r="D246" i="18"/>
  <c r="D235" i="18"/>
  <c r="E260" i="18"/>
  <c r="C234" i="18"/>
  <c r="D180" i="18"/>
  <c r="D145" i="18"/>
  <c r="E144" i="18"/>
  <c r="D168" i="18"/>
  <c r="E33" i="18"/>
  <c r="C300" i="17"/>
  <c r="E267" i="17"/>
  <c r="F267" i="17"/>
  <c r="F199" i="17"/>
  <c r="C288" i="17"/>
  <c r="C284" i="17"/>
  <c r="C279" i="17"/>
  <c r="D194" i="17"/>
  <c r="D196" i="17" s="1"/>
  <c r="E264" i="17"/>
  <c r="F264" i="17" s="1"/>
  <c r="D255" i="17"/>
  <c r="E255" i="17" s="1"/>
  <c r="F255" i="17" s="1"/>
  <c r="F278" i="17"/>
  <c r="D288" i="17"/>
  <c r="E214" i="17"/>
  <c r="F214" i="17"/>
  <c r="D254" i="17"/>
  <c r="D216" i="17"/>
  <c r="D287" i="17"/>
  <c r="D284" i="17"/>
  <c r="E284" i="17" s="1"/>
  <c r="F284" i="17" s="1"/>
  <c r="D279" i="17"/>
  <c r="E279" i="17" s="1"/>
  <c r="E173" i="17"/>
  <c r="C208" i="17"/>
  <c r="C210" i="17" s="1"/>
  <c r="C209" i="17"/>
  <c r="C174" i="17"/>
  <c r="C104" i="17"/>
  <c r="C125" i="17"/>
  <c r="F207" i="17"/>
  <c r="D208" i="17"/>
  <c r="E208" i="17" s="1"/>
  <c r="E283" i="17"/>
  <c r="F283" i="17"/>
  <c r="D286" i="17"/>
  <c r="E286" i="17"/>
  <c r="F286" i="17" s="1"/>
  <c r="C271" i="17"/>
  <c r="C268" i="17"/>
  <c r="C263" i="17"/>
  <c r="C194" i="17"/>
  <c r="D49" i="17"/>
  <c r="D161" i="17"/>
  <c r="D91" i="17"/>
  <c r="E200" i="17"/>
  <c r="F200" i="17" s="1"/>
  <c r="E190" i="17"/>
  <c r="F190" i="17"/>
  <c r="D272" i="17"/>
  <c r="E262" i="17"/>
  <c r="F262" i="17"/>
  <c r="D271" i="17"/>
  <c r="E261" i="17"/>
  <c r="F261" i="17" s="1"/>
  <c r="D263" i="17"/>
  <c r="E263" i="17" s="1"/>
  <c r="C304" i="17"/>
  <c r="C49" i="17"/>
  <c r="C50" i="17" s="1"/>
  <c r="C282" i="17"/>
  <c r="E192" i="17"/>
  <c r="F192" i="17" s="1"/>
  <c r="C175" i="17"/>
  <c r="C176" i="17" s="1"/>
  <c r="C140" i="17"/>
  <c r="C105" i="17"/>
  <c r="C62" i="17"/>
  <c r="F173" i="17"/>
  <c r="D174" i="17"/>
  <c r="E174" i="17" s="1"/>
  <c r="F174" i="17" s="1"/>
  <c r="D104" i="17"/>
  <c r="E104" i="17"/>
  <c r="F104" i="17" s="1"/>
  <c r="E61" i="17"/>
  <c r="F61" i="17" s="1"/>
  <c r="E37" i="17"/>
  <c r="F37" i="17"/>
  <c r="D62" i="17"/>
  <c r="D63" i="17" s="1"/>
  <c r="E63" i="17" s="1"/>
  <c r="D140" i="17"/>
  <c r="D141" i="17" s="1"/>
  <c r="G40" i="14"/>
  <c r="I33" i="14"/>
  <c r="I36" i="14" s="1"/>
  <c r="I38" i="14" s="1"/>
  <c r="I40" i="14" s="1"/>
  <c r="E24" i="13"/>
  <c r="E20" i="13" s="1"/>
  <c r="E28" i="13"/>
  <c r="C24" i="13"/>
  <c r="C17" i="13"/>
  <c r="C28" i="13"/>
  <c r="D34" i="12"/>
  <c r="F65" i="11"/>
  <c r="F41" i="11"/>
  <c r="E41" i="11"/>
  <c r="E122" i="10"/>
  <c r="F121" i="10"/>
  <c r="C112" i="8"/>
  <c r="C111" i="8" s="1"/>
  <c r="D35" i="5"/>
  <c r="D43" i="5" s="1"/>
  <c r="C55" i="22"/>
  <c r="C47" i="22"/>
  <c r="C37" i="22"/>
  <c r="C112" i="22"/>
  <c r="E47" i="22"/>
  <c r="D169" i="18"/>
  <c r="D181" i="18"/>
  <c r="C63" i="17"/>
  <c r="C281" i="17"/>
  <c r="E282" i="17"/>
  <c r="F282" i="17" s="1"/>
  <c r="D92" i="17"/>
  <c r="D162" i="17"/>
  <c r="D197" i="17"/>
  <c r="C195" i="17"/>
  <c r="F208" i="17"/>
  <c r="D291" i="17"/>
  <c r="D305" i="17" s="1"/>
  <c r="E194" i="17"/>
  <c r="F194" i="17"/>
  <c r="D195" i="17"/>
  <c r="E195" i="17" s="1"/>
  <c r="F279" i="17"/>
  <c r="E62" i="17"/>
  <c r="F62" i="17" s="1"/>
  <c r="C141" i="17"/>
  <c r="D304" i="17"/>
  <c r="E254" i="17"/>
  <c r="F254" i="17"/>
  <c r="C70" i="13"/>
  <c r="C72" i="13" s="1"/>
  <c r="C69" i="13"/>
  <c r="E70" i="13"/>
  <c r="E72" i="13" s="1"/>
  <c r="E69" i="13" s="1"/>
  <c r="E22" i="13"/>
  <c r="D42" i="12"/>
  <c r="D49" i="12" s="1"/>
  <c r="C99" i="8"/>
  <c r="C101" i="8" s="1"/>
  <c r="C98" i="8" s="1"/>
  <c r="D309" i="17"/>
  <c r="D50" i="5" l="1"/>
  <c r="D322" i="17"/>
  <c r="E322" i="17" s="1"/>
  <c r="E141" i="17"/>
  <c r="D70" i="13"/>
  <c r="D72" i="13" s="1"/>
  <c r="D69" i="13" s="1"/>
  <c r="D22" i="13"/>
  <c r="E161" i="17"/>
  <c r="F161" i="17" s="1"/>
  <c r="C162" i="17"/>
  <c r="D310" i="17"/>
  <c r="E140" i="17"/>
  <c r="E113" i="22"/>
  <c r="E38" i="22"/>
  <c r="F43" i="11"/>
  <c r="D105" i="17"/>
  <c r="E32" i="17"/>
  <c r="F32" i="17" s="1"/>
  <c r="D175" i="17"/>
  <c r="C95" i="6"/>
  <c r="E85" i="6"/>
  <c r="F85" i="6" s="1"/>
  <c r="E271" i="17"/>
  <c r="F271" i="17" s="1"/>
  <c r="D273" i="17"/>
  <c r="E37" i="22"/>
  <c r="E112" i="22"/>
  <c r="E55" i="22"/>
  <c r="F122" i="10"/>
  <c r="F215" i="17"/>
  <c r="C216" i="17"/>
  <c r="E145" i="18"/>
  <c r="D39" i="22"/>
  <c r="D35" i="22"/>
  <c r="D29" i="22"/>
  <c r="D53" i="22"/>
  <c r="D110" i="22"/>
  <c r="D45" i="22"/>
  <c r="F63" i="17"/>
  <c r="D210" i="17"/>
  <c r="C126" i="17"/>
  <c r="E288" i="17"/>
  <c r="F288" i="17" s="1"/>
  <c r="D289" i="17"/>
  <c r="H38" i="14"/>
  <c r="E49" i="17"/>
  <c r="E75" i="11"/>
  <c r="F37" i="9"/>
  <c r="E37" i="9"/>
  <c r="C20" i="12"/>
  <c r="D320" i="18"/>
  <c r="E320" i="18" s="1"/>
  <c r="E316" i="18"/>
  <c r="F49" i="17"/>
  <c r="F195" i="17"/>
  <c r="D50" i="17"/>
  <c r="F263" i="17"/>
  <c r="E17" i="12"/>
  <c r="F17" i="12" s="1"/>
  <c r="F274" i="17"/>
  <c r="E160" i="17"/>
  <c r="F160" i="17"/>
  <c r="C180" i="18"/>
  <c r="C211" i="18"/>
  <c r="C322" i="17"/>
  <c r="F141" i="17"/>
  <c r="C211" i="17"/>
  <c r="E48" i="22"/>
  <c r="C106" i="17"/>
  <c r="F268" i="17"/>
  <c r="E268" i="17"/>
  <c r="E138" i="17"/>
  <c r="F138" i="17" s="1"/>
  <c r="C270" i="17"/>
  <c r="C272" i="17"/>
  <c r="D125" i="17"/>
  <c r="E125" i="17" s="1"/>
  <c r="F125" i="17" s="1"/>
  <c r="D126" i="17"/>
  <c r="E124" i="17"/>
  <c r="F124" i="17" s="1"/>
  <c r="E234" i="18"/>
  <c r="E41" i="4"/>
  <c r="F41" i="4" s="1"/>
  <c r="D43" i="4"/>
  <c r="E43" i="4" s="1"/>
  <c r="F43" i="4" s="1"/>
  <c r="D65" i="4"/>
  <c r="E61" i="4"/>
  <c r="F61" i="4" s="1"/>
  <c r="D53" i="8"/>
  <c r="D49" i="8"/>
  <c r="C56" i="22"/>
  <c r="C48" i="22"/>
  <c r="C38" i="22"/>
  <c r="C196" i="17"/>
  <c r="E21" i="17"/>
  <c r="F21" i="17" s="1"/>
  <c r="C91" i="17"/>
  <c r="H40" i="14"/>
  <c r="C70" i="17"/>
  <c r="E304" i="17"/>
  <c r="F304" i="17" s="1"/>
  <c r="E56" i="22"/>
  <c r="F140" i="17"/>
  <c r="E38" i="4"/>
  <c r="F38" i="4" s="1"/>
  <c r="D17" i="8"/>
  <c r="D24" i="8"/>
  <c r="D20" i="8" s="1"/>
  <c r="D281" i="17"/>
  <c r="E281" i="17" s="1"/>
  <c r="F281" i="17" s="1"/>
  <c r="E280" i="17"/>
  <c r="F280" i="17" s="1"/>
  <c r="E294" i="18"/>
  <c r="E71" i="18"/>
  <c r="D76" i="18"/>
  <c r="C75" i="4"/>
  <c r="F56" i="4"/>
  <c r="F62" i="9"/>
  <c r="E62" i="9"/>
  <c r="D33" i="14"/>
  <c r="D36" i="14" s="1"/>
  <c r="D38" i="14" s="1"/>
  <c r="D40" i="14" s="1"/>
  <c r="D31" i="14"/>
  <c r="E75" i="15"/>
  <c r="D283" i="18"/>
  <c r="E283" i="18" s="1"/>
  <c r="D22" i="18"/>
  <c r="E103" i="22"/>
  <c r="D71" i="8"/>
  <c r="E56" i="11"/>
  <c r="F56" i="11" s="1"/>
  <c r="E21" i="18"/>
  <c r="C65" i="4"/>
  <c r="F46" i="6"/>
  <c r="F124" i="6"/>
  <c r="D95" i="7"/>
  <c r="E95" i="7" s="1"/>
  <c r="F95" i="7" s="1"/>
  <c r="D138" i="8"/>
  <c r="D136" i="8"/>
  <c r="D135" i="8"/>
  <c r="F193" i="9"/>
  <c r="E193" i="9"/>
  <c r="F75" i="15"/>
  <c r="C75" i="11"/>
  <c r="C287" i="17"/>
  <c r="E277" i="17"/>
  <c r="F277" i="17" s="1"/>
  <c r="E215" i="17"/>
  <c r="C254" i="18"/>
  <c r="D75" i="4"/>
  <c r="E38" i="6"/>
  <c r="F38" i="6" s="1"/>
  <c r="E47" i="6"/>
  <c r="F47" i="6" s="1"/>
  <c r="F24" i="7"/>
  <c r="D157" i="8"/>
  <c r="D158" i="8" s="1"/>
  <c r="D155" i="8"/>
  <c r="D153" i="8"/>
  <c r="D154" i="8"/>
  <c r="D207" i="9"/>
  <c r="E207" i="9" s="1"/>
  <c r="F207" i="9" s="1"/>
  <c r="E198" i="9"/>
  <c r="F198" i="9" s="1"/>
  <c r="C259" i="18"/>
  <c r="C263" i="18" s="1"/>
  <c r="C44" i="18"/>
  <c r="C157" i="8"/>
  <c r="C154" i="8"/>
  <c r="F45" i="20"/>
  <c r="E45" i="20"/>
  <c r="E46" i="20" s="1"/>
  <c r="C46" i="20"/>
  <c r="D209" i="17"/>
  <c r="E209" i="17" s="1"/>
  <c r="F209" i="17" s="1"/>
  <c r="E180" i="18"/>
  <c r="E65" i="18"/>
  <c r="C156" i="8"/>
  <c r="F118" i="10"/>
  <c r="F36" i="14"/>
  <c r="F38" i="14" s="1"/>
  <c r="F40" i="14" s="1"/>
  <c r="D300" i="17"/>
  <c r="E300" i="17" s="1"/>
  <c r="F300" i="17" s="1"/>
  <c r="E274" i="17"/>
  <c r="D266" i="17"/>
  <c r="C246" i="18"/>
  <c r="E246" i="18" s="1"/>
  <c r="D108" i="22"/>
  <c r="E44" i="6"/>
  <c r="F44" i="6" s="1"/>
  <c r="F87" i="6"/>
  <c r="F91" i="6"/>
  <c r="F179" i="6"/>
  <c r="F102" i="9"/>
  <c r="E102" i="9"/>
  <c r="C20" i="13"/>
  <c r="E66" i="18"/>
  <c r="E254" i="18"/>
  <c r="C153" i="8"/>
  <c r="E269" i="17"/>
  <c r="F269" i="17" s="1"/>
  <c r="D270" i="17"/>
  <c r="E54" i="22"/>
  <c r="E46" i="22"/>
  <c r="E40" i="22"/>
  <c r="E41" i="6"/>
  <c r="F41" i="6"/>
  <c r="E89" i="17"/>
  <c r="C90" i="17"/>
  <c r="F89" i="17"/>
  <c r="C157" i="18"/>
  <c r="E157" i="18" s="1"/>
  <c r="C168" i="18"/>
  <c r="E168" i="18" s="1"/>
  <c r="E189" i="18"/>
  <c r="E228" i="18"/>
  <c r="C253" i="18"/>
  <c r="E253" i="18" s="1"/>
  <c r="D303" i="18"/>
  <c r="E302" i="18"/>
  <c r="C22" i="8"/>
  <c r="C22" i="13"/>
  <c r="C155" i="8"/>
  <c r="F193" i="17"/>
  <c r="C266" i="17"/>
  <c r="E295" i="18"/>
  <c r="C109" i="18"/>
  <c r="C127" i="18"/>
  <c r="C115" i="18"/>
  <c r="C114" i="18"/>
  <c r="C116" i="18" s="1"/>
  <c r="C18" i="5"/>
  <c r="E16" i="5"/>
  <c r="F16" i="5"/>
  <c r="D95" i="6"/>
  <c r="E95" i="6" s="1"/>
  <c r="E84" i="6"/>
  <c r="F84" i="6" s="1"/>
  <c r="F88" i="6"/>
  <c r="E237" i="17"/>
  <c r="F237" i="17"/>
  <c r="C239" i="17"/>
  <c r="F43" i="6"/>
  <c r="E49" i="6"/>
  <c r="F49" i="6" s="1"/>
  <c r="E25" i="8"/>
  <c r="E27" i="8" s="1"/>
  <c r="E15" i="8"/>
  <c r="D90" i="8"/>
  <c r="D86" i="8" s="1"/>
  <c r="F154" i="9"/>
  <c r="E154" i="9"/>
  <c r="F17" i="17"/>
  <c r="E37" i="18"/>
  <c r="D43" i="18"/>
  <c r="E166" i="8"/>
  <c r="F24" i="9"/>
  <c r="F49" i="9"/>
  <c r="E128" i="9"/>
  <c r="F128" i="9"/>
  <c r="F84" i="10"/>
  <c r="E84" i="10"/>
  <c r="D52" i="6"/>
  <c r="E52" i="6" s="1"/>
  <c r="F52" i="6" s="1"/>
  <c r="F48" i="6"/>
  <c r="F51" i="6"/>
  <c r="F81" i="6"/>
  <c r="F89" i="6"/>
  <c r="F92" i="6"/>
  <c r="F25" i="20"/>
  <c r="F42" i="6"/>
  <c r="F45" i="6"/>
  <c r="F86" i="6"/>
  <c r="F41" i="7"/>
  <c r="E167" i="7"/>
  <c r="F167" i="7" s="1"/>
  <c r="D188" i="7"/>
  <c r="E188" i="7" s="1"/>
  <c r="F188" i="7" s="1"/>
  <c r="C149" i="8"/>
  <c r="F205" i="9"/>
  <c r="D242" i="18"/>
  <c r="E242" i="18" s="1"/>
  <c r="D217" i="18"/>
  <c r="F50" i="9"/>
  <c r="F75" i="9"/>
  <c r="F16" i="20"/>
  <c r="E36" i="20"/>
  <c r="F36" i="20" s="1"/>
  <c r="F34" i="20"/>
  <c r="F127" i="9"/>
  <c r="C208" i="9"/>
  <c r="E208" i="9" s="1"/>
  <c r="F36" i="10"/>
  <c r="E59" i="10"/>
  <c r="F59" i="10" s="1"/>
  <c r="F23" i="15"/>
  <c r="F17" i="16"/>
  <c r="E166" i="18"/>
  <c r="E205" i="9"/>
  <c r="E72" i="10"/>
  <c r="E29" i="11"/>
  <c r="F29" i="11"/>
  <c r="E50" i="15"/>
  <c r="F29" i="17"/>
  <c r="E141" i="9"/>
  <c r="F203" i="9"/>
  <c r="E95" i="10"/>
  <c r="F95" i="10" s="1"/>
  <c r="F70" i="15"/>
  <c r="F21" i="16"/>
  <c r="E29" i="17"/>
  <c r="E58" i="17"/>
  <c r="F58" i="17" s="1"/>
  <c r="D23" i="22"/>
  <c r="D34" i="22"/>
  <c r="E75" i="9"/>
  <c r="F179" i="9"/>
  <c r="E179" i="9"/>
  <c r="F32" i="12"/>
  <c r="F65" i="15"/>
  <c r="F19" i="21"/>
  <c r="F201" i="9"/>
  <c r="F96" i="10"/>
  <c r="F20" i="17"/>
  <c r="F24" i="17"/>
  <c r="E20" i="20"/>
  <c r="F20" i="20" s="1"/>
  <c r="E19" i="21"/>
  <c r="E151" i="18"/>
  <c r="C163" i="18"/>
  <c r="E163" i="18" s="1"/>
  <c r="C265" i="17" l="1"/>
  <c r="C127" i="17"/>
  <c r="C183" i="17"/>
  <c r="C323" i="17"/>
  <c r="F162" i="17"/>
  <c r="D36" i="22"/>
  <c r="D30" i="22"/>
  <c r="D111" i="22"/>
  <c r="D54" i="22"/>
  <c r="D40" i="22"/>
  <c r="D46" i="22"/>
  <c r="C117" i="18"/>
  <c r="C131" i="18" s="1"/>
  <c r="E303" i="18"/>
  <c r="D306" i="18"/>
  <c r="E90" i="17"/>
  <c r="F90" i="17" s="1"/>
  <c r="D141" i="8"/>
  <c r="E196" i="17"/>
  <c r="F196" i="17" s="1"/>
  <c r="E105" i="17"/>
  <c r="F105" i="17" s="1"/>
  <c r="D106" i="17"/>
  <c r="C138" i="8"/>
  <c r="C136" i="8"/>
  <c r="C139" i="8"/>
  <c r="C140" i="8"/>
  <c r="C137" i="8"/>
  <c r="C135" i="8"/>
  <c r="C158" i="8"/>
  <c r="E162" i="17"/>
  <c r="E65" i="4"/>
  <c r="E272" i="17"/>
  <c r="F272" i="17" s="1"/>
  <c r="F95" i="6"/>
  <c r="E18" i="5"/>
  <c r="F18" i="5" s="1"/>
  <c r="C21" i="5"/>
  <c r="F75" i="11"/>
  <c r="D284" i="18"/>
  <c r="E284" i="18" s="1"/>
  <c r="E22" i="18"/>
  <c r="D28" i="8"/>
  <c r="D112" i="8"/>
  <c r="D111" i="8" s="1"/>
  <c r="F322" i="17"/>
  <c r="C291" i="17"/>
  <c r="C289" i="17"/>
  <c r="F287" i="17"/>
  <c r="E287" i="17"/>
  <c r="D211" i="17"/>
  <c r="E211" i="17" s="1"/>
  <c r="E210" i="17"/>
  <c r="F210" i="17" s="1"/>
  <c r="D70" i="17"/>
  <c r="E70" i="17" s="1"/>
  <c r="F70" i="17" s="1"/>
  <c r="E50" i="17"/>
  <c r="F50" i="17" s="1"/>
  <c r="C34" i="12"/>
  <c r="E20" i="12"/>
  <c r="F20" i="12" s="1"/>
  <c r="F211" i="17"/>
  <c r="D55" i="22"/>
  <c r="D112" i="22"/>
  <c r="D47" i="22"/>
  <c r="D37" i="22"/>
  <c r="D265" i="17"/>
  <c r="E265" i="17" s="1"/>
  <c r="E266" i="17"/>
  <c r="F266" i="17" s="1"/>
  <c r="D241" i="18"/>
  <c r="E241" i="18" s="1"/>
  <c r="E217" i="18"/>
  <c r="E157" i="8"/>
  <c r="E155" i="8"/>
  <c r="E153" i="8"/>
  <c r="E152" i="8"/>
  <c r="E154" i="8"/>
  <c r="E156" i="8"/>
  <c r="E24" i="8"/>
  <c r="E20" i="8" s="1"/>
  <c r="E17" i="8"/>
  <c r="F46" i="20"/>
  <c r="D77" i="18"/>
  <c r="E76" i="18"/>
  <c r="C273" i="17"/>
  <c r="E91" i="17"/>
  <c r="C92" i="17"/>
  <c r="F91" i="17"/>
  <c r="E126" i="17"/>
  <c r="F126" i="17" s="1"/>
  <c r="D127" i="17"/>
  <c r="C235" i="18"/>
  <c r="E235" i="18" s="1"/>
  <c r="C181" i="18"/>
  <c r="E181" i="18" s="1"/>
  <c r="E211" i="18"/>
  <c r="C169" i="18"/>
  <c r="E169" i="18" s="1"/>
  <c r="E175" i="17"/>
  <c r="F175" i="17" s="1"/>
  <c r="D176" i="17"/>
  <c r="E239" i="17"/>
  <c r="F239" i="17" s="1"/>
  <c r="C88" i="18"/>
  <c r="C87" i="18"/>
  <c r="C86" i="18"/>
  <c r="C85" i="18"/>
  <c r="C99" i="18"/>
  <c r="C96" i="18"/>
  <c r="C84" i="18"/>
  <c r="C100" i="18"/>
  <c r="C98" i="18"/>
  <c r="C97" i="18"/>
  <c r="C89" i="18"/>
  <c r="C258" i="18"/>
  <c r="C101" i="18"/>
  <c r="C95" i="18"/>
  <c r="C83" i="18"/>
  <c r="F208" i="9"/>
  <c r="E43" i="18"/>
  <c r="D44" i="18"/>
  <c r="D259" i="18"/>
  <c r="E21" i="8"/>
  <c r="E270" i="17"/>
  <c r="F270" i="17" s="1"/>
  <c r="E75" i="4"/>
  <c r="F75" i="4" s="1"/>
  <c r="F65" i="4"/>
  <c r="E289" i="17"/>
  <c r="E216" i="17"/>
  <c r="F216" i="17" s="1"/>
  <c r="D312" i="17"/>
  <c r="D263" i="18" l="1"/>
  <c r="E263" i="18" s="1"/>
  <c r="E259" i="18"/>
  <c r="F273" i="17"/>
  <c r="E158" i="8"/>
  <c r="C42" i="12"/>
  <c r="F34" i="12"/>
  <c r="E34" i="12"/>
  <c r="F289" i="17"/>
  <c r="D96" i="18"/>
  <c r="D95" i="18"/>
  <c r="D89" i="18"/>
  <c r="E89" i="18" s="1"/>
  <c r="D88" i="18"/>
  <c r="E88" i="18" s="1"/>
  <c r="D258" i="18"/>
  <c r="D101" i="18"/>
  <c r="E101" i="18" s="1"/>
  <c r="D98" i="18"/>
  <c r="E98" i="18" s="1"/>
  <c r="E44" i="18"/>
  <c r="D87" i="18"/>
  <c r="E87" i="18" s="1"/>
  <c r="D85" i="18"/>
  <c r="E85" i="18" s="1"/>
  <c r="D83" i="18"/>
  <c r="D86" i="18"/>
  <c r="E86" i="18" s="1"/>
  <c r="D99" i="18"/>
  <c r="E99" i="18" s="1"/>
  <c r="D100" i="18"/>
  <c r="E100" i="18" s="1"/>
  <c r="D97" i="18"/>
  <c r="E97" i="18" s="1"/>
  <c r="D84" i="18"/>
  <c r="C305" i="17"/>
  <c r="E291" i="17"/>
  <c r="F291" i="17" s="1"/>
  <c r="C35" i="5"/>
  <c r="E21" i="5"/>
  <c r="F21" i="5" s="1"/>
  <c r="C141" i="8"/>
  <c r="F323" i="17"/>
  <c r="E127" i="17"/>
  <c r="D148" i="17"/>
  <c r="C148" i="17"/>
  <c r="F127" i="17"/>
  <c r="C197" i="17"/>
  <c r="D313" i="17"/>
  <c r="C91" i="18"/>
  <c r="C105" i="18" s="1"/>
  <c r="C90" i="18"/>
  <c r="E28" i="8"/>
  <c r="E112" i="8"/>
  <c r="E111" i="8" s="1"/>
  <c r="C103" i="18"/>
  <c r="E176" i="17"/>
  <c r="F176" i="17" s="1"/>
  <c r="D323" i="17"/>
  <c r="E323" i="17" s="1"/>
  <c r="D183" i="17"/>
  <c r="E183" i="17" s="1"/>
  <c r="F183" i="17" s="1"/>
  <c r="D99" i="8"/>
  <c r="D101" i="8" s="1"/>
  <c r="D98" i="8" s="1"/>
  <c r="D22" i="8"/>
  <c r="C113" i="17"/>
  <c r="E92" i="17"/>
  <c r="C324" i="17"/>
  <c r="F92" i="17"/>
  <c r="D113" i="22"/>
  <c r="D48" i="22"/>
  <c r="D38" i="22"/>
  <c r="D56" i="22"/>
  <c r="D127" i="18"/>
  <c r="E127" i="18" s="1"/>
  <c r="D126" i="18"/>
  <c r="E126" i="18" s="1"/>
  <c r="D125" i="18"/>
  <c r="E125" i="18" s="1"/>
  <c r="D124" i="18"/>
  <c r="E124" i="18" s="1"/>
  <c r="D112" i="18"/>
  <c r="E112" i="18" s="1"/>
  <c r="D111" i="18"/>
  <c r="E111" i="18" s="1"/>
  <c r="E77" i="18"/>
  <c r="D122" i="18"/>
  <c r="D115" i="18"/>
  <c r="E115" i="18" s="1"/>
  <c r="D113" i="18"/>
  <c r="E113" i="18" s="1"/>
  <c r="D114" i="18"/>
  <c r="E114" i="18" s="1"/>
  <c r="D123" i="18"/>
  <c r="E123" i="18" s="1"/>
  <c r="D121" i="18"/>
  <c r="D110" i="18"/>
  <c r="D109" i="18"/>
  <c r="E273" i="17"/>
  <c r="C102" i="18"/>
  <c r="C264" i="18"/>
  <c r="C266" i="18" s="1"/>
  <c r="C267" i="18"/>
  <c r="D324" i="17"/>
  <c r="D113" i="17"/>
  <c r="E106" i="17"/>
  <c r="F106" i="17" s="1"/>
  <c r="D310" i="18"/>
  <c r="E310" i="18" s="1"/>
  <c r="E306" i="18"/>
  <c r="F265" i="17"/>
  <c r="E110" i="18" l="1"/>
  <c r="D116" i="18"/>
  <c r="E116" i="18" s="1"/>
  <c r="E84" i="18"/>
  <c r="D90" i="18"/>
  <c r="E90" i="18" s="1"/>
  <c r="E113" i="17"/>
  <c r="F113" i="17" s="1"/>
  <c r="E121" i="18"/>
  <c r="D315" i="17"/>
  <c r="D314" i="17"/>
  <c r="D256" i="17"/>
  <c r="D251" i="17"/>
  <c r="C269" i="18"/>
  <c r="C268" i="18"/>
  <c r="C271" i="18" s="1"/>
  <c r="F35" i="5"/>
  <c r="C43" i="5"/>
  <c r="E35" i="5"/>
  <c r="E258" i="18"/>
  <c r="D264" i="18"/>
  <c r="F42" i="12"/>
  <c r="C49" i="12"/>
  <c r="E42" i="12"/>
  <c r="E324" i="17"/>
  <c r="D325" i="17"/>
  <c r="E197" i="17"/>
  <c r="F197" i="17" s="1"/>
  <c r="E83" i="18"/>
  <c r="D91" i="18"/>
  <c r="E122" i="18"/>
  <c r="D128" i="18"/>
  <c r="E128" i="18" s="1"/>
  <c r="E99" i="8"/>
  <c r="E101" i="8" s="1"/>
  <c r="E98" i="8" s="1"/>
  <c r="E22" i="8"/>
  <c r="E148" i="17"/>
  <c r="E95" i="18"/>
  <c r="F324" i="17"/>
  <c r="C325" i="17"/>
  <c r="F148" i="17"/>
  <c r="E109" i="18"/>
  <c r="D117" i="18"/>
  <c r="C309" i="17"/>
  <c r="E305" i="17"/>
  <c r="F305" i="17" s="1"/>
  <c r="D102" i="18"/>
  <c r="E102" i="18" s="1"/>
  <c r="E96" i="18"/>
  <c r="C50" i="5" l="1"/>
  <c r="E43" i="5"/>
  <c r="F43" i="5" s="1"/>
  <c r="D103" i="18"/>
  <c r="E103" i="18" s="1"/>
  <c r="E264" i="18"/>
  <c r="D266" i="18"/>
  <c r="E91" i="18"/>
  <c r="E49" i="12"/>
  <c r="F49" i="12" s="1"/>
  <c r="D129" i="18"/>
  <c r="E129" i="18" s="1"/>
  <c r="C310" i="17"/>
  <c r="F309" i="17"/>
  <c r="E309" i="17"/>
  <c r="D257" i="17"/>
  <c r="E117" i="18"/>
  <c r="D318" i="17"/>
  <c r="E325" i="17"/>
  <c r="F325" i="17" s="1"/>
  <c r="C312" i="17" l="1"/>
  <c r="E310" i="17"/>
  <c r="F310" i="17" s="1"/>
  <c r="D131" i="18"/>
  <c r="E131" i="18" s="1"/>
  <c r="E266" i="18"/>
  <c r="D267" i="18"/>
  <c r="D105" i="18"/>
  <c r="E105" i="18" s="1"/>
  <c r="E50" i="5"/>
  <c r="F50" i="5" s="1"/>
  <c r="E267" i="18" l="1"/>
  <c r="D268" i="18"/>
  <c r="D269" i="18"/>
  <c r="E269" i="18" s="1"/>
  <c r="C313" i="17"/>
  <c r="E312" i="17"/>
  <c r="F312" i="17" s="1"/>
  <c r="C315" i="17" l="1"/>
  <c r="C314" i="17"/>
  <c r="C251" i="17"/>
  <c r="C256" i="17"/>
  <c r="E313" i="17"/>
  <c r="F313" i="17" s="1"/>
  <c r="D271" i="18"/>
  <c r="E271" i="18" s="1"/>
  <c r="E268" i="18"/>
  <c r="E251" i="17" l="1"/>
  <c r="F251" i="17" s="1"/>
  <c r="C257" i="17"/>
  <c r="E256" i="17"/>
  <c r="F256" i="17" s="1"/>
  <c r="F315" i="17"/>
  <c r="E315" i="17"/>
  <c r="F314" i="17"/>
  <c r="C318" i="17"/>
  <c r="E314" i="17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<sst xmlns="http://schemas.openxmlformats.org/spreadsheetml/2006/main" count="2333" uniqueCount="1008">
  <si>
    <t>ESSENT-SHARON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</si>
  <si>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</si>
  <si>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</si>
  <si>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</si>
  <si>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</si>
  <si>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</si>
  <si>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</si>
  <si>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</si>
  <si>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</si>
  <si>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</si>
  <si>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</si>
  <si>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</si>
  <si>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</si>
  <si>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</si>
  <si>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</si>
  <si>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</si>
  <si>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</si>
  <si>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</si>
  <si>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</si>
  <si>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</si>
  <si>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</si>
  <si>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</si>
  <si>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</si>
  <si>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</si>
  <si>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</si>
  <si>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</si>
  <si>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</si>
  <si>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</si>
  <si>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</si>
  <si>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</si>
  <si>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</si>
  <si>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</si>
  <si>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</si>
  <si>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</si>
  <si>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</si>
  <si>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</si>
  <si>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</si>
  <si>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</si>
  <si>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</si>
  <si>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</si>
  <si>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</si>
  <si>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</si>
  <si>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</si>
  <si>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</si>
  <si>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</si>
  <si>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</si>
  <si>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</si>
  <si>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</si>
  <si>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</si>
  <si>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</si>
  <si>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</si>
  <si>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</si>
  <si>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</si>
  <si>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</si>
  <si>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</si>
  <si>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</si>
  <si>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</si>
  <si>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</si>
  <si>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</si>
  <si>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</si>
  <si>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</si>
  <si>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</si>
  <si>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</si>
  <si>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</si>
  <si>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</si>
  <si>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</si>
  <si>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</si>
  <si>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</si>
  <si>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</si>
  <si>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</si>
  <si>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</si>
  <si>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</si>
  <si>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</si>
  <si>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</si>
  <si>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</si>
  <si>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</si>
  <si>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</si>
  <si>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</si>
  <si>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</si>
  <si>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</si>
  <si>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</si>
  <si>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</si>
  <si>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</si>
  <si>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</si>
  <si>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</si>
  <si>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</si>
  <si>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</si>
  <si>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</si>
  <si>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</si>
  <si>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</si>
  <si>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</si>
  <si>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</si>
  <si>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</si>
  <si>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</si>
  <si>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</si>
  <si>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</si>
  <si>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</si>
  <si>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</si>
  <si>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</si>
  <si>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</si>
  <si>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</si>
  <si>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</si>
  <si>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</si>
  <si>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</si>
  <si>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</si>
  <si>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</si>
  <si>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</si>
  <si>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</si>
  <si>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</si>
  <si>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</si>
  <si>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</si>
  <si>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</si>
  <si>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</si>
  <si>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</si>
  <si>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</si>
  <si>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</si>
  <si>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</si>
  <si>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</si>
  <si>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</si>
  <si>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</si>
  <si>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</si>
  <si>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</si>
  <si>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</si>
  <si>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</si>
  <si>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</si>
  <si>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</si>
  <si>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</si>
  <si>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</si>
  <si>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</si>
  <si>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</si>
  <si>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</si>
  <si>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</si>
  <si>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</si>
  <si>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</si>
  <si>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</si>
  <si>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</si>
  <si>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</si>
  <si>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</si>
  <si>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</si>
  <si>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</si>
  <si>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</si>
  <si>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</si>
  <si>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</si>
  <si>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</si>
  <si>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</si>
  <si>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</si>
  <si>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</si>
  <si>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</si>
  <si>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</si>
  <si>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</si>
  <si>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</si>
  <si>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</si>
  <si>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</si>
  <si>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</si>
  <si>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</si>
  <si>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</si>
  <si>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</si>
  <si>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</si>
  <si>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</si>
  <si>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</si>
  <si>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</si>
  <si>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</si>
  <si>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</si>
  <si>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</si>
  <si>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</si>
  <si>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</si>
  <si>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</si>
  <si>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</si>
  <si>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</si>
  <si>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</si>
  <si>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</si>
  <si>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</si>
  <si>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</si>
  <si>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</si>
  <si>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</si>
  <si>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</si>
  <si>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</si>
  <si>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</si>
  <si>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</si>
  <si>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</si>
  <si>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</si>
  <si>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</si>
  <si>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</si>
  <si>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</si>
  <si>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</si>
  <si>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</si>
  <si>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</si>
  <si>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</si>
  <si>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</si>
  <si>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</si>
  <si>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</si>
  <si>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</si>
  <si>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</si>
  <si>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</si>
  <si>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</si>
  <si>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</si>
  <si>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</si>
  <si>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</si>
  <si>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</si>
  <si>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</si>
  <si>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</si>
  <si>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</si>
  <si>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</si>
  <si>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</si>
  <si>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</si>
  <si>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</si>
  <si>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</si>
  <si>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</si>
  <si>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</si>
  <si>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</si>
  <si>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</si>
  <si>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</si>
  <si>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</si>
  <si>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</si>
  <si>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</si>
  <si>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</si>
  <si>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</si>
  <si>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</si>
  <si>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</si>
  <si>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</si>
  <si>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</si>
  <si>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</si>
  <si>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</si>
  <si>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</si>
  <si>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</si>
  <si>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</si>
  <si>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</si>
  <si>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</si>
  <si>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</si>
  <si>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</si>
  <si>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</si>
  <si>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</si>
  <si>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</si>
  <si>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</si>
  <si>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</si>
  <si>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</si>
  <si>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</si>
  <si>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</si>
  <si>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</si>
  <si>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</si>
  <si>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</si>
  <si>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</si>
  <si>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</si>
  <si>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</si>
  <si>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</si>
  <si>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</si>
  <si>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</si>
  <si>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</si>
  <si>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</si>
  <si>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</si>
  <si>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</si>
  <si>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</si>
  <si>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</si>
  <si>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</si>
  <si>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</si>
  <si>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</si>
  <si>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</si>
  <si>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</si>
  <si>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</si>
  <si>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</si>
  <si>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</si>
  <si>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</si>
  <si>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</si>
  <si>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</si>
  <si>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</si>
  <si>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</si>
  <si>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</si>
  <si>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</si>
  <si>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</si>
  <si>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</si>
  <si>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</si>
  <si>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</si>
  <si>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</si>
  <si>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</si>
  <si>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</si>
  <si>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</si>
  <si>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</si>
  <si>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</si>
  <si>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</si>
  <si>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</si>
  <si>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</si>
  <si>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</si>
  <si>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</si>
  <si>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</si>
  <si>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</si>
  <si>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</si>
  <si>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</si>
  <si>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</si>
  <si>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</si>
  <si>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</si>
  <si>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</si>
  <si>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</si>
  <si>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</si>
  <si>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</si>
  <si>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</si>
  <si>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</si>
  <si>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</si>
  <si>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</si>
  <si>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</si>
  <si>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</si>
  <si>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</si>
  <si>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</si>
  <si>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</si>
  <si>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</si>
  <si>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</si>
  <si>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</si>
  <si>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</si>
  <si>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</si>
  <si>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</si>
  <si>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</si>
  <si>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</si>
  <si>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</si>
  <si>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</si>
  <si>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</si>
  <si>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</si>
  <si>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</si>
  <si>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</si>
  <si>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</si>
  <si>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</si>
  <si>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</si>
  <si>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</si>
  <si>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</si>
  <si>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</si>
  <si>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</si>
  <si>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</si>
  <si>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</si>
  <si>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</si>
  <si>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</si>
  <si>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</si>
  <si>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</si>
  <si>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</si>
  <si>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</si>
  <si>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</si>
  <si>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</si>
  <si>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</si>
  <si>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</si>
  <si>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</si>
  <si>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</si>
  <si>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</si>
  <si>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</si>
  <si>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</si>
  <si>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</si>
  <si>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</si>
  <si>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</si>
  <si>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</si>
  <si>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</si>
  <si>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</si>
  <si>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</si>
  <si>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</si>
  <si>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</si>
  <si>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</si>
  <si>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</si>
  <si>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</si>
  <si>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</si>
  <si>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</si>
  <si>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</si>
  <si>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</si>
  <si>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</si>
  <si>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</si>
  <si>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</si>
  <si>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</si>
  <si>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</si>
  <si>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</si>
  <si>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</si>
  <si>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</si>
  <si>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</si>
  <si>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</si>
  <si>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</si>
  <si>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</si>
  <si>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</si>
  <si>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</si>
  <si>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</si>
  <si>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</si>
  <si>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</si>
  <si>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</si>
  <si>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</si>
  <si>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</si>
  <si>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</si>
  <si>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</si>
  <si>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</si>
  <si>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</si>
  <si>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</si>
  <si>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</si>
  <si>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</si>
  <si>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</si>
  <si>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</si>
  <si>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</si>
  <si>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</si>
  <si>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</si>
  <si>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</si>
  <si>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</si>
  <si>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</si>
  <si>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</si>
  <si>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</si>
  <si>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</si>
  <si>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</si>
  <si>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</si>
  <si>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</si>
  <si>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</si>
  <si>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</si>
  <si>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</si>
  <si>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</si>
  <si>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</si>
  <si>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</si>
  <si>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</si>
  <si>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</si>
  <si>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</si>
  <si>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</si>
  <si>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</si>
  <si>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</si>
  <si>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</si>
  <si>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</si>
  <si>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</si>
  <si>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</si>
  <si>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</si>
  <si>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</si>
  <si>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</si>
  <si>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</si>
  <si>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</si>
  <si>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</si>
  <si>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</si>
  <si>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</si>
  <si>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</si>
  <si>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</si>
  <si>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</si>
  <si>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</si>
  <si>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</si>
  <si>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</si>
  <si>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</si>
  <si>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</si>
  <si>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</si>
  <si>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</si>
  <si>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</si>
  <si>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</si>
  <si>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</si>
  <si>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</si>
  <si>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</si>
  <si>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</si>
  <si>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</si>
  <si>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</si>
  <si>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</si>
  <si>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</si>
  <si>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</si>
  <si>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</si>
  <si>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</si>
  <si>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</si>
  <si>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</si>
  <si>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</si>
  <si>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</si>
  <si>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</si>
  <si>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</si>
  <si>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</si>
  <si>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</si>
  <si>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</si>
  <si>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</si>
  <si>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</si>
  <si>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</si>
  <si>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</si>
  <si>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</si>
  <si>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</si>
  <si>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</si>
  <si>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</si>
  <si>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</si>
  <si>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</si>
  <si>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</si>
  <si>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</si>
  <si>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</si>
  <si>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</si>
  <si>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</si>
  <si>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</si>
  <si>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</si>
  <si>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</si>
  <si>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</si>
  <si>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</si>
  <si>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</si>
  <si>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</si>
  <si>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</si>
  <si>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</si>
  <si>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</si>
  <si>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</si>
  <si>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</si>
  <si>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</si>
  <si>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</si>
  <si>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</si>
  <si>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</si>
  <si>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</si>
  <si>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</si>
  <si>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</si>
  <si>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</si>
  <si>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</si>
  <si>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</si>
  <si>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</si>
  <si>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</si>
  <si>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</si>
  <si>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</si>
  <si>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</si>
  <si>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</si>
  <si>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</si>
  <si>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</si>
  <si>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</si>
  <si>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SHARON HOSPITAL HOLDING CO,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</si>
  <si>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</si>
  <si>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</si>
  <si>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</si>
  <si>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</si>
  <si>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</si>
  <si>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</si>
  <si>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</si>
  <si>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</si>
  <si>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</si>
  <si>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</si>
  <si>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</si>
  <si>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</si>
  <si>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</si>
  <si>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</si>
  <si>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</si>
  <si>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</si>
  <si>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</si>
  <si>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</si>
  <si>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</si>
  <si>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</si>
  <si>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</si>
  <si>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</si>
  <si>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</si>
  <si>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</si>
  <si>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</si>
  <si>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</si>
  <si>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</si>
  <si>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</si>
  <si>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</si>
  <si>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</si>
  <si>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</si>
  <si>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</si>
  <si>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</si>
  <si>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</si>
  <si>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</si>
  <si>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</si>
  <si>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</si>
  <si>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</si>
  <si>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</si>
  <si>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</si>
  <si>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</si>
  <si>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</si>
  <si>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</si>
  <si>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</si>
  <si>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</si>
  <si>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</si>
  <si>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</si>
  <si>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</si>
  <si>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</si>
  <si>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</si>
  <si>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</si>
  <si>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</si>
  <si>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</si>
  <si>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</si>
  <si>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</si>
  <si>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</si>
  <si>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</si>
  <si>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</si>
  <si>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</si>
  <si>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</si>
  <si>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</si>
  <si>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</si>
  <si>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</si>
  <si>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</si>
  <si>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</si>
  <si>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</si>
  <si>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</si>
  <si>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</si>
  <si>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</si>
  <si>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</si>
  <si>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</si>
  <si>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</si>
  <si>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</si>
  <si>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</si>
  <si>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</si>
  <si>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</si>
  <si>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</si>
  <si>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</si>
  <si>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</si>
  <si>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</si>
  <si>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</si>
  <si>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</si>
  <si>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</si>
  <si>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</si>
  <si>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</si>
  <si>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</si>
  <si>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</si>
  <si>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</si>
  <si>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</si>
  <si>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</si>
  <si>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</si>
  <si>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</si>
  <si>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</si>
  <si>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</si>
  <si>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</si>
  <si>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</si>
  <si>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</si>
  <si>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</si>
  <si>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</si>
  <si>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</si>
  <si>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</si>
  <si>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</si>
  <si>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</si>
  <si>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</si>
  <si>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</si>
  <si>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</si>
  <si>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</si>
  <si>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</si>
  <si>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</si>
  <si>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</si>
  <si>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</si>
  <si>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</si>
  <si>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</si>
  <si>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</si>
  <si>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</si>
  <si>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</si>
  <si>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</si>
  <si>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</si>
  <si>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</si>
  <si>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</si>
  <si>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Sharon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</si>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</sst>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0</v>
      </c>
      <c r="D13" s="22">
        <v>0</v>
      </c>
      <c r="E13" s="22">
        <f t="shared" ref="E13:E22" si="0">D13-C13</f>
        <v>0</v>
      </c>
      <c r="F13" s="23">
        <f t="shared" ref="F13:F22" si="1">IF(C13=0,0,E13/C13)</f>
        <v>0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6927031</v>
      </c>
      <c r="D15" s="22">
        <v>7018848</v>
      </c>
      <c r="E15" s="22">
        <f t="shared" si="0"/>
        <v>91817</v>
      </c>
      <c r="F15" s="23">
        <f t="shared" si="1"/>
        <v>1.3254885101568045E-2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1127084</v>
      </c>
      <c r="D19" s="22">
        <v>1238168</v>
      </c>
      <c r="E19" s="22">
        <f t="shared" si="0"/>
        <v>111084</v>
      </c>
      <c r="F19" s="23">
        <f t="shared" si="1"/>
        <v>9.855875870831278E-2</v>
      </c>
    </row>
    <row r="20" spans="1:11" ht="24" customHeight="1" x14ac:dyDescent="0.2">
      <c r="A20" s="20">
        <v>8</v>
      </c>
      <c r="B20" s="21" t="s">
        <v>23</v>
      </c>
      <c r="C20" s="22">
        <v>515802</v>
      </c>
      <c r="D20" s="22">
        <v>1722975</v>
      </c>
      <c r="E20" s="22">
        <f t="shared" si="0"/>
        <v>1207173</v>
      </c>
      <c r="F20" s="23">
        <f t="shared" si="1"/>
        <v>2.3403806111647492</v>
      </c>
    </row>
    <row r="21" spans="1:11" ht="24" customHeight="1" x14ac:dyDescent="0.2">
      <c r="A21" s="20">
        <v>9</v>
      </c>
      <c r="B21" s="21" t="s">
        <v>24</v>
      </c>
      <c r="C21" s="22">
        <v>730076</v>
      </c>
      <c r="D21" s="22">
        <v>1179591</v>
      </c>
      <c r="E21" s="22">
        <f t="shared" si="0"/>
        <v>449515</v>
      </c>
      <c r="F21" s="23">
        <f t="shared" si="1"/>
        <v>0.61570987130107002</v>
      </c>
    </row>
    <row r="22" spans="1:11" ht="24" customHeight="1" x14ac:dyDescent="0.25">
      <c r="A22" s="24"/>
      <c r="B22" s="25" t="s">
        <v>25</v>
      </c>
      <c r="C22" s="26">
        <f>SUM(C13:C21)</f>
        <v>9299993</v>
      </c>
      <c r="D22" s="26">
        <f>SUM(D13:D21)</f>
        <v>11159582</v>
      </c>
      <c r="E22" s="26">
        <f t="shared" si="0"/>
        <v>1859589</v>
      </c>
      <c r="F22" s="27">
        <f t="shared" si="1"/>
        <v>0.19995595695609664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1823091</v>
      </c>
      <c r="D33" s="22">
        <v>523669</v>
      </c>
      <c r="E33" s="22">
        <f>D33-C33</f>
        <v>-1299422</v>
      </c>
      <c r="F33" s="23">
        <f>IF(C33=0,0,E33/C33)</f>
        <v>-0.71275761879138233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61544350</v>
      </c>
      <c r="D36" s="22">
        <v>62971937</v>
      </c>
      <c r="E36" s="22">
        <f>D36-C36</f>
        <v>1427587</v>
      </c>
      <c r="F36" s="23">
        <f>IF(C36=0,0,E36/C36)</f>
        <v>2.319606917613071E-2</v>
      </c>
    </row>
    <row r="37" spans="1:8" ht="24" customHeight="1" x14ac:dyDescent="0.2">
      <c r="A37" s="20">
        <v>2</v>
      </c>
      <c r="B37" s="21" t="s">
        <v>39</v>
      </c>
      <c r="C37" s="22">
        <v>26040539</v>
      </c>
      <c r="D37" s="22">
        <v>28550693</v>
      </c>
      <c r="E37" s="22">
        <f>D37-C37</f>
        <v>2510154</v>
      </c>
      <c r="F37" s="23">
        <f>IF(C37=0,0,E37/C37)</f>
        <v>9.6394087695343023E-2</v>
      </c>
    </row>
    <row r="38" spans="1:8" ht="24" customHeight="1" x14ac:dyDescent="0.25">
      <c r="A38" s="24"/>
      <c r="B38" s="25" t="s">
        <v>40</v>
      </c>
      <c r="C38" s="26">
        <f>C36-C37</f>
        <v>35503811</v>
      </c>
      <c r="D38" s="26">
        <f>D36-D37</f>
        <v>34421244</v>
      </c>
      <c r="E38" s="26">
        <f>D38-C38</f>
        <v>-1082567</v>
      </c>
      <c r="F38" s="27">
        <f>IF(C38=0,0,E38/C38)</f>
        <v>-3.0491571735777885E-2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381260</v>
      </c>
      <c r="D40" s="22">
        <v>0</v>
      </c>
      <c r="E40" s="22">
        <f>D40-C40</f>
        <v>-381260</v>
      </c>
      <c r="F40" s="23">
        <f>IF(C40=0,0,E40/C40)</f>
        <v>-1</v>
      </c>
    </row>
    <row r="41" spans="1:8" ht="24" customHeight="1" x14ac:dyDescent="0.25">
      <c r="A41" s="24"/>
      <c r="B41" s="25" t="s">
        <v>42</v>
      </c>
      <c r="C41" s="26">
        <f>+C38+C40</f>
        <v>35885071</v>
      </c>
      <c r="D41" s="26">
        <f>+D38+D40</f>
        <v>34421244</v>
      </c>
      <c r="E41" s="26">
        <f>D41-C41</f>
        <v>-1463827</v>
      </c>
      <c r="F41" s="27">
        <f>IF(C41=0,0,E41/C41)</f>
        <v>-4.0792088721240093E-2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47008155</v>
      </c>
      <c r="D43" s="26">
        <f>D22+D29+D31+D32+D33+D41</f>
        <v>46104495</v>
      </c>
      <c r="E43" s="26">
        <f>D43-C43</f>
        <v>-903660</v>
      </c>
      <c r="F43" s="27">
        <f>IF(C43=0,0,E43/C43)</f>
        <v>-1.9223473033561943E-2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1852707</v>
      </c>
      <c r="D49" s="22">
        <v>1553296</v>
      </c>
      <c r="E49" s="22">
        <f t="shared" ref="E49:E56" si="2">D49-C49</f>
        <v>-299411</v>
      </c>
      <c r="F49" s="23">
        <f t="shared" ref="F49:F56" si="3">IF(C49=0,0,E49/C49)</f>
        <v>-0.16160731297501441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3362358</v>
      </c>
      <c r="D50" s="22">
        <v>3501910</v>
      </c>
      <c r="E50" s="22">
        <f t="shared" si="2"/>
        <v>139552</v>
      </c>
      <c r="F50" s="23">
        <f t="shared" si="3"/>
        <v>4.1504206274287268E-2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291175</v>
      </c>
      <c r="E51" s="22">
        <f t="shared" si="2"/>
        <v>291175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9120</v>
      </c>
      <c r="D54" s="22">
        <v>54591</v>
      </c>
      <c r="E54" s="22">
        <f t="shared" si="2"/>
        <v>45471</v>
      </c>
      <c r="F54" s="23">
        <f t="shared" si="3"/>
        <v>4.9858552631578945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5224185</v>
      </c>
      <c r="D56" s="26">
        <f>SUM(D49:D55)</f>
        <v>5400972</v>
      </c>
      <c r="E56" s="26">
        <f t="shared" si="2"/>
        <v>176787</v>
      </c>
      <c r="F56" s="27">
        <f t="shared" si="3"/>
        <v>3.3840110945535046E-2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14898159</v>
      </c>
      <c r="D60" s="22">
        <v>8826637</v>
      </c>
      <c r="E60" s="22">
        <f>D60-C60</f>
        <v>-6071522</v>
      </c>
      <c r="F60" s="23">
        <f>IF(C60=0,0,E60/C60)</f>
        <v>-0.40753505181412014</v>
      </c>
    </row>
    <row r="61" spans="1:6" ht="24" customHeight="1" x14ac:dyDescent="0.25">
      <c r="A61" s="24"/>
      <c r="B61" s="25" t="s">
        <v>58</v>
      </c>
      <c r="C61" s="26">
        <f>SUM(C59:C60)</f>
        <v>14898159</v>
      </c>
      <c r="D61" s="26">
        <f>SUM(D59:D60)</f>
        <v>8826637</v>
      </c>
      <c r="E61" s="26">
        <f>D61-C61</f>
        <v>-6071522</v>
      </c>
      <c r="F61" s="27">
        <f>IF(C61=0,0,E61/C61)</f>
        <v>-0.40753505181412014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1403000</v>
      </c>
      <c r="D63" s="22">
        <v>1268000</v>
      </c>
      <c r="E63" s="22">
        <f>D63-C63</f>
        <v>-135000</v>
      </c>
      <c r="F63" s="23">
        <f>IF(C63=0,0,E63/C63)</f>
        <v>-9.6222380612972197E-2</v>
      </c>
    </row>
    <row r="64" spans="1:6" ht="24" customHeight="1" x14ac:dyDescent="0.2">
      <c r="A64" s="20">
        <v>4</v>
      </c>
      <c r="B64" s="21" t="s">
        <v>60</v>
      </c>
      <c r="C64" s="22">
        <v>354160</v>
      </c>
      <c r="D64" s="22">
        <v>554304</v>
      </c>
      <c r="E64" s="22">
        <f>D64-C64</f>
        <v>200144</v>
      </c>
      <c r="F64" s="23">
        <f>IF(C64=0,0,E64/C64)</f>
        <v>0.56512310819968381</v>
      </c>
    </row>
    <row r="65" spans="1:6" ht="24" customHeight="1" x14ac:dyDescent="0.25">
      <c r="A65" s="24"/>
      <c r="B65" s="25" t="s">
        <v>61</v>
      </c>
      <c r="C65" s="26">
        <f>SUM(C61:C64)</f>
        <v>16655319</v>
      </c>
      <c r="D65" s="26">
        <f>SUM(D61:D64)</f>
        <v>10648941</v>
      </c>
      <c r="E65" s="26">
        <f>D65-C65</f>
        <v>-6006378</v>
      </c>
      <c r="F65" s="27">
        <f>IF(C65=0,0,E65/C65)</f>
        <v>-0.36062821732804995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250000</v>
      </c>
      <c r="D67" s="22">
        <v>0</v>
      </c>
      <c r="E67" s="22">
        <f>D67-C67</f>
        <v>-250000</v>
      </c>
      <c r="F67" s="45">
        <f>IF(C67=0,0,E67/C67)</f>
        <v>-1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24878651</v>
      </c>
      <c r="D70" s="22">
        <v>30054582</v>
      </c>
      <c r="E70" s="22">
        <f>D70-C70</f>
        <v>5175931</v>
      </c>
      <c r="F70" s="23">
        <f>IF(C70=0,0,E70/C70)</f>
        <v>0.20804709226396559</v>
      </c>
    </row>
    <row r="71" spans="1:6" ht="24" customHeight="1" x14ac:dyDescent="0.2">
      <c r="A71" s="20">
        <v>2</v>
      </c>
      <c r="B71" s="21" t="s">
        <v>65</v>
      </c>
      <c r="C71" s="22">
        <v>0</v>
      </c>
      <c r="D71" s="22">
        <v>0</v>
      </c>
      <c r="E71" s="22">
        <f>D71-C71</f>
        <v>0</v>
      </c>
      <c r="F71" s="23">
        <f>IF(C71=0,0,E71/C71)</f>
        <v>0</v>
      </c>
    </row>
    <row r="72" spans="1:6" ht="24" customHeight="1" x14ac:dyDescent="0.2">
      <c r="A72" s="20">
        <v>3</v>
      </c>
      <c r="B72" s="21" t="s">
        <v>66</v>
      </c>
      <c r="C72" s="22">
        <v>0</v>
      </c>
      <c r="D72" s="22">
        <v>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24878651</v>
      </c>
      <c r="D73" s="26">
        <f>SUM(D70:D72)</f>
        <v>30054582</v>
      </c>
      <c r="E73" s="26">
        <f>D73-C73</f>
        <v>5175931</v>
      </c>
      <c r="F73" s="27">
        <f>IF(C73=0,0,E73/C73)</f>
        <v>0.20804709226396559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47008155</v>
      </c>
      <c r="D75" s="26">
        <f>D56+D65+D67+D73</f>
        <v>46104495</v>
      </c>
      <c r="E75" s="26">
        <f>D75-C75</f>
        <v>-903660</v>
      </c>
      <c r="F75" s="27">
        <f>IF(C75=0,0,E75/C75)</f>
        <v>-1.9223473033561943E-2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59340161</v>
      </c>
      <c r="D11" s="76">
        <v>59379084</v>
      </c>
      <c r="E11" s="76">
        <v>60248744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458274</v>
      </c>
      <c r="D12" s="185">
        <v>482704</v>
      </c>
      <c r="E12" s="185">
        <v>429185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59798435</v>
      </c>
      <c r="D13" s="76">
        <f>+D11+D12</f>
        <v>59861788</v>
      </c>
      <c r="E13" s="76">
        <f>+E11+E12</f>
        <v>60677929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58301652</v>
      </c>
      <c r="D14" s="185">
        <v>59882389</v>
      </c>
      <c r="E14" s="185">
        <v>59153702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1496783</v>
      </c>
      <c r="D15" s="76">
        <f>+D13-D14</f>
        <v>-20601</v>
      </c>
      <c r="E15" s="76">
        <f>+E13-E14</f>
        <v>1524227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0</v>
      </c>
      <c r="D16" s="185">
        <v>0</v>
      </c>
      <c r="E16" s="185">
        <v>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1496783</v>
      </c>
      <c r="D17" s="76">
        <f>D15+D16</f>
        <v>-20601</v>
      </c>
      <c r="E17" s="76">
        <f>E15+E16</f>
        <v>1524227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2.5030471115172162E-2</v>
      </c>
      <c r="D20" s="189">
        <f>IF(+D27=0,0,+D24/+D27)</f>
        <v>-3.4414274428288042E-4</v>
      </c>
      <c r="E20" s="189">
        <f>IF(+E27=0,0,+E24/+E27)</f>
        <v>2.5119957538432137E-2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0</v>
      </c>
      <c r="D21" s="189">
        <f>IF(+D27=0,0,+D26/+D27)</f>
        <v>0</v>
      </c>
      <c r="E21" s="189">
        <f>IF(+E27=0,0,+E26/+E27)</f>
        <v>0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2.5030471115172162E-2</v>
      </c>
      <c r="D22" s="189">
        <f>IF(+D27=0,0,+D28/+D27)</f>
        <v>-3.4414274428288042E-4</v>
      </c>
      <c r="E22" s="189">
        <f>IF(+E27=0,0,+E28/+E27)</f>
        <v>2.5119957538432137E-2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1496783</v>
      </c>
      <c r="D24" s="76">
        <f>+D15</f>
        <v>-20601</v>
      </c>
      <c r="E24" s="76">
        <f>+E15</f>
        <v>1524227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59798435</v>
      </c>
      <c r="D25" s="76">
        <f>+D13</f>
        <v>59861788</v>
      </c>
      <c r="E25" s="76">
        <f>+E13</f>
        <v>60677929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0</v>
      </c>
      <c r="D26" s="76">
        <f>+D16</f>
        <v>0</v>
      </c>
      <c r="E26" s="76">
        <f>+E16</f>
        <v>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59798435</v>
      </c>
      <c r="D27" s="76">
        <f>SUM(D25:D26)</f>
        <v>59861788</v>
      </c>
      <c r="E27" s="76">
        <f>SUM(E25:E26)</f>
        <v>60677929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1496783</v>
      </c>
      <c r="D28" s="76">
        <f>+D17</f>
        <v>-20601</v>
      </c>
      <c r="E28" s="76">
        <f>+E17</f>
        <v>1524227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16034925</v>
      </c>
      <c r="D31" s="76">
        <v>15992819</v>
      </c>
      <c r="E31" s="76">
        <v>17604993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16034925</v>
      </c>
      <c r="D32" s="76">
        <v>15992819</v>
      </c>
      <c r="E32" s="76">
        <v>17604993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1515969</v>
      </c>
      <c r="D33" s="76">
        <f>+D32-C32</f>
        <v>-42106</v>
      </c>
      <c r="E33" s="76">
        <f>+E32-D32</f>
        <v>1612174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1.1044</v>
      </c>
      <c r="D34" s="193">
        <f>IF(C32=0,0,+D33/C32)</f>
        <v>-2.6258931675701633E-3</v>
      </c>
      <c r="E34" s="193">
        <f>IF(D32=0,0,+E33/D32)</f>
        <v>0.10080611804585546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1.3939115434608065</v>
      </c>
      <c r="D38" s="338">
        <f>IF(+D40=0,0,+D39/+D40)</f>
        <v>1.6679840372069239</v>
      </c>
      <c r="E38" s="338">
        <f>IF(+E40=0,0,+E39/+E40)</f>
        <v>1.9451293640492726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10031198</v>
      </c>
      <c r="D39" s="341">
        <v>9942204</v>
      </c>
      <c r="E39" s="341">
        <v>12350418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7196438</v>
      </c>
      <c r="D40" s="341">
        <v>5960611</v>
      </c>
      <c r="E40" s="341">
        <v>6349407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0</v>
      </c>
      <c r="D42" s="343">
        <f>IF((D48/365)=0,0,+D45/(D48/365))</f>
        <v>0</v>
      </c>
      <c r="E42" s="343">
        <f>IF((E48/365)=0,0,+E45/(E48/365))</f>
        <v>0.76080432784746899</v>
      </c>
    </row>
    <row r="43" spans="1:14" ht="24" customHeight="1" x14ac:dyDescent="0.2">
      <c r="A43" s="339">
        <v>5</v>
      </c>
      <c r="B43" s="344" t="s">
        <v>16</v>
      </c>
      <c r="C43" s="345">
        <v>0</v>
      </c>
      <c r="D43" s="345">
        <v>0</v>
      </c>
      <c r="E43" s="345">
        <v>117062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0</v>
      </c>
      <c r="D45" s="341">
        <f>+D43+D44</f>
        <v>0</v>
      </c>
      <c r="E45" s="341">
        <f>+E43+E44</f>
        <v>117062</v>
      </c>
    </row>
    <row r="46" spans="1:14" ht="24" customHeight="1" x14ac:dyDescent="0.2">
      <c r="A46" s="339">
        <v>8</v>
      </c>
      <c r="B46" s="340" t="s">
        <v>334</v>
      </c>
      <c r="C46" s="341">
        <f>+C14</f>
        <v>58301652</v>
      </c>
      <c r="D46" s="341">
        <f>+D14</f>
        <v>59882389</v>
      </c>
      <c r="E46" s="341">
        <f>+E14</f>
        <v>59153702</v>
      </c>
    </row>
    <row r="47" spans="1:14" ht="24" customHeight="1" x14ac:dyDescent="0.2">
      <c r="A47" s="339">
        <v>9</v>
      </c>
      <c r="B47" s="340" t="s">
        <v>356</v>
      </c>
      <c r="C47" s="341">
        <v>3230817</v>
      </c>
      <c r="D47" s="341">
        <v>3213579</v>
      </c>
      <c r="E47" s="341">
        <v>2992573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55070835</v>
      </c>
      <c r="D48" s="341">
        <f>+D46-D47</f>
        <v>56668810</v>
      </c>
      <c r="E48" s="341">
        <f>+E46-E47</f>
        <v>56161129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42.259190449449576</v>
      </c>
      <c r="D50" s="350">
        <f>IF((D55/365)=0,0,+D54/(D55/365))</f>
        <v>46.149608000015633</v>
      </c>
      <c r="E50" s="350">
        <f>IF((E55/365)=0,0,+E54/(E55/365))</f>
        <v>45.974383465985611</v>
      </c>
    </row>
    <row r="51" spans="1:5" ht="24" customHeight="1" x14ac:dyDescent="0.2">
      <c r="A51" s="339">
        <v>12</v>
      </c>
      <c r="B51" s="344" t="s">
        <v>359</v>
      </c>
      <c r="C51" s="351">
        <v>7311670</v>
      </c>
      <c r="D51" s="351">
        <v>7516850</v>
      </c>
      <c r="E51" s="351">
        <v>7934530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441349</v>
      </c>
      <c r="D53" s="341">
        <v>9120</v>
      </c>
      <c r="E53" s="341">
        <v>345766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6870321</v>
      </c>
      <c r="D54" s="352">
        <f>+D51+D52-D53</f>
        <v>7507730</v>
      </c>
      <c r="E54" s="352">
        <f>+E51+E52-E53</f>
        <v>7588764</v>
      </c>
    </row>
    <row r="55" spans="1:5" ht="24" customHeight="1" x14ac:dyDescent="0.2">
      <c r="A55" s="339">
        <v>16</v>
      </c>
      <c r="B55" s="340" t="s">
        <v>75</v>
      </c>
      <c r="C55" s="341">
        <f>+C11</f>
        <v>59340161</v>
      </c>
      <c r="D55" s="341">
        <f>+D11</f>
        <v>59379084</v>
      </c>
      <c r="E55" s="341">
        <f>+E11</f>
        <v>60248744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47.696750376129216</v>
      </c>
      <c r="D57" s="355">
        <f>IF((D61/365)=0,0,+D58/(D61/365))</f>
        <v>38.391895206551887</v>
      </c>
      <c r="E57" s="355">
        <f>IF((E61/365)=0,0,+E58/(E61/365))</f>
        <v>41.265793552690148</v>
      </c>
    </row>
    <row r="58" spans="1:5" ht="24" customHeight="1" x14ac:dyDescent="0.2">
      <c r="A58" s="339">
        <v>18</v>
      </c>
      <c r="B58" s="340" t="s">
        <v>54</v>
      </c>
      <c r="C58" s="353">
        <f>+C40</f>
        <v>7196438</v>
      </c>
      <c r="D58" s="353">
        <f>+D40</f>
        <v>5960611</v>
      </c>
      <c r="E58" s="353">
        <f>+E40</f>
        <v>6349407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58301652</v>
      </c>
      <c r="D59" s="353">
        <f t="shared" si="0"/>
        <v>59882389</v>
      </c>
      <c r="E59" s="353">
        <f t="shared" si="0"/>
        <v>59153702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3230817</v>
      </c>
      <c r="D60" s="356">
        <f t="shared" si="0"/>
        <v>3213579</v>
      </c>
      <c r="E60" s="356">
        <f t="shared" si="0"/>
        <v>2992573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55070835</v>
      </c>
      <c r="D61" s="353">
        <f>+D59-D60</f>
        <v>56668810</v>
      </c>
      <c r="E61" s="353">
        <f>+E59-E60</f>
        <v>56161129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27.156643452976848</v>
      </c>
      <c r="D65" s="357">
        <f>IF(D67=0,0,(D66/D67)*100)</f>
        <v>33.209490758165288</v>
      </c>
      <c r="E65" s="357">
        <f>IF(E67=0,0,(E66/E67)*100)</f>
        <v>36.964371245138565</v>
      </c>
    </row>
    <row r="66" spans="1:5" ht="24" customHeight="1" x14ac:dyDescent="0.2">
      <c r="A66" s="339">
        <v>2</v>
      </c>
      <c r="B66" s="340" t="s">
        <v>67</v>
      </c>
      <c r="C66" s="353">
        <f>+C32</f>
        <v>16034925</v>
      </c>
      <c r="D66" s="353">
        <f>+D32</f>
        <v>15992819</v>
      </c>
      <c r="E66" s="353">
        <f>+E32</f>
        <v>17604993</v>
      </c>
    </row>
    <row r="67" spans="1:5" ht="24" customHeight="1" x14ac:dyDescent="0.2">
      <c r="A67" s="339">
        <v>3</v>
      </c>
      <c r="B67" s="340" t="s">
        <v>43</v>
      </c>
      <c r="C67" s="353">
        <v>59046049</v>
      </c>
      <c r="D67" s="353">
        <v>48157375</v>
      </c>
      <c r="E67" s="353">
        <v>47626924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11.663312851566507</v>
      </c>
      <c r="D69" s="357">
        <f>IF(D75=0,0,(D72/D75)*100)</f>
        <v>10.587711220159726</v>
      </c>
      <c r="E69" s="357">
        <f>IF(E75=0,0,(E72/E75)*100)</f>
        <v>16.160501891492149</v>
      </c>
    </row>
    <row r="70" spans="1:5" ht="24" customHeight="1" x14ac:dyDescent="0.2">
      <c r="A70" s="339">
        <v>5</v>
      </c>
      <c r="B70" s="340" t="s">
        <v>366</v>
      </c>
      <c r="C70" s="353">
        <f>+C28</f>
        <v>1496783</v>
      </c>
      <c r="D70" s="353">
        <f>+D28</f>
        <v>-20601</v>
      </c>
      <c r="E70" s="353">
        <f>+E28</f>
        <v>1524227</v>
      </c>
    </row>
    <row r="71" spans="1:5" ht="24" customHeight="1" x14ac:dyDescent="0.2">
      <c r="A71" s="339">
        <v>6</v>
      </c>
      <c r="B71" s="340" t="s">
        <v>356</v>
      </c>
      <c r="C71" s="356">
        <f>+C47</f>
        <v>3230817</v>
      </c>
      <c r="D71" s="356">
        <f>+D47</f>
        <v>3213579</v>
      </c>
      <c r="E71" s="356">
        <f>+E47</f>
        <v>2992573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4727600</v>
      </c>
      <c r="D72" s="353">
        <f>+D70+D71</f>
        <v>3192978</v>
      </c>
      <c r="E72" s="353">
        <f>+E70+E71</f>
        <v>4516800</v>
      </c>
    </row>
    <row r="73" spans="1:5" ht="24" customHeight="1" x14ac:dyDescent="0.2">
      <c r="A73" s="339">
        <v>8</v>
      </c>
      <c r="B73" s="340" t="s">
        <v>54</v>
      </c>
      <c r="C73" s="341">
        <f>+C40</f>
        <v>7196438</v>
      </c>
      <c r="D73" s="341">
        <f>+D40</f>
        <v>5960611</v>
      </c>
      <c r="E73" s="341">
        <f>+E40</f>
        <v>6349407</v>
      </c>
    </row>
    <row r="74" spans="1:5" ht="24" customHeight="1" x14ac:dyDescent="0.2">
      <c r="A74" s="339">
        <v>9</v>
      </c>
      <c r="B74" s="340" t="s">
        <v>58</v>
      </c>
      <c r="C74" s="353">
        <v>33337500</v>
      </c>
      <c r="D74" s="353">
        <v>24196785</v>
      </c>
      <c r="E74" s="353">
        <v>21600220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40533938</v>
      </c>
      <c r="D75" s="341">
        <f>+D73+D74</f>
        <v>30157396</v>
      </c>
      <c r="E75" s="341">
        <f>+E73+E74</f>
        <v>27949627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67.522508768811747</v>
      </c>
      <c r="D77" s="359">
        <f>IF(D80=0,0,(D78/D80)*100)</f>
        <v>60.206577302926398</v>
      </c>
      <c r="E77" s="359">
        <f>IF(E80=0,0,(E78/E80)*100)</f>
        <v>55.095275212508085</v>
      </c>
    </row>
    <row r="78" spans="1:5" ht="24" customHeight="1" x14ac:dyDescent="0.2">
      <c r="A78" s="339">
        <v>12</v>
      </c>
      <c r="B78" s="340" t="s">
        <v>58</v>
      </c>
      <c r="C78" s="341">
        <f>+C74</f>
        <v>33337500</v>
      </c>
      <c r="D78" s="341">
        <f>+D74</f>
        <v>24196785</v>
      </c>
      <c r="E78" s="341">
        <f>+E74</f>
        <v>21600220</v>
      </c>
    </row>
    <row r="79" spans="1:5" ht="24" customHeight="1" x14ac:dyDescent="0.2">
      <c r="A79" s="339">
        <v>13</v>
      </c>
      <c r="B79" s="340" t="s">
        <v>67</v>
      </c>
      <c r="C79" s="341">
        <f>+C32</f>
        <v>16034925</v>
      </c>
      <c r="D79" s="341">
        <f>+D32</f>
        <v>15992819</v>
      </c>
      <c r="E79" s="341">
        <f>+E32</f>
        <v>17604993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49372425</v>
      </c>
      <c r="D80" s="341">
        <f>+D78+D79</f>
        <v>40189604</v>
      </c>
      <c r="E80" s="341">
        <f>+E78+E79</f>
        <v>39205213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6647</v>
      </c>
      <c r="D11" s="376">
        <v>2024</v>
      </c>
      <c r="E11" s="376">
        <v>1365</v>
      </c>
      <c r="F11" s="377">
        <v>22</v>
      </c>
      <c r="G11" s="377">
        <v>47</v>
      </c>
      <c r="H11" s="378">
        <f>IF(F11=0,0,$C11/(F11*365))</f>
        <v>0.82777085927770855</v>
      </c>
      <c r="I11" s="378">
        <f>IF(G11=0,0,$C11/(G11*365))</f>
        <v>0.38746721072573592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999</v>
      </c>
      <c r="D13" s="376">
        <v>401</v>
      </c>
      <c r="E13" s="376">
        <v>0</v>
      </c>
      <c r="F13" s="377">
        <v>7</v>
      </c>
      <c r="G13" s="377">
        <v>11</v>
      </c>
      <c r="H13" s="378">
        <f>IF(F13=0,0,$C13/(F13*365))</f>
        <v>0.39099804305283758</v>
      </c>
      <c r="I13" s="378">
        <f>IF(G13=0,0,$C13/(G13*365))</f>
        <v>0.24881693648816935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3371</v>
      </c>
      <c r="D16" s="376">
        <v>311</v>
      </c>
      <c r="E16" s="376">
        <v>312</v>
      </c>
      <c r="F16" s="377">
        <v>12</v>
      </c>
      <c r="G16" s="377">
        <v>12</v>
      </c>
      <c r="H16" s="378">
        <f t="shared" si="0"/>
        <v>0.76963470319634708</v>
      </c>
      <c r="I16" s="378">
        <f t="shared" si="0"/>
        <v>0.76963470319634708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3371</v>
      </c>
      <c r="D17" s="381">
        <f>SUM(D15:D16)</f>
        <v>311</v>
      </c>
      <c r="E17" s="381">
        <f>SUM(E15:E16)</f>
        <v>312</v>
      </c>
      <c r="F17" s="381">
        <f>SUM(F15:F16)</f>
        <v>12</v>
      </c>
      <c r="G17" s="381">
        <f>SUM(G15:G16)</f>
        <v>12</v>
      </c>
      <c r="H17" s="382">
        <f t="shared" si="0"/>
        <v>0.76963470319634708</v>
      </c>
      <c r="I17" s="382">
        <f t="shared" si="0"/>
        <v>0.76963470319634708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733</v>
      </c>
      <c r="D21" s="376">
        <v>294</v>
      </c>
      <c r="E21" s="376">
        <v>270</v>
      </c>
      <c r="F21" s="377">
        <v>4</v>
      </c>
      <c r="G21" s="377">
        <v>8</v>
      </c>
      <c r="H21" s="378">
        <f>IF(F21=0,0,$C21/(F21*365))</f>
        <v>0.50205479452054791</v>
      </c>
      <c r="I21" s="378">
        <f>IF(G21=0,0,$C21/(G21*365))</f>
        <v>0.25102739726027395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588</v>
      </c>
      <c r="D23" s="376">
        <v>249</v>
      </c>
      <c r="E23" s="376">
        <v>248</v>
      </c>
      <c r="F23" s="377">
        <v>4</v>
      </c>
      <c r="G23" s="377">
        <v>16</v>
      </c>
      <c r="H23" s="378">
        <f>IF(F23=0,0,$C23/(F23*365))</f>
        <v>0.40273972602739727</v>
      </c>
      <c r="I23" s="378">
        <f>IF(G23=0,0,$C23/(G23*365))</f>
        <v>0.10068493150684932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11750</v>
      </c>
      <c r="D31" s="384">
        <f>SUM(D10:D29)-D13-D17-D23</f>
        <v>2629</v>
      </c>
      <c r="E31" s="384">
        <f>SUM(E10:E29)-E17-E23</f>
        <v>1947</v>
      </c>
      <c r="F31" s="384">
        <f>SUM(F10:F29)-F17-F23</f>
        <v>45</v>
      </c>
      <c r="G31" s="384">
        <f>SUM(G10:G29)-G17-G23</f>
        <v>78</v>
      </c>
      <c r="H31" s="385">
        <f>IF(F31=0,0,$C31/(F31*365))</f>
        <v>0.71537290715372903</v>
      </c>
      <c r="I31" s="385">
        <f>IF(G31=0,0,$C31/(G31*365))</f>
        <v>0.41271513874253601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12338</v>
      </c>
      <c r="D33" s="384">
        <f>SUM(D10:D29)-D13-D17</f>
        <v>2878</v>
      </c>
      <c r="E33" s="384">
        <f>SUM(E10:E29)-E17</f>
        <v>2195</v>
      </c>
      <c r="F33" s="384">
        <f>SUM(F10:F29)-F17</f>
        <v>49</v>
      </c>
      <c r="G33" s="384">
        <f>SUM(G10:G29)-G17</f>
        <v>94</v>
      </c>
      <c r="H33" s="385">
        <f>IF(F33=0,0,$C33/(F33*365))</f>
        <v>0.68985183114341631</v>
      </c>
      <c r="I33" s="385">
        <f>IF(G33=0,0,$C33/(G33*365))</f>
        <v>0.35960361410667446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12338</v>
      </c>
      <c r="D36" s="384">
        <f t="shared" si="1"/>
        <v>2878</v>
      </c>
      <c r="E36" s="384">
        <f t="shared" si="1"/>
        <v>2195</v>
      </c>
      <c r="F36" s="384">
        <f t="shared" si="1"/>
        <v>49</v>
      </c>
      <c r="G36" s="384">
        <f t="shared" si="1"/>
        <v>94</v>
      </c>
      <c r="H36" s="387">
        <f t="shared" si="1"/>
        <v>0.68985183114341631</v>
      </c>
      <c r="I36" s="387">
        <f t="shared" si="1"/>
        <v>0.35960361410667446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11914</v>
      </c>
      <c r="D37" s="384">
        <v>2685</v>
      </c>
      <c r="E37" s="384">
        <v>1990</v>
      </c>
      <c r="F37" s="386">
        <v>49</v>
      </c>
      <c r="G37" s="386">
        <v>94</v>
      </c>
      <c r="H37" s="385">
        <f>IF(F37=0,0,$C37/(F37*365))</f>
        <v>0.66614481409001958</v>
      </c>
      <c r="I37" s="385">
        <f>IF(G37=0,0,$C37/(G37*365))</f>
        <v>0.34724570096181873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424</v>
      </c>
      <c r="D38" s="384">
        <f t="shared" si="2"/>
        <v>193</v>
      </c>
      <c r="E38" s="384">
        <f t="shared" si="2"/>
        <v>205</v>
      </c>
      <c r="F38" s="384">
        <f t="shared" si="2"/>
        <v>0</v>
      </c>
      <c r="G38" s="384">
        <f t="shared" si="2"/>
        <v>0</v>
      </c>
      <c r="H38" s="387">
        <f t="shared" si="2"/>
        <v>2.3707017053396728E-2</v>
      </c>
      <c r="I38" s="387">
        <f t="shared" si="2"/>
        <v>1.2357913144855737E-2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3.5588383414470369E-2</v>
      </c>
      <c r="D40" s="389">
        <f t="shared" si="3"/>
        <v>7.188081936685288E-2</v>
      </c>
      <c r="E40" s="389">
        <f t="shared" si="3"/>
        <v>0.10301507537688442</v>
      </c>
      <c r="F40" s="389">
        <f t="shared" si="3"/>
        <v>0</v>
      </c>
      <c r="G40" s="389">
        <f t="shared" si="3"/>
        <v>0</v>
      </c>
      <c r="H40" s="389">
        <f t="shared" si="3"/>
        <v>3.5588383414470411E-2</v>
      </c>
      <c r="I40" s="389">
        <f t="shared" si="3"/>
        <v>3.5588383414470397E-2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78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395</v>
      </c>
      <c r="D12" s="409">
        <v>427</v>
      </c>
      <c r="E12" s="409">
        <f>+D12-C12</f>
        <v>32</v>
      </c>
      <c r="F12" s="410">
        <f>IF(C12=0,0,+E12/C12)</f>
        <v>8.1012658227848103E-2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1533</v>
      </c>
      <c r="D13" s="409">
        <v>1419</v>
      </c>
      <c r="E13" s="409">
        <f>+D13-C13</f>
        <v>-114</v>
      </c>
      <c r="F13" s="410">
        <f>IF(C13=0,0,+E13/C13)</f>
        <v>-7.4363992172211346E-2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2734</v>
      </c>
      <c r="D14" s="409">
        <v>2889</v>
      </c>
      <c r="E14" s="409">
        <f>+D14-C14</f>
        <v>155</v>
      </c>
      <c r="F14" s="410">
        <f>IF(C14=0,0,+E14/C14)</f>
        <v>5.6693489392831017E-2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4662</v>
      </c>
      <c r="D16" s="401">
        <f>SUM(D12:D15)</f>
        <v>4735</v>
      </c>
      <c r="E16" s="401">
        <f>+D16-C16</f>
        <v>73</v>
      </c>
      <c r="F16" s="402">
        <f>IF(C16=0,0,+E16/C16)</f>
        <v>1.565851565851566E-2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231</v>
      </c>
      <c r="D19" s="409">
        <v>208</v>
      </c>
      <c r="E19" s="409">
        <f>+D19-C19</f>
        <v>-23</v>
      </c>
      <c r="F19" s="410">
        <f>IF(C19=0,0,+E19/C19)</f>
        <v>-9.9567099567099568E-2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1641</v>
      </c>
      <c r="D20" s="409">
        <v>1503</v>
      </c>
      <c r="E20" s="409">
        <f>+D20-C20</f>
        <v>-138</v>
      </c>
      <c r="F20" s="410">
        <f>IF(C20=0,0,+E20/C20)</f>
        <v>-8.4095063985374766E-2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101</v>
      </c>
      <c r="D21" s="409">
        <v>80</v>
      </c>
      <c r="E21" s="409">
        <f>+D21-C21</f>
        <v>-21</v>
      </c>
      <c r="F21" s="410">
        <f>IF(C21=0,0,+E21/C21)</f>
        <v>-0.20792079207920791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1973</v>
      </c>
      <c r="D23" s="401">
        <f>SUM(D19:D22)</f>
        <v>1791</v>
      </c>
      <c r="E23" s="401">
        <f>+D23-C23</f>
        <v>-182</v>
      </c>
      <c r="F23" s="402">
        <f>IF(C23=0,0,+E23/C23)</f>
        <v>-9.2245311708058789E-2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395</v>
      </c>
      <c r="D63" s="409">
        <v>404</v>
      </c>
      <c r="E63" s="409">
        <f>+D63-C63</f>
        <v>9</v>
      </c>
      <c r="F63" s="410">
        <f>IF(C63=0,0,+E63/C63)</f>
        <v>2.2784810126582278E-2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1352</v>
      </c>
      <c r="D64" s="409">
        <v>1376</v>
      </c>
      <c r="E64" s="409">
        <f>+D64-C64</f>
        <v>24</v>
      </c>
      <c r="F64" s="410">
        <f>IF(C64=0,0,+E64/C64)</f>
        <v>1.7751479289940829E-2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1747</v>
      </c>
      <c r="D65" s="401">
        <f>SUM(D63:D64)</f>
        <v>1780</v>
      </c>
      <c r="E65" s="401">
        <f>+D65-C65</f>
        <v>33</v>
      </c>
      <c r="F65" s="402">
        <f>IF(C65=0,0,+E65/C65)</f>
        <v>1.8889524899828276E-2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86</v>
      </c>
      <c r="D68" s="409">
        <v>114</v>
      </c>
      <c r="E68" s="409">
        <f>+D68-C68</f>
        <v>28</v>
      </c>
      <c r="F68" s="410">
        <f>IF(C68=0,0,+E68/C68)</f>
        <v>0.32558139534883723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974</v>
      </c>
      <c r="D69" s="409">
        <v>852</v>
      </c>
      <c r="E69" s="409">
        <f>+D69-C69</f>
        <v>-122</v>
      </c>
      <c r="F69" s="412">
        <f>IF(C69=0,0,+E69/C69)</f>
        <v>-0.12525667351129363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1060</v>
      </c>
      <c r="D70" s="401">
        <f>SUM(D68:D69)</f>
        <v>966</v>
      </c>
      <c r="E70" s="401">
        <f>+D70-C70</f>
        <v>-94</v>
      </c>
      <c r="F70" s="402">
        <f>IF(C70=0,0,+E70/C70)</f>
        <v>-8.8679245283018862E-2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1766</v>
      </c>
      <c r="D73" s="376">
        <v>1878</v>
      </c>
      <c r="E73" s="409">
        <f>+D73-C73</f>
        <v>112</v>
      </c>
      <c r="F73" s="410">
        <f>IF(C73=0,0,+E73/C73)</f>
        <v>6.3420158550396372E-2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15856</v>
      </c>
      <c r="D74" s="376">
        <v>15746</v>
      </c>
      <c r="E74" s="409">
        <f>+D74-C74</f>
        <v>-110</v>
      </c>
      <c r="F74" s="410">
        <f>IF(C74=0,0,+E74/C74)</f>
        <v>-6.9374369323915233E-3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17622</v>
      </c>
      <c r="D75" s="401">
        <f>SUM(D73:D74)</f>
        <v>17624</v>
      </c>
      <c r="E75" s="401">
        <f>SUM(E73:E74)</f>
        <v>2</v>
      </c>
      <c r="F75" s="402">
        <f>IF(C75=0,0,+E75/C75)</f>
        <v>1.1349449551696743E-4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229</v>
      </c>
      <c r="D81" s="376">
        <v>1</v>
      </c>
      <c r="E81" s="409">
        <f t="shared" si="0"/>
        <v>-228</v>
      </c>
      <c r="F81" s="410">
        <f t="shared" si="1"/>
        <v>-0.99563318777292575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3978</v>
      </c>
      <c r="D87" s="376">
        <v>0</v>
      </c>
      <c r="E87" s="409">
        <f t="shared" si="0"/>
        <v>-3978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405</v>
      </c>
      <c r="E90" s="409">
        <f t="shared" si="0"/>
        <v>405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1913</v>
      </c>
      <c r="E91" s="409">
        <f t="shared" si="0"/>
        <v>1913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4207</v>
      </c>
      <c r="D92" s="381">
        <f>SUM(D79:D91)</f>
        <v>2319</v>
      </c>
      <c r="E92" s="401">
        <f t="shared" si="0"/>
        <v>-1888</v>
      </c>
      <c r="F92" s="402">
        <f t="shared" si="1"/>
        <v>-0.44877584977418589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10300</v>
      </c>
      <c r="D95" s="414">
        <v>8451</v>
      </c>
      <c r="E95" s="415">
        <f t="shared" ref="E95:E100" si="2">+D95-C95</f>
        <v>-1849</v>
      </c>
      <c r="F95" s="412">
        <f t="shared" ref="F95:F100" si="3">IF(C95=0,0,+E95/C95)</f>
        <v>-0.17951456310679612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4738</v>
      </c>
      <c r="D96" s="414">
        <v>4100</v>
      </c>
      <c r="E96" s="409">
        <f t="shared" si="2"/>
        <v>-638</v>
      </c>
      <c r="F96" s="410">
        <f t="shared" si="3"/>
        <v>-0.13465597298438159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836</v>
      </c>
      <c r="D97" s="414">
        <v>834</v>
      </c>
      <c r="E97" s="409">
        <f t="shared" si="2"/>
        <v>-2</v>
      </c>
      <c r="F97" s="410">
        <f t="shared" si="3"/>
        <v>-2.3923444976076554E-3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49894</v>
      </c>
      <c r="D99" s="414">
        <v>50300</v>
      </c>
      <c r="E99" s="409">
        <f t="shared" si="2"/>
        <v>406</v>
      </c>
      <c r="F99" s="410">
        <f t="shared" si="3"/>
        <v>8.1372509720607691E-3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65768</v>
      </c>
      <c r="D100" s="381">
        <f>SUM(D95:D99)</f>
        <v>63685</v>
      </c>
      <c r="E100" s="401">
        <f t="shared" si="2"/>
        <v>-2083</v>
      </c>
      <c r="F100" s="402">
        <f t="shared" si="3"/>
        <v>-3.1671937720471964E-2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100.6</v>
      </c>
      <c r="D104" s="416">
        <v>95.5</v>
      </c>
      <c r="E104" s="417">
        <f>+D104-C104</f>
        <v>-5.0999999999999943</v>
      </c>
      <c r="F104" s="410">
        <f>IF(C104=0,0,+E104/C104)</f>
        <v>-5.0695825049701736E-2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155</v>
      </c>
      <c r="D106" s="416">
        <v>151.9</v>
      </c>
      <c r="E106" s="417">
        <f>+D106-C106</f>
        <v>-3.0999999999999943</v>
      </c>
      <c r="F106" s="410">
        <f>IF(C106=0,0,+E106/C106)</f>
        <v>-1.9999999999999962E-2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255.6</v>
      </c>
      <c r="D107" s="418">
        <f>SUM(D104:D106)</f>
        <v>247.4</v>
      </c>
      <c r="E107" s="418">
        <f>+D107-C107</f>
        <v>-8.1999999999999886</v>
      </c>
      <c r="F107" s="402">
        <f>IF(C107=0,0,+E107/C107)</f>
        <v>-3.2081377151799643E-2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1352</v>
      </c>
      <c r="D12" s="409">
        <v>1376</v>
      </c>
      <c r="E12" s="409">
        <f>+D12-C12</f>
        <v>24</v>
      </c>
      <c r="F12" s="410">
        <f>IF(C12=0,0,+E12/C12)</f>
        <v>1.7751479289940829E-2</v>
      </c>
    </row>
    <row r="13" spans="1:6" ht="15.75" customHeight="1" x14ac:dyDescent="0.25">
      <c r="A13" s="374"/>
      <c r="B13" s="399" t="s">
        <v>622</v>
      </c>
      <c r="C13" s="401">
        <f>SUM(C11:C12)</f>
        <v>1352</v>
      </c>
      <c r="D13" s="401">
        <f>SUM(D11:D12)</f>
        <v>1376</v>
      </c>
      <c r="E13" s="401">
        <f>+D13-C13</f>
        <v>24</v>
      </c>
      <c r="F13" s="402">
        <f>IF(C13=0,0,+E13/C13)</f>
        <v>1.7751479289940829E-2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974</v>
      </c>
      <c r="D16" s="409">
        <v>852</v>
      </c>
      <c r="E16" s="409">
        <f>+D16-C16</f>
        <v>-122</v>
      </c>
      <c r="F16" s="410">
        <f>IF(C16=0,0,+E16/C16)</f>
        <v>-0.12525667351129363</v>
      </c>
    </row>
    <row r="17" spans="1:6" ht="15.75" customHeight="1" x14ac:dyDescent="0.25">
      <c r="A17" s="374"/>
      <c r="B17" s="399" t="s">
        <v>623</v>
      </c>
      <c r="C17" s="401">
        <f>SUM(C15:C16)</f>
        <v>974</v>
      </c>
      <c r="D17" s="401">
        <f>SUM(D15:D16)</f>
        <v>852</v>
      </c>
      <c r="E17" s="401">
        <f>+D17-C17</f>
        <v>-122</v>
      </c>
      <c r="F17" s="402">
        <f>IF(C17=0,0,+E17/C17)</f>
        <v>-0.12525667351129363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15856</v>
      </c>
      <c r="D20" s="409">
        <v>15746</v>
      </c>
      <c r="E20" s="409">
        <f>+D20-C20</f>
        <v>-110</v>
      </c>
      <c r="F20" s="410">
        <f>IF(C20=0,0,+E20/C20)</f>
        <v>-6.9374369323915233E-3</v>
      </c>
    </row>
    <row r="21" spans="1:6" ht="15.75" customHeight="1" x14ac:dyDescent="0.25">
      <c r="A21" s="374"/>
      <c r="B21" s="399" t="s">
        <v>625</v>
      </c>
      <c r="C21" s="401">
        <f>SUM(C19:C20)</f>
        <v>15856</v>
      </c>
      <c r="D21" s="401">
        <f>SUM(D19:D20)</f>
        <v>15746</v>
      </c>
      <c r="E21" s="401">
        <f>+D21-C21</f>
        <v>-110</v>
      </c>
      <c r="F21" s="402">
        <f>IF(C21=0,0,+E21/C21)</f>
        <v>-6.9374369323915233E-3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37544207</v>
      </c>
      <c r="D15" s="448">
        <v>39105825</v>
      </c>
      <c r="E15" s="448">
        <f t="shared" ref="E15:E24" si="0">D15-C15</f>
        <v>1561618</v>
      </c>
      <c r="F15" s="449">
        <f t="shared" ref="F15:F24" si="1">IF(C15=0,0,E15/C15)</f>
        <v>4.1594113307547018E-2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17055293</v>
      </c>
      <c r="D16" s="448">
        <v>17970764</v>
      </c>
      <c r="E16" s="448">
        <f t="shared" si="0"/>
        <v>915471</v>
      </c>
      <c r="F16" s="449">
        <f t="shared" si="1"/>
        <v>5.3676650409934322E-2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0.45427229292657584</v>
      </c>
      <c r="D17" s="453">
        <f>IF(LN_IA1=0,0,LN_IA2/LN_IA1)</f>
        <v>0.45954187131968194</v>
      </c>
      <c r="E17" s="454">
        <f t="shared" si="0"/>
        <v>5.2695783931061002E-3</v>
      </c>
      <c r="F17" s="449">
        <f t="shared" si="1"/>
        <v>1.1600043575534165E-2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1554</v>
      </c>
      <c r="D18" s="456">
        <v>1614</v>
      </c>
      <c r="E18" s="456">
        <f t="shared" si="0"/>
        <v>60</v>
      </c>
      <c r="F18" s="449">
        <f t="shared" si="1"/>
        <v>3.8610038610038609E-2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1.1576</v>
      </c>
      <c r="D19" s="459">
        <v>1.1823999999999999</v>
      </c>
      <c r="E19" s="460">
        <f t="shared" si="0"/>
        <v>2.4799999999999933E-2</v>
      </c>
      <c r="F19" s="449">
        <f t="shared" si="1"/>
        <v>2.142363510711812E-2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1798.9104</v>
      </c>
      <c r="D20" s="463">
        <f>LN_IA4*LN_IA5</f>
        <v>1908.3935999999999</v>
      </c>
      <c r="E20" s="463">
        <f t="shared" si="0"/>
        <v>109.4831999999999</v>
      </c>
      <c r="F20" s="449">
        <f t="shared" si="1"/>
        <v>6.0860841095809942E-2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9480.9018837180556</v>
      </c>
      <c r="D21" s="465">
        <f>IF(LN_IA6=0,0,LN_IA2/LN_IA6)</f>
        <v>9416.6968491195948</v>
      </c>
      <c r="E21" s="465">
        <f t="shared" si="0"/>
        <v>-64.20503459846077</v>
      </c>
      <c r="F21" s="449">
        <f t="shared" si="1"/>
        <v>-6.7720387138192756E-3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8469</v>
      </c>
      <c r="D22" s="456">
        <v>8491</v>
      </c>
      <c r="E22" s="456">
        <f t="shared" si="0"/>
        <v>22</v>
      </c>
      <c r="F22" s="449">
        <f t="shared" si="1"/>
        <v>2.5977092927146062E-3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2013.8496870941078</v>
      </c>
      <c r="D23" s="465">
        <f>IF(LN_IA8=0,0,LN_IA2/LN_IA8)</f>
        <v>2116.4484748557297</v>
      </c>
      <c r="E23" s="465">
        <f t="shared" si="0"/>
        <v>102.59878776162191</v>
      </c>
      <c r="F23" s="449">
        <f t="shared" si="1"/>
        <v>5.0946596669618982E-2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5.4498069498069501</v>
      </c>
      <c r="D24" s="466">
        <f>IF(LN_IA4=0,0,LN_IA8/LN_IA4)</f>
        <v>5.2608426270136306</v>
      </c>
      <c r="E24" s="466">
        <f t="shared" si="0"/>
        <v>-0.18896432279331954</v>
      </c>
      <c r="F24" s="449">
        <f t="shared" si="1"/>
        <v>-3.4673581015564829E-2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33849225</v>
      </c>
      <c r="D27" s="448">
        <v>36915275</v>
      </c>
      <c r="E27" s="448">
        <f t="shared" ref="E27:E32" si="2">D27-C27</f>
        <v>3066050</v>
      </c>
      <c r="F27" s="449">
        <f t="shared" ref="F27:F32" si="3">IF(C27=0,0,E27/C27)</f>
        <v>9.0579621837723015E-2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7418245</v>
      </c>
      <c r="D28" s="448">
        <v>7527778</v>
      </c>
      <c r="E28" s="448">
        <f t="shared" si="2"/>
        <v>109533</v>
      </c>
      <c r="F28" s="449">
        <f t="shared" si="3"/>
        <v>1.47653521823558E-2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0.21915553458018611</v>
      </c>
      <c r="D29" s="453">
        <f>IF(LN_IA11=0,0,LN_IA12/LN_IA11)</f>
        <v>0.20392040964072461</v>
      </c>
      <c r="E29" s="454">
        <f t="shared" si="2"/>
        <v>-1.5235124939461497E-2</v>
      </c>
      <c r="F29" s="449">
        <f t="shared" si="3"/>
        <v>-6.9517409033935065E-2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0.90158316567986108</v>
      </c>
      <c r="D30" s="453">
        <f>IF(LN_IA1=0,0,LN_IA11/LN_IA1)</f>
        <v>0.94398404841222505</v>
      </c>
      <c r="E30" s="454">
        <f t="shared" si="2"/>
        <v>4.2400882732363976E-2</v>
      </c>
      <c r="F30" s="449">
        <f t="shared" si="3"/>
        <v>4.702936384176E-2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1401.0602394665041</v>
      </c>
      <c r="D31" s="463">
        <f>LN_IA14*LN_IA4</f>
        <v>1523.5902541373312</v>
      </c>
      <c r="E31" s="463">
        <f t="shared" si="2"/>
        <v>122.53001467082709</v>
      </c>
      <c r="F31" s="449">
        <f t="shared" si="3"/>
        <v>8.7455208005534496E-2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5294.7366508842761</v>
      </c>
      <c r="D32" s="465">
        <f>IF(LN_IA15=0,0,LN_IA12/LN_IA15)</f>
        <v>4940.8152746830792</v>
      </c>
      <c r="E32" s="465">
        <f t="shared" si="2"/>
        <v>-353.92137620119684</v>
      </c>
      <c r="F32" s="449">
        <f t="shared" si="3"/>
        <v>-6.684399990735862E-2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71393432</v>
      </c>
      <c r="D35" s="448">
        <f>LN_IA1+LN_IA11</f>
        <v>76021100</v>
      </c>
      <c r="E35" s="448">
        <f>D35-C35</f>
        <v>4627668</v>
      </c>
      <c r="F35" s="449">
        <f>IF(C35=0,0,E35/C35)</f>
        <v>6.4819239954734209E-2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24473538</v>
      </c>
      <c r="D36" s="448">
        <f>LN_IA2+LN_IA12</f>
        <v>25498542</v>
      </c>
      <c r="E36" s="448">
        <f>D36-C36</f>
        <v>1025004</v>
      </c>
      <c r="F36" s="449">
        <f>IF(C36=0,0,E36/C36)</f>
        <v>4.1882134082942973E-2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46919894</v>
      </c>
      <c r="D37" s="448">
        <f>LN_IA17-LN_IA18</f>
        <v>50522558</v>
      </c>
      <c r="E37" s="448">
        <f>D37-C37</f>
        <v>3602664</v>
      </c>
      <c r="F37" s="449">
        <f>IF(C37=0,0,E37/C37)</f>
        <v>7.6783293670697556E-2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12356384</v>
      </c>
      <c r="D42" s="448">
        <v>15677757</v>
      </c>
      <c r="E42" s="448">
        <f t="shared" ref="E42:E53" si="4">D42-C42</f>
        <v>3321373</v>
      </c>
      <c r="F42" s="449">
        <f t="shared" ref="F42:F53" si="5">IF(C42=0,0,E42/C42)</f>
        <v>0.26879813706016259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5222160</v>
      </c>
      <c r="D43" s="448">
        <v>6677553</v>
      </c>
      <c r="E43" s="448">
        <f t="shared" si="4"/>
        <v>1455393</v>
      </c>
      <c r="F43" s="449">
        <f t="shared" si="5"/>
        <v>0.27869559722413711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0.42262849713961625</v>
      </c>
      <c r="D44" s="453">
        <f>IF(LN_IB1=0,0,LN_IB2/LN_IB1)</f>
        <v>0.42592527744880854</v>
      </c>
      <c r="E44" s="454">
        <f t="shared" si="4"/>
        <v>3.296780309192282E-3</v>
      </c>
      <c r="F44" s="449">
        <f t="shared" si="5"/>
        <v>7.8006578626504293E-3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743</v>
      </c>
      <c r="D45" s="456">
        <v>830</v>
      </c>
      <c r="E45" s="456">
        <f t="shared" si="4"/>
        <v>87</v>
      </c>
      <c r="F45" s="449">
        <f t="shared" si="5"/>
        <v>0.11709286675639301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0.98760000000000003</v>
      </c>
      <c r="D46" s="459">
        <v>1.0066999999999999</v>
      </c>
      <c r="E46" s="460">
        <f t="shared" si="4"/>
        <v>1.9099999999999895E-2</v>
      </c>
      <c r="F46" s="449">
        <f t="shared" si="5"/>
        <v>1.9339813689752829E-2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733.78679999999997</v>
      </c>
      <c r="D47" s="463">
        <f>LN_IB4*LN_IB5</f>
        <v>835.56099999999992</v>
      </c>
      <c r="E47" s="463">
        <f t="shared" si="4"/>
        <v>101.77419999999995</v>
      </c>
      <c r="F47" s="449">
        <f t="shared" si="5"/>
        <v>0.13869723467361358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7116.7265478201571</v>
      </c>
      <c r="D48" s="465">
        <f>IF(LN_IB6=0,0,LN_IB2/LN_IB6)</f>
        <v>7991.7001870599524</v>
      </c>
      <c r="E48" s="465">
        <f t="shared" si="4"/>
        <v>874.97363923979538</v>
      </c>
      <c r="F48" s="449">
        <f t="shared" si="5"/>
        <v>0.12294608108945798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2364.1753358978985</v>
      </c>
      <c r="D49" s="465">
        <f>LN_IA7-LN_IB7</f>
        <v>1424.9966620596424</v>
      </c>
      <c r="E49" s="465">
        <f t="shared" si="4"/>
        <v>-939.17867383825615</v>
      </c>
      <c r="F49" s="449">
        <f t="shared" si="5"/>
        <v>-0.39725423896344059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1734800.6543674441</v>
      </c>
      <c r="D50" s="479">
        <f>LN_IB8*LN_IB6</f>
        <v>1190671.6359472168</v>
      </c>
      <c r="E50" s="479">
        <f t="shared" si="4"/>
        <v>-544129.01842022734</v>
      </c>
      <c r="F50" s="449">
        <f t="shared" si="5"/>
        <v>-0.31365506869642706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2262</v>
      </c>
      <c r="D51" s="456">
        <v>2558</v>
      </c>
      <c r="E51" s="456">
        <f t="shared" si="4"/>
        <v>296</v>
      </c>
      <c r="F51" s="449">
        <f t="shared" si="5"/>
        <v>0.13085764809902742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2308.6472148541116</v>
      </c>
      <c r="D52" s="465">
        <f>IF(LN_IB10=0,0,LN_IB2/LN_IB10)</f>
        <v>2610.4585613760751</v>
      </c>
      <c r="E52" s="465">
        <f t="shared" si="4"/>
        <v>301.81134652196351</v>
      </c>
      <c r="F52" s="449">
        <f t="shared" si="5"/>
        <v>0.13073082131391636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3.0444145356662182</v>
      </c>
      <c r="D53" s="466">
        <f>IF(LN_IB4=0,0,LN_IB10/LN_IB4)</f>
        <v>3.0819277108433734</v>
      </c>
      <c r="E53" s="466">
        <f t="shared" si="4"/>
        <v>3.7513175177155134E-2</v>
      </c>
      <c r="F53" s="449">
        <f t="shared" si="5"/>
        <v>1.2321966912743705E-2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40158091</v>
      </c>
      <c r="D56" s="448">
        <v>39566420</v>
      </c>
      <c r="E56" s="448">
        <f t="shared" ref="E56:E63" si="6">D56-C56</f>
        <v>-591671</v>
      </c>
      <c r="F56" s="449">
        <f t="shared" ref="F56:F63" si="7">IF(C56=0,0,E56/C56)</f>
        <v>-1.4733543982456736E-2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18119637</v>
      </c>
      <c r="D57" s="448">
        <v>16477995</v>
      </c>
      <c r="E57" s="448">
        <f t="shared" si="6"/>
        <v>-1641642</v>
      </c>
      <c r="F57" s="449">
        <f t="shared" si="7"/>
        <v>-9.060015937405369E-2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0.45120762837058165</v>
      </c>
      <c r="D58" s="453">
        <f>IF(LN_IB13=0,0,LN_IB14/LN_IB13)</f>
        <v>0.41646413802411236</v>
      </c>
      <c r="E58" s="454">
        <f t="shared" si="6"/>
        <v>-3.4743490346469286E-2</v>
      </c>
      <c r="F58" s="449">
        <f t="shared" si="7"/>
        <v>-7.7001114701753415E-2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3.2499872940174082</v>
      </c>
      <c r="D59" s="453">
        <f>IF(LN_IB1=0,0,LN_IB13/LN_IB1)</f>
        <v>2.52372963811086</v>
      </c>
      <c r="E59" s="454">
        <f t="shared" si="6"/>
        <v>-0.72625765590654812</v>
      </c>
      <c r="F59" s="449">
        <f t="shared" si="7"/>
        <v>-0.22346476776799917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2414.7405594549341</v>
      </c>
      <c r="D60" s="463">
        <f>LN_IB16*LN_IB4</f>
        <v>2094.6955996320139</v>
      </c>
      <c r="E60" s="463">
        <f t="shared" si="6"/>
        <v>-320.04495982292019</v>
      </c>
      <c r="F60" s="449">
        <f t="shared" si="7"/>
        <v>-0.13253803128861269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7503.7613995642014</v>
      </c>
      <c r="D61" s="465">
        <f>IF(LN_IB17=0,0,LN_IB14/LN_IB17)</f>
        <v>7866.5344038030034</v>
      </c>
      <c r="E61" s="465">
        <f t="shared" si="6"/>
        <v>362.77300423880206</v>
      </c>
      <c r="F61" s="449">
        <f t="shared" si="7"/>
        <v>4.8345487672338698E-2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-2209.0247486799253</v>
      </c>
      <c r="D62" s="465">
        <f>LN_IA16-LN_IB18</f>
        <v>-2925.7191291199242</v>
      </c>
      <c r="E62" s="465">
        <f t="shared" si="6"/>
        <v>-716.69438043999889</v>
      </c>
      <c r="F62" s="449">
        <f t="shared" si="7"/>
        <v>0.32443927161444569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-5334221.6574771581</v>
      </c>
      <c r="D63" s="448">
        <f>LN_IB19*LN_IB17</f>
        <v>-6128490.9855267135</v>
      </c>
      <c r="E63" s="448">
        <f t="shared" si="6"/>
        <v>-794269.32804955542</v>
      </c>
      <c r="F63" s="449">
        <f t="shared" si="7"/>
        <v>0.14890069799334291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52514475</v>
      </c>
      <c r="D66" s="448">
        <f>LN_IB1+LN_IB13</f>
        <v>55244177</v>
      </c>
      <c r="E66" s="448">
        <f>D66-C66</f>
        <v>2729702</v>
      </c>
      <c r="F66" s="449">
        <f>IF(C66=0,0,E66/C66)</f>
        <v>5.1979992183107608E-2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23341797</v>
      </c>
      <c r="D67" s="448">
        <f>LN_IB2+LN_IB14</f>
        <v>23155548</v>
      </c>
      <c r="E67" s="448">
        <f>D67-C67</f>
        <v>-186249</v>
      </c>
      <c r="F67" s="449">
        <f>IF(C67=0,0,E67/C67)</f>
        <v>-7.9792057141101855E-3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29172678</v>
      </c>
      <c r="D68" s="448">
        <f>LN_IB21-LN_IB22</f>
        <v>32088629</v>
      </c>
      <c r="E68" s="448">
        <f>D68-C68</f>
        <v>2915951</v>
      </c>
      <c r="F68" s="449">
        <f>IF(C68=0,0,E68/C68)</f>
        <v>9.9954861874525194E-2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-3599421.003109714</v>
      </c>
      <c r="D70" s="441">
        <f>LN_IB9+LN_IB20</f>
        <v>-4937819.3495794963</v>
      </c>
      <c r="E70" s="448">
        <f>D70-C70</f>
        <v>-1338398.3464697823</v>
      </c>
      <c r="F70" s="449">
        <f>IF(C70=0,0,E70/C70)</f>
        <v>0.37183712194641172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52514475</v>
      </c>
      <c r="D73" s="488">
        <v>55244177</v>
      </c>
      <c r="E73" s="488">
        <f>D73-C73</f>
        <v>2729702</v>
      </c>
      <c r="F73" s="489">
        <f>IF(C73=0,0,E73/C73)</f>
        <v>5.1979992183107608E-2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28175360</v>
      </c>
      <c r="D74" s="488">
        <v>27839311</v>
      </c>
      <c r="E74" s="488">
        <f>D74-C74</f>
        <v>-336049</v>
      </c>
      <c r="F74" s="489">
        <f>IF(C74=0,0,E74/C74)</f>
        <v>-1.192705257359622E-2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24339115</v>
      </c>
      <c r="D76" s="441">
        <f>LN_IB32-LN_IB33</f>
        <v>27404866</v>
      </c>
      <c r="E76" s="488">
        <f>D76-C76</f>
        <v>3065751</v>
      </c>
      <c r="F76" s="489">
        <f>IF(E76=0,0,E76/C76)</f>
        <v>0.12595983872051222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0.46347440396195527</v>
      </c>
      <c r="D77" s="453">
        <f>IF(LN_IB32=0,0,LN_IB34/LN_IB32)</f>
        <v>0.49606795662826147</v>
      </c>
      <c r="E77" s="493">
        <f>D77-C77</f>
        <v>3.2593552666306203E-2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1345419</v>
      </c>
      <c r="D83" s="448">
        <v>1089118</v>
      </c>
      <c r="E83" s="448">
        <f t="shared" ref="E83:E95" si="8">D83-C83</f>
        <v>-256301</v>
      </c>
      <c r="F83" s="449">
        <f t="shared" ref="F83:F95" si="9">IF(C83=0,0,E83/C83)</f>
        <v>-0.19049901926463056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215382</v>
      </c>
      <c r="D84" s="448">
        <v>224283</v>
      </c>
      <c r="E84" s="448">
        <f t="shared" si="8"/>
        <v>8901</v>
      </c>
      <c r="F84" s="449">
        <f t="shared" si="9"/>
        <v>4.1326573251246619E-2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0.16008544550062101</v>
      </c>
      <c r="D85" s="453">
        <f>IF(LN_IC1=0,0,LN_IC2/LN_IC1)</f>
        <v>0.20593085414068998</v>
      </c>
      <c r="E85" s="454">
        <f t="shared" si="8"/>
        <v>4.5845408640068974E-2</v>
      </c>
      <c r="F85" s="449">
        <f t="shared" si="9"/>
        <v>0.28638086677212093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73</v>
      </c>
      <c r="D86" s="456">
        <v>93</v>
      </c>
      <c r="E86" s="456">
        <f t="shared" si="8"/>
        <v>20</v>
      </c>
      <c r="F86" s="449">
        <f t="shared" si="9"/>
        <v>0.27397260273972601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0.9919</v>
      </c>
      <c r="D87" s="459">
        <v>0.89090000000000003</v>
      </c>
      <c r="E87" s="460">
        <f t="shared" si="8"/>
        <v>-0.10099999999999998</v>
      </c>
      <c r="F87" s="449">
        <f t="shared" si="9"/>
        <v>-0.10182478072386326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72.408699999999996</v>
      </c>
      <c r="D88" s="463">
        <f>LN_IC4*LN_IC5</f>
        <v>82.853700000000003</v>
      </c>
      <c r="E88" s="463">
        <f t="shared" si="8"/>
        <v>10.445000000000007</v>
      </c>
      <c r="F88" s="449">
        <f t="shared" si="9"/>
        <v>0.14425062181754414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2974.5320658981586</v>
      </c>
      <c r="D89" s="465">
        <f>IF(LN_IC6=0,0,LN_IC2/LN_IC6)</f>
        <v>2706.9762726347767</v>
      </c>
      <c r="E89" s="465">
        <f t="shared" si="8"/>
        <v>-267.55579326338193</v>
      </c>
      <c r="F89" s="449">
        <f t="shared" si="9"/>
        <v>-8.9948868371870647E-2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4142.1944819219989</v>
      </c>
      <c r="D90" s="465">
        <f>LN_IB7-LN_IC7</f>
        <v>5284.7239144251762</v>
      </c>
      <c r="E90" s="465">
        <f t="shared" si="8"/>
        <v>1142.5294325031773</v>
      </c>
      <c r="F90" s="449">
        <f t="shared" si="9"/>
        <v>0.27582708573669817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6506.3698178198974</v>
      </c>
      <c r="D91" s="465">
        <f>LN_IA7-LN_IC7</f>
        <v>6709.7205764848186</v>
      </c>
      <c r="E91" s="465">
        <f t="shared" si="8"/>
        <v>203.35075866492116</v>
      </c>
      <c r="F91" s="449">
        <f t="shared" si="9"/>
        <v>3.1254103956399194E-2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471117.78022757557</v>
      </c>
      <c r="D92" s="441">
        <f>LN_IC9*LN_IC6</f>
        <v>555925.17572790023</v>
      </c>
      <c r="E92" s="441">
        <f t="shared" si="8"/>
        <v>84807.395500324667</v>
      </c>
      <c r="F92" s="449">
        <f t="shared" si="9"/>
        <v>0.18001314970400412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273</v>
      </c>
      <c r="D93" s="456">
        <v>241</v>
      </c>
      <c r="E93" s="456">
        <f t="shared" si="8"/>
        <v>-32</v>
      </c>
      <c r="F93" s="449">
        <f t="shared" si="9"/>
        <v>-0.11721611721611722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788.94505494505495</v>
      </c>
      <c r="D94" s="499">
        <f>IF(LN_IC11=0,0,LN_IC2/LN_IC11)</f>
        <v>930.63485477178426</v>
      </c>
      <c r="E94" s="499">
        <f t="shared" si="8"/>
        <v>141.68979982672931</v>
      </c>
      <c r="F94" s="449">
        <f t="shared" si="9"/>
        <v>0.1795940020646902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3.7397260273972601</v>
      </c>
      <c r="D95" s="466">
        <f>IF(LN_IC4=0,0,LN_IC11/LN_IC4)</f>
        <v>2.5913978494623655</v>
      </c>
      <c r="E95" s="466">
        <f t="shared" si="8"/>
        <v>-1.1483281779348946</v>
      </c>
      <c r="F95" s="449">
        <f t="shared" si="9"/>
        <v>-0.30706211351372642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2566254</v>
      </c>
      <c r="D98" s="448">
        <v>2713314</v>
      </c>
      <c r="E98" s="448">
        <f t="shared" ref="E98:E106" si="10">D98-C98</f>
        <v>147060</v>
      </c>
      <c r="F98" s="449">
        <f t="shared" ref="F98:F106" si="11">IF(C98=0,0,E98/C98)</f>
        <v>5.7305317400382035E-2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464737</v>
      </c>
      <c r="D99" s="448">
        <v>426841</v>
      </c>
      <c r="E99" s="448">
        <f t="shared" si="10"/>
        <v>-37896</v>
      </c>
      <c r="F99" s="449">
        <f t="shared" si="11"/>
        <v>-8.1542894153037088E-2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0.18109548002652895</v>
      </c>
      <c r="D100" s="453">
        <f>IF(LN_IC14=0,0,LN_IC15/LN_IC14)</f>
        <v>0.15731352876961532</v>
      </c>
      <c r="E100" s="454">
        <f t="shared" si="10"/>
        <v>-2.3781951256913625E-2</v>
      </c>
      <c r="F100" s="449">
        <f t="shared" si="11"/>
        <v>-0.13132272132595343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1.9074013374272252</v>
      </c>
      <c r="D101" s="453">
        <f>IF(LN_IC1=0,0,LN_IC14/LN_IC1)</f>
        <v>2.4912947908307457</v>
      </c>
      <c r="E101" s="454">
        <f t="shared" si="10"/>
        <v>0.5838934534035205</v>
      </c>
      <c r="F101" s="449">
        <f t="shared" si="11"/>
        <v>0.3061198720721765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139.24029763218743</v>
      </c>
      <c r="D102" s="463">
        <f>LN_IC17*LN_IC4</f>
        <v>231.69041554725933</v>
      </c>
      <c r="E102" s="463">
        <f t="shared" si="10"/>
        <v>92.4501179150719</v>
      </c>
      <c r="F102" s="449">
        <f t="shared" si="11"/>
        <v>0.6639609329138686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3337.6616389289393</v>
      </c>
      <c r="D103" s="465">
        <f>IF(LN_IC18=0,0,LN_IC15/LN_IC18)</f>
        <v>1842.2902777043644</v>
      </c>
      <c r="E103" s="465">
        <f t="shared" si="10"/>
        <v>-1495.3713612245749</v>
      </c>
      <c r="F103" s="449">
        <f t="shared" si="11"/>
        <v>-0.44802964560075714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4166.0997606352621</v>
      </c>
      <c r="D104" s="465">
        <f>LN_IB18-LN_IC19</f>
        <v>6024.2441260986388</v>
      </c>
      <c r="E104" s="465">
        <f t="shared" si="10"/>
        <v>1858.1443654633767</v>
      </c>
      <c r="F104" s="449">
        <f t="shared" si="11"/>
        <v>0.44601533141876565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1957.0750119553368</v>
      </c>
      <c r="D105" s="465">
        <f>LN_IA16-LN_IC19</f>
        <v>3098.5249969787146</v>
      </c>
      <c r="E105" s="465">
        <f t="shared" si="10"/>
        <v>1141.4499850233778</v>
      </c>
      <c r="F105" s="449">
        <f t="shared" si="11"/>
        <v>0.58324283844539082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272503.70715317788</v>
      </c>
      <c r="D106" s="448">
        <f>LN_IC21*LN_IC18</f>
        <v>717898.54413356888</v>
      </c>
      <c r="E106" s="448">
        <f t="shared" si="10"/>
        <v>445394.836980391</v>
      </c>
      <c r="F106" s="449">
        <f t="shared" si="11"/>
        <v>1.6344542304887939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3911673</v>
      </c>
      <c r="D109" s="448">
        <f>LN_IC1+LN_IC14</f>
        <v>3802432</v>
      </c>
      <c r="E109" s="448">
        <f>D109-C109</f>
        <v>-109241</v>
      </c>
      <c r="F109" s="449">
        <f>IF(C109=0,0,E109/C109)</f>
        <v>-2.792692538461165E-2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680119</v>
      </c>
      <c r="D110" s="448">
        <f>LN_IC2+LN_IC15</f>
        <v>651124</v>
      </c>
      <c r="E110" s="448">
        <f>D110-C110</f>
        <v>-28995</v>
      </c>
      <c r="F110" s="449">
        <f>IF(C110=0,0,E110/C110)</f>
        <v>-4.263224523943604E-2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3231554</v>
      </c>
      <c r="D111" s="448">
        <f>LN_IC23-LN_IC24</f>
        <v>3151308</v>
      </c>
      <c r="E111" s="448">
        <f>D111-C111</f>
        <v>-80246</v>
      </c>
      <c r="F111" s="449">
        <f>IF(C111=0,0,E111/C111)</f>
        <v>-2.4832015804161094E-2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743621.4873807535</v>
      </c>
      <c r="D113" s="448">
        <f>LN_IC10+LN_IC22</f>
        <v>1273823.7198614692</v>
      </c>
      <c r="E113" s="448">
        <f>D113-C113</f>
        <v>530202.23248071573</v>
      </c>
      <c r="F113" s="449">
        <f>IF(C113=0,0,E113/C113)</f>
        <v>0.71300015058499566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2952316</v>
      </c>
      <c r="D118" s="448">
        <v>3175671</v>
      </c>
      <c r="E118" s="448">
        <f t="shared" ref="E118:E130" si="12">D118-C118</f>
        <v>223355</v>
      </c>
      <c r="F118" s="449">
        <f t="shared" ref="F118:F130" si="13">IF(C118=0,0,E118/C118)</f>
        <v>7.565416439161661E-2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791153</v>
      </c>
      <c r="D119" s="448">
        <v>819553</v>
      </c>
      <c r="E119" s="448">
        <f t="shared" si="12"/>
        <v>28400</v>
      </c>
      <c r="F119" s="449">
        <f t="shared" si="13"/>
        <v>3.5896975679798979E-2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0.26797707291495898</v>
      </c>
      <c r="D120" s="453">
        <f>IF(LN_ID1=0,0,LN_1D2/LN_ID1)</f>
        <v>0.25807238848104858</v>
      </c>
      <c r="E120" s="454">
        <f t="shared" si="12"/>
        <v>-9.9046844339104045E-3</v>
      </c>
      <c r="F120" s="449">
        <f t="shared" si="13"/>
        <v>-3.6960939703426052E-2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194</v>
      </c>
      <c r="D121" s="456">
        <v>217</v>
      </c>
      <c r="E121" s="456">
        <f t="shared" si="12"/>
        <v>23</v>
      </c>
      <c r="F121" s="449">
        <f t="shared" si="13"/>
        <v>0.11855670103092783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0.94869999999999999</v>
      </c>
      <c r="D122" s="459">
        <v>0.91049999999999998</v>
      </c>
      <c r="E122" s="460">
        <f t="shared" si="12"/>
        <v>-3.8200000000000012E-2</v>
      </c>
      <c r="F122" s="449">
        <f t="shared" si="13"/>
        <v>-4.0265626646990633E-2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184.0478</v>
      </c>
      <c r="D123" s="463">
        <f>LN_ID4*LN_ID5</f>
        <v>197.57849999999999</v>
      </c>
      <c r="E123" s="463">
        <f t="shared" si="12"/>
        <v>13.530699999999996</v>
      </c>
      <c r="F123" s="449">
        <f t="shared" si="13"/>
        <v>7.3517314523726965E-2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4298.6278564590284</v>
      </c>
      <c r="D124" s="465">
        <f>IF(LN_ID6=0,0,LN_1D2/LN_ID6)</f>
        <v>4147.9867495704239</v>
      </c>
      <c r="E124" s="465">
        <f t="shared" si="12"/>
        <v>-150.64110688860455</v>
      </c>
      <c r="F124" s="449">
        <f t="shared" si="13"/>
        <v>-3.5043998205672625E-2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2818.0986913611287</v>
      </c>
      <c r="D125" s="465">
        <f>LN_IB7-LN_ID7</f>
        <v>3843.7134374895286</v>
      </c>
      <c r="E125" s="465">
        <f t="shared" si="12"/>
        <v>1025.6147461283999</v>
      </c>
      <c r="F125" s="449">
        <f t="shared" si="13"/>
        <v>0.36393854809713311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5182.2740272590272</v>
      </c>
      <c r="D126" s="465">
        <f>LN_IA7-LN_ID7</f>
        <v>5268.710099549171</v>
      </c>
      <c r="E126" s="465">
        <f t="shared" si="12"/>
        <v>86.436072290143784</v>
      </c>
      <c r="F126" s="449">
        <f t="shared" si="13"/>
        <v>1.6679178259483309E-2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953786.13371416391</v>
      </c>
      <c r="D127" s="479">
        <f>LN_ID9*LN_ID6</f>
        <v>1040983.8384037758</v>
      </c>
      <c r="E127" s="479">
        <f t="shared" si="12"/>
        <v>87197.704689611914</v>
      </c>
      <c r="F127" s="449">
        <f t="shared" si="13"/>
        <v>9.1422701177310065E-2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602</v>
      </c>
      <c r="D128" s="456">
        <v>615</v>
      </c>
      <c r="E128" s="456">
        <f t="shared" si="12"/>
        <v>13</v>
      </c>
      <c r="F128" s="449">
        <f t="shared" si="13"/>
        <v>2.1594684385382059E-2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1314.2076411960134</v>
      </c>
      <c r="D129" s="465">
        <f>IF(LN_ID11=0,0,LN_1D2/LN_ID11)</f>
        <v>1332.6065040650406</v>
      </c>
      <c r="E129" s="465">
        <f t="shared" si="12"/>
        <v>18.398862869027198</v>
      </c>
      <c r="F129" s="449">
        <f t="shared" si="13"/>
        <v>1.3999966437786841E-2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3.1030927835051547</v>
      </c>
      <c r="D130" s="466">
        <f>IF(LN_ID4=0,0,LN_ID11/LN_ID4)</f>
        <v>2.8341013824884791</v>
      </c>
      <c r="E130" s="466">
        <f t="shared" si="12"/>
        <v>-0.26899140101667562</v>
      </c>
      <c r="F130" s="449">
        <f t="shared" si="13"/>
        <v>-8.6684936540257593E-2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5112045</v>
      </c>
      <c r="D133" s="448">
        <v>5267908</v>
      </c>
      <c r="E133" s="448">
        <f t="shared" ref="E133:E141" si="14">D133-C133</f>
        <v>155863</v>
      </c>
      <c r="F133" s="449">
        <f t="shared" ref="F133:F141" si="15">IF(C133=0,0,E133/C133)</f>
        <v>3.0489363845584302E-2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1211754</v>
      </c>
      <c r="D134" s="448">
        <v>1271376</v>
      </c>
      <c r="E134" s="448">
        <f t="shared" si="14"/>
        <v>59622</v>
      </c>
      <c r="F134" s="449">
        <f t="shared" si="15"/>
        <v>4.9203056065835145E-2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0.23703899320135094</v>
      </c>
      <c r="D135" s="453">
        <f>IF(LN_ID14=0,0,LN_ID15/LN_ID14)</f>
        <v>0.24134362255377276</v>
      </c>
      <c r="E135" s="454">
        <f t="shared" si="14"/>
        <v>4.3046293524218182E-3</v>
      </c>
      <c r="F135" s="449">
        <f t="shared" si="15"/>
        <v>1.8160005213848019E-2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1.7315372067217736</v>
      </c>
      <c r="D136" s="453">
        <f>IF(LN_ID1=0,0,LN_ID14/LN_ID1)</f>
        <v>1.6588330466222729</v>
      </c>
      <c r="E136" s="454">
        <f t="shared" si="14"/>
        <v>-7.2704160099500648E-2</v>
      </c>
      <c r="F136" s="449">
        <f t="shared" si="15"/>
        <v>-4.1988217069356272E-2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335.91821810402405</v>
      </c>
      <c r="D137" s="463">
        <f>LN_ID17*LN_ID4</f>
        <v>359.9667711170332</v>
      </c>
      <c r="E137" s="463">
        <f t="shared" si="14"/>
        <v>24.048553013009155</v>
      </c>
      <c r="F137" s="449">
        <f t="shared" si="15"/>
        <v>7.1590499463658211E-2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3607.2887229496891</v>
      </c>
      <c r="D138" s="465">
        <f>IF(LN_ID18=0,0,LN_ID15/LN_ID18)</f>
        <v>3531.9260054330052</v>
      </c>
      <c r="E138" s="465">
        <f t="shared" si="14"/>
        <v>-75.362717516683915</v>
      </c>
      <c r="F138" s="449">
        <f t="shared" si="15"/>
        <v>-2.0891789735937642E-2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3896.4726766145122</v>
      </c>
      <c r="D139" s="465">
        <f>LN_IB18-LN_ID19</f>
        <v>4334.6083983699982</v>
      </c>
      <c r="E139" s="465">
        <f t="shared" si="14"/>
        <v>438.13572175548597</v>
      </c>
      <c r="F139" s="449">
        <f t="shared" si="15"/>
        <v>0.11244419199576279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1687.4479279345869</v>
      </c>
      <c r="D140" s="465">
        <f>LN_IA16-LN_ID19</f>
        <v>1408.889269250074</v>
      </c>
      <c r="E140" s="465">
        <f t="shared" si="14"/>
        <v>-278.55865868451292</v>
      </c>
      <c r="F140" s="449">
        <f t="shared" si="15"/>
        <v>-0.1650768916024952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566844.50109511404</v>
      </c>
      <c r="D141" s="441">
        <f>LN_ID21*LN_ID18</f>
        <v>507153.32111338555</v>
      </c>
      <c r="E141" s="441">
        <f t="shared" si="14"/>
        <v>-59691.179981728492</v>
      </c>
      <c r="F141" s="449">
        <f t="shared" si="15"/>
        <v>-0.10530432925856781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8064361</v>
      </c>
      <c r="D144" s="448">
        <f>LN_ID1+LN_ID14</f>
        <v>8443579</v>
      </c>
      <c r="E144" s="448">
        <f>D144-C144</f>
        <v>379218</v>
      </c>
      <c r="F144" s="449">
        <f>IF(C144=0,0,E144/C144)</f>
        <v>4.7023936552443524E-2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2002907</v>
      </c>
      <c r="D145" s="448">
        <f>LN_1D2+LN_ID15</f>
        <v>2090929</v>
      </c>
      <c r="E145" s="448">
        <f>D145-C145</f>
        <v>88022</v>
      </c>
      <c r="F145" s="449">
        <f>IF(C145=0,0,E145/C145)</f>
        <v>4.3947122856927458E-2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6061454</v>
      </c>
      <c r="D146" s="448">
        <f>LN_ID23-LN_ID24</f>
        <v>6352650</v>
      </c>
      <c r="E146" s="448">
        <f>D146-C146</f>
        <v>291196</v>
      </c>
      <c r="F146" s="449">
        <f>IF(C146=0,0,E146/C146)</f>
        <v>4.8040618637046492E-2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1520630.634809278</v>
      </c>
      <c r="D148" s="448">
        <f>LN_ID10+LN_ID22</f>
        <v>1548137.1595171613</v>
      </c>
      <c r="E148" s="448">
        <f>D148-C148</f>
        <v>27506.524707883364</v>
      </c>
      <c r="F148" s="503">
        <f>IF(C148=0,0,E148/C148)</f>
        <v>1.8088892909443006E-2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2591672</v>
      </c>
      <c r="D153" s="448">
        <v>3350285</v>
      </c>
      <c r="E153" s="448">
        <f t="shared" ref="E153:E165" si="16">D153-C153</f>
        <v>758613</v>
      </c>
      <c r="F153" s="449">
        <f t="shared" ref="F153:F165" si="17">IF(C153=0,0,E153/C153)</f>
        <v>0.29271180921042478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743895</v>
      </c>
      <c r="D154" s="448">
        <v>1196216</v>
      </c>
      <c r="E154" s="448">
        <f t="shared" si="16"/>
        <v>452321</v>
      </c>
      <c r="F154" s="449">
        <f t="shared" si="17"/>
        <v>0.6080441460152306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0.28703284983593602</v>
      </c>
      <c r="D155" s="453">
        <f>IF(LN_IE1=0,0,LN_IE2/LN_IE1)</f>
        <v>0.35704902717231518</v>
      </c>
      <c r="E155" s="454">
        <f t="shared" si="16"/>
        <v>7.001617733637916E-2</v>
      </c>
      <c r="F155" s="449">
        <f t="shared" si="17"/>
        <v>0.24393088587734621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183</v>
      </c>
      <c r="D156" s="506">
        <v>208</v>
      </c>
      <c r="E156" s="506">
        <f t="shared" si="16"/>
        <v>25</v>
      </c>
      <c r="F156" s="449">
        <f t="shared" si="17"/>
        <v>0.13661202185792351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0.90800000000000003</v>
      </c>
      <c r="D157" s="459">
        <v>0.96150000000000002</v>
      </c>
      <c r="E157" s="460">
        <f t="shared" si="16"/>
        <v>5.3499999999999992E-2</v>
      </c>
      <c r="F157" s="449">
        <f t="shared" si="17"/>
        <v>5.8920704845814964E-2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166.16400000000002</v>
      </c>
      <c r="D158" s="463">
        <f>LN_IE4*LN_IE5</f>
        <v>199.99200000000002</v>
      </c>
      <c r="E158" s="463">
        <f t="shared" si="16"/>
        <v>33.828000000000003</v>
      </c>
      <c r="F158" s="449">
        <f t="shared" si="17"/>
        <v>0.2035820033220192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4476.8722466960344</v>
      </c>
      <c r="D159" s="465">
        <f>IF(LN_IE6=0,0,LN_IE2/LN_IE6)</f>
        <v>5981.3192527701103</v>
      </c>
      <c r="E159" s="465">
        <f t="shared" si="16"/>
        <v>1504.4470060740759</v>
      </c>
      <c r="F159" s="449">
        <f t="shared" si="17"/>
        <v>0.33604867933954763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2639.8543011241227</v>
      </c>
      <c r="D160" s="465">
        <f>LN_IB7-LN_IE7</f>
        <v>2010.3809342898421</v>
      </c>
      <c r="E160" s="465">
        <f t="shared" si="16"/>
        <v>-629.47336683428057</v>
      </c>
      <c r="F160" s="449">
        <f t="shared" si="17"/>
        <v>-0.23845004118834645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5004.0296370220212</v>
      </c>
      <c r="D161" s="465">
        <f>LN_IA7-LN_IE7</f>
        <v>3435.3775963494845</v>
      </c>
      <c r="E161" s="465">
        <f t="shared" si="16"/>
        <v>-1568.6520406725367</v>
      </c>
      <c r="F161" s="449">
        <f t="shared" si="17"/>
        <v>-0.3134777678107572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831489.58060612716</v>
      </c>
      <c r="D162" s="479">
        <f>LN_IE9*LN_IE6</f>
        <v>687048.03624912619</v>
      </c>
      <c r="E162" s="479">
        <f t="shared" si="16"/>
        <v>-144441.54435700097</v>
      </c>
      <c r="F162" s="449">
        <f t="shared" si="17"/>
        <v>-0.17371419645656663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552</v>
      </c>
      <c r="D163" s="456">
        <v>653</v>
      </c>
      <c r="E163" s="506">
        <f t="shared" si="16"/>
        <v>101</v>
      </c>
      <c r="F163" s="449">
        <f t="shared" si="17"/>
        <v>0.18297101449275363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1347.6358695652175</v>
      </c>
      <c r="D164" s="465">
        <f>IF(LN_IE11=0,0,LN_IE2/LN_IE11)</f>
        <v>1831.8774885145483</v>
      </c>
      <c r="E164" s="465">
        <f t="shared" si="16"/>
        <v>484.24161894933081</v>
      </c>
      <c r="F164" s="449">
        <f t="shared" si="17"/>
        <v>0.35932675130230823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3.0163934426229506</v>
      </c>
      <c r="D165" s="466">
        <f>IF(LN_IE4=0,0,LN_IE11/LN_IE4)</f>
        <v>3.1394230769230771</v>
      </c>
      <c r="E165" s="466">
        <f t="shared" si="16"/>
        <v>0.12302963430012648</v>
      </c>
      <c r="F165" s="449">
        <f t="shared" si="17"/>
        <v>4.0786998327759325E-2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3504293</v>
      </c>
      <c r="D168" s="511">
        <v>4106382</v>
      </c>
      <c r="E168" s="511">
        <f t="shared" ref="E168:E176" si="18">D168-C168</f>
        <v>602089</v>
      </c>
      <c r="F168" s="449">
        <f t="shared" ref="F168:F176" si="19">IF(C168=0,0,E168/C168)</f>
        <v>0.17181468558707846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522404</v>
      </c>
      <c r="D169" s="511">
        <v>565931</v>
      </c>
      <c r="E169" s="511">
        <f t="shared" si="18"/>
        <v>43527</v>
      </c>
      <c r="F169" s="449">
        <f t="shared" si="19"/>
        <v>8.3320571817979958E-2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0.14907543404618279</v>
      </c>
      <c r="D170" s="453">
        <f>IF(LN_IE14=0,0,LN_IE15/LN_IE14)</f>
        <v>0.13781742663006025</v>
      </c>
      <c r="E170" s="454">
        <f t="shared" si="18"/>
        <v>-1.125800741612254E-2</v>
      </c>
      <c r="F170" s="449">
        <f t="shared" si="19"/>
        <v>-7.5518863910433887E-2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1.3521359956043821</v>
      </c>
      <c r="D171" s="453">
        <f>IF(LN_IE1=0,0,LN_IE14/LN_IE1)</f>
        <v>1.2256813972542635</v>
      </c>
      <c r="E171" s="454">
        <f t="shared" si="18"/>
        <v>-0.12645459835011863</v>
      </c>
      <c r="F171" s="449">
        <f t="shared" si="19"/>
        <v>-9.3522100410909886E-2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247.44088719560193</v>
      </c>
      <c r="D172" s="463">
        <f>LN_IE17*LN_IE4</f>
        <v>254.9417306288868</v>
      </c>
      <c r="E172" s="463">
        <f t="shared" si="18"/>
        <v>7.5008434332848708</v>
      </c>
      <c r="F172" s="449">
        <f t="shared" si="19"/>
        <v>3.0313678221479446E-2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2111.2274770783529</v>
      </c>
      <c r="D173" s="465">
        <f>IF(LN_IE18=0,0,LN_IE15/LN_IE18)</f>
        <v>2219.8445056600544</v>
      </c>
      <c r="E173" s="465">
        <f t="shared" si="18"/>
        <v>108.61702858170156</v>
      </c>
      <c r="F173" s="449">
        <f t="shared" si="19"/>
        <v>5.1447335619188003E-2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5392.533922485849</v>
      </c>
      <c r="D174" s="465">
        <f>LN_IB18-LN_IE19</f>
        <v>5646.6898981429495</v>
      </c>
      <c r="E174" s="465">
        <f t="shared" si="18"/>
        <v>254.1559756571005</v>
      </c>
      <c r="F174" s="449">
        <f t="shared" si="19"/>
        <v>4.7131085183779377E-2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3183.5091738059232</v>
      </c>
      <c r="D175" s="465">
        <f>LN_IA16-LN_IE19</f>
        <v>2720.9707690230248</v>
      </c>
      <c r="E175" s="465">
        <f t="shared" si="18"/>
        <v>-462.5384047828984</v>
      </c>
      <c r="F175" s="449">
        <f t="shared" si="19"/>
        <v>-0.14529199682811914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787730.33436187531</v>
      </c>
      <c r="D176" s="441">
        <f>LN_IE21*LN_IE18</f>
        <v>693688.99684534292</v>
      </c>
      <c r="E176" s="441">
        <f t="shared" si="18"/>
        <v>-94041.337516532396</v>
      </c>
      <c r="F176" s="449">
        <f t="shared" si="19"/>
        <v>-0.11938265344664353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6095965</v>
      </c>
      <c r="D179" s="448">
        <f>LN_IE1+LN_IE14</f>
        <v>7456667</v>
      </c>
      <c r="E179" s="448">
        <f>D179-C179</f>
        <v>1360702</v>
      </c>
      <c r="F179" s="449">
        <f>IF(C179=0,0,E179/C179)</f>
        <v>0.22321355191507825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1266299</v>
      </c>
      <c r="D180" s="448">
        <f>LN_IE15+LN_IE2</f>
        <v>1762147</v>
      </c>
      <c r="E180" s="448">
        <f>D180-C180</f>
        <v>495848</v>
      </c>
      <c r="F180" s="449">
        <f>IF(C180=0,0,E180/C180)</f>
        <v>0.39157260646972003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4829666</v>
      </c>
      <c r="D181" s="448">
        <f>LN_IE23-LN_IE24</f>
        <v>5694520</v>
      </c>
      <c r="E181" s="448">
        <f>D181-C181</f>
        <v>864854</v>
      </c>
      <c r="F181" s="449">
        <f>IF(C181=0,0,E181/C181)</f>
        <v>0.17907118214799947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1619219.9149680026</v>
      </c>
      <c r="D183" s="448">
        <f>LN_IE10+LN_IE22</f>
        <v>1380737.033094469</v>
      </c>
      <c r="E183" s="441">
        <f>D183-C183</f>
        <v>-238482.8818735336</v>
      </c>
      <c r="F183" s="449">
        <f>IF(C183=0,0,E183/C183)</f>
        <v>-0.14728257704157885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5543988</v>
      </c>
      <c r="D188" s="448">
        <f>LN_ID1+LN_IE1</f>
        <v>6525956</v>
      </c>
      <c r="E188" s="448">
        <f t="shared" ref="E188:E200" si="20">D188-C188</f>
        <v>981968</v>
      </c>
      <c r="F188" s="449">
        <f t="shared" ref="F188:F200" si="21">IF(C188=0,0,E188/C188)</f>
        <v>0.17712303850585534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1535048</v>
      </c>
      <c r="D189" s="448">
        <f>LN_1D2+LN_IE2</f>
        <v>2015769</v>
      </c>
      <c r="E189" s="448">
        <f t="shared" si="20"/>
        <v>480721</v>
      </c>
      <c r="F189" s="449">
        <f t="shared" si="21"/>
        <v>0.31316349716751529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0.27688515920308632</v>
      </c>
      <c r="D190" s="453">
        <f>IF(LN_IF1=0,0,LN_IF2/LN_IF1)</f>
        <v>0.30888485916852643</v>
      </c>
      <c r="E190" s="454">
        <f t="shared" si="20"/>
        <v>3.1999699965440109E-2</v>
      </c>
      <c r="F190" s="449">
        <f t="shared" si="21"/>
        <v>0.11557029657183382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377</v>
      </c>
      <c r="D191" s="456">
        <f>LN_ID4+LN_IE4</f>
        <v>425</v>
      </c>
      <c r="E191" s="456">
        <f t="shared" si="20"/>
        <v>48</v>
      </c>
      <c r="F191" s="449">
        <f t="shared" si="21"/>
        <v>0.1273209549071618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0.9289437665782494</v>
      </c>
      <c r="D192" s="459">
        <f>IF((LN_ID4+LN_IE4)=0,0,(LN_ID6+LN_IE6)/(LN_ID4+LN_IE4))</f>
        <v>0.93546000000000007</v>
      </c>
      <c r="E192" s="460">
        <f t="shared" si="20"/>
        <v>6.5162334217506723E-3</v>
      </c>
      <c r="F192" s="449">
        <f t="shared" si="21"/>
        <v>7.0146694086264463E-3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350.21180000000004</v>
      </c>
      <c r="D193" s="463">
        <f>LN_IF4*LN_IF5</f>
        <v>397.57050000000004</v>
      </c>
      <c r="E193" s="463">
        <f t="shared" si="20"/>
        <v>47.358699999999999</v>
      </c>
      <c r="F193" s="449">
        <f t="shared" si="21"/>
        <v>0.13522873872325258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4383.1989670250969</v>
      </c>
      <c r="D194" s="465">
        <f>IF(LN_IF6=0,0,LN_IF2/LN_IF6)</f>
        <v>5070.2177349677595</v>
      </c>
      <c r="E194" s="465">
        <f t="shared" si="20"/>
        <v>687.01876794266263</v>
      </c>
      <c r="F194" s="449">
        <f t="shared" si="21"/>
        <v>0.15673912434984588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2733.5275807950602</v>
      </c>
      <c r="D195" s="465">
        <f>LN_IB7-LN_IF7</f>
        <v>2921.4824520921929</v>
      </c>
      <c r="E195" s="465">
        <f t="shared" si="20"/>
        <v>187.95487129713274</v>
      </c>
      <c r="F195" s="449">
        <f t="shared" si="21"/>
        <v>6.8759090860339933E-2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5097.7029166929588</v>
      </c>
      <c r="D196" s="465">
        <f>LN_IA7-LN_IF7</f>
        <v>4346.4791141518353</v>
      </c>
      <c r="E196" s="465">
        <f t="shared" si="20"/>
        <v>-751.2238025411234</v>
      </c>
      <c r="F196" s="449">
        <f t="shared" si="21"/>
        <v>-0.14736515933111027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1785275.7143202911</v>
      </c>
      <c r="D197" s="479">
        <f>LN_IF9*LN_IF6</f>
        <v>1728031.8746529024</v>
      </c>
      <c r="E197" s="479">
        <f t="shared" si="20"/>
        <v>-57243.839667388704</v>
      </c>
      <c r="F197" s="449">
        <f t="shared" si="21"/>
        <v>-3.2064425235954763E-2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1154</v>
      </c>
      <c r="D198" s="456">
        <f>LN_ID11+LN_IE11</f>
        <v>1268</v>
      </c>
      <c r="E198" s="456">
        <f t="shared" si="20"/>
        <v>114</v>
      </c>
      <c r="F198" s="449">
        <f t="shared" si="21"/>
        <v>9.8786828422876949E-2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1330.1975736568459</v>
      </c>
      <c r="D199" s="519">
        <f>IF(LN_IF11=0,0,LN_IF2/LN_IF11)</f>
        <v>1589.7231861198738</v>
      </c>
      <c r="E199" s="519">
        <f t="shared" si="20"/>
        <v>259.52561246302798</v>
      </c>
      <c r="F199" s="449">
        <f t="shared" si="21"/>
        <v>0.19510305657043575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3.0610079575596818</v>
      </c>
      <c r="D200" s="466">
        <f>IF(LN_IF4=0,0,LN_IF11/LN_IF4)</f>
        <v>2.9835294117647058</v>
      </c>
      <c r="E200" s="466">
        <f t="shared" si="20"/>
        <v>-7.7478545794976039E-2</v>
      </c>
      <c r="F200" s="449">
        <f t="shared" si="21"/>
        <v>-2.5311448669589225E-2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8616338</v>
      </c>
      <c r="D203" s="448">
        <f>LN_ID14+LN_IE14</f>
        <v>9374290</v>
      </c>
      <c r="E203" s="448">
        <f t="shared" ref="E203:E211" si="22">D203-C203</f>
        <v>757952</v>
      </c>
      <c r="F203" s="449">
        <f t="shared" ref="F203:F211" si="23">IF(C203=0,0,E203/C203)</f>
        <v>8.7966836955560471E-2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1734158</v>
      </c>
      <c r="D204" s="448">
        <f>LN_ID15+LN_IE15</f>
        <v>1837307</v>
      </c>
      <c r="E204" s="448">
        <f t="shared" si="22"/>
        <v>103149</v>
      </c>
      <c r="F204" s="449">
        <f t="shared" si="23"/>
        <v>5.9480739355929506E-2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0.20126392441893529</v>
      </c>
      <c r="D205" s="453">
        <f>IF(LN_IF14=0,0,LN_IF15/LN_IF14)</f>
        <v>0.19599425663170225</v>
      </c>
      <c r="E205" s="454">
        <f t="shared" si="22"/>
        <v>-5.2696677872330344E-3</v>
      </c>
      <c r="F205" s="449">
        <f t="shared" si="23"/>
        <v>-2.6182873072990991E-2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1.5541768849427524</v>
      </c>
      <c r="D206" s="453">
        <f>IF(LN_IF1=0,0,LN_IF14/LN_IF1)</f>
        <v>1.4364623359397459</v>
      </c>
      <c r="E206" s="454">
        <f t="shared" si="22"/>
        <v>-0.11771454900300649</v>
      </c>
      <c r="F206" s="449">
        <f t="shared" si="23"/>
        <v>-7.5740766796530024E-2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583.35910529962598</v>
      </c>
      <c r="D207" s="463">
        <f>LN_ID18+LN_IE18</f>
        <v>614.90850174592003</v>
      </c>
      <c r="E207" s="463">
        <f t="shared" si="22"/>
        <v>31.549396446294054</v>
      </c>
      <c r="F207" s="449">
        <f t="shared" si="23"/>
        <v>5.4082290238856551E-2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2972.710949817606</v>
      </c>
      <c r="D208" s="465">
        <f>IF(LN_IF18=0,0,LN_IF15/LN_IF18)</f>
        <v>2987.9355949434807</v>
      </c>
      <c r="E208" s="465">
        <f t="shared" si="22"/>
        <v>15.224645125874758</v>
      </c>
      <c r="F208" s="449">
        <f t="shared" si="23"/>
        <v>5.1214683778148303E-3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4531.0504497465954</v>
      </c>
      <c r="D209" s="465">
        <f>LN_IB18-LN_IF19</f>
        <v>4878.5988088595223</v>
      </c>
      <c r="E209" s="465">
        <f t="shared" si="22"/>
        <v>347.54835911292685</v>
      </c>
      <c r="F209" s="449">
        <f t="shared" si="23"/>
        <v>7.6703705458049776E-2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2322.0257010666701</v>
      </c>
      <c r="D210" s="465">
        <f>LN_IA16-LN_IF19</f>
        <v>1952.8796797395985</v>
      </c>
      <c r="E210" s="465">
        <f t="shared" si="22"/>
        <v>-369.14602132707159</v>
      </c>
      <c r="F210" s="449">
        <f t="shared" si="23"/>
        <v>-0.15897585507236064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1354574.8354569892</v>
      </c>
      <c r="D211" s="441">
        <f>LN_IF21*LN_IF18</f>
        <v>1200842.3179587286</v>
      </c>
      <c r="E211" s="441">
        <f t="shared" si="22"/>
        <v>-153732.5174982606</v>
      </c>
      <c r="F211" s="449">
        <f t="shared" si="23"/>
        <v>-0.11349134316849779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14160326</v>
      </c>
      <c r="D214" s="448">
        <f>LN_IF1+LN_IF14</f>
        <v>15900246</v>
      </c>
      <c r="E214" s="448">
        <f>D214-C214</f>
        <v>1739920</v>
      </c>
      <c r="F214" s="449">
        <f>IF(C214=0,0,E214/C214)</f>
        <v>0.12287287736172176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3269206</v>
      </c>
      <c r="D215" s="448">
        <f>LN_IF2+LN_IF15</f>
        <v>3853076</v>
      </c>
      <c r="E215" s="448">
        <f>D215-C215</f>
        <v>583870</v>
      </c>
      <c r="F215" s="449">
        <f>IF(C215=0,0,E215/C215)</f>
        <v>0.17859688254579245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10891120</v>
      </c>
      <c r="D216" s="448">
        <f>LN_IF23-LN_IF24</f>
        <v>12047170</v>
      </c>
      <c r="E216" s="448">
        <f>D216-C216</f>
        <v>1156050</v>
      </c>
      <c r="F216" s="449">
        <f>IF(C216=0,0,E216/C216)</f>
        <v>0.10614610802194815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163314</v>
      </c>
      <c r="D221" s="448">
        <v>85024</v>
      </c>
      <c r="E221" s="448">
        <f t="shared" ref="E221:E230" si="24">D221-C221</f>
        <v>-78290</v>
      </c>
      <c r="F221" s="449">
        <f t="shared" ref="F221:F230" si="25">IF(C221=0,0,E221/C221)</f>
        <v>-0.47938327393854785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161130</v>
      </c>
      <c r="D222" s="448">
        <v>77524</v>
      </c>
      <c r="E222" s="448">
        <f t="shared" si="24"/>
        <v>-83606</v>
      </c>
      <c r="F222" s="449">
        <f t="shared" si="25"/>
        <v>-0.51887295972196368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0.98662698850067965</v>
      </c>
      <c r="D223" s="453">
        <f>IF(LN_IG1=0,0,LN_IG2/LN_IG1)</f>
        <v>0.91178961234474976</v>
      </c>
      <c r="E223" s="454">
        <f t="shared" si="24"/>
        <v>-7.4837376155929891E-2</v>
      </c>
      <c r="F223" s="449">
        <f t="shared" si="25"/>
        <v>-7.5851742379007853E-2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11</v>
      </c>
      <c r="D224" s="456">
        <v>9</v>
      </c>
      <c r="E224" s="456">
        <f t="shared" si="24"/>
        <v>-2</v>
      </c>
      <c r="F224" s="449">
        <f t="shared" si="25"/>
        <v>-0.18181818181818182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0.77580000000000005</v>
      </c>
      <c r="D225" s="459">
        <v>1.0219</v>
      </c>
      <c r="E225" s="460">
        <f t="shared" si="24"/>
        <v>0.24609999999999999</v>
      </c>
      <c r="F225" s="449">
        <f t="shared" si="25"/>
        <v>0.31722093323021394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8.5338000000000012</v>
      </c>
      <c r="D226" s="463">
        <f>LN_IG3*LN_IG4</f>
        <v>9.1971000000000007</v>
      </c>
      <c r="E226" s="463">
        <f t="shared" si="24"/>
        <v>0.66329999999999956</v>
      </c>
      <c r="F226" s="449">
        <f t="shared" si="25"/>
        <v>7.772621809744773E-2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18881.389299022707</v>
      </c>
      <c r="D227" s="465">
        <f>IF(LN_IG5=0,0,LN_IG2/LN_IG5)</f>
        <v>8429.1787628709044</v>
      </c>
      <c r="E227" s="465">
        <f t="shared" si="24"/>
        <v>-10452.210536151802</v>
      </c>
      <c r="F227" s="449">
        <f t="shared" si="25"/>
        <v>-0.55357211117366267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29</v>
      </c>
      <c r="D228" s="456">
        <v>21</v>
      </c>
      <c r="E228" s="456">
        <f t="shared" si="24"/>
        <v>-8</v>
      </c>
      <c r="F228" s="449">
        <f t="shared" si="25"/>
        <v>-0.27586206896551724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5556.2068965517237</v>
      </c>
      <c r="D229" s="465">
        <f>IF(LN_IG6=0,0,LN_IG2/LN_IG6)</f>
        <v>3691.6190476190477</v>
      </c>
      <c r="E229" s="465">
        <f t="shared" si="24"/>
        <v>-1864.587848932676</v>
      </c>
      <c r="F229" s="449">
        <f t="shared" si="25"/>
        <v>-0.33558646818747351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2.6363636363636362</v>
      </c>
      <c r="D230" s="466">
        <f>IF(LN_IG3=0,0,LN_IG6/LN_IG3)</f>
        <v>2.3333333333333335</v>
      </c>
      <c r="E230" s="466">
        <f t="shared" si="24"/>
        <v>-0.30303030303030276</v>
      </c>
      <c r="F230" s="449">
        <f t="shared" si="25"/>
        <v>-0.11494252873563209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200223</v>
      </c>
      <c r="D233" s="448">
        <v>190495</v>
      </c>
      <c r="E233" s="448">
        <f>D233-C233</f>
        <v>-9728</v>
      </c>
      <c r="F233" s="449">
        <f>IF(C233=0,0,E233/C233)</f>
        <v>-4.8585826803114525E-2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55611</v>
      </c>
      <c r="D234" s="448">
        <v>41971</v>
      </c>
      <c r="E234" s="448">
        <f>D234-C234</f>
        <v>-13640</v>
      </c>
      <c r="F234" s="449">
        <f>IF(C234=0,0,E234/C234)</f>
        <v>-0.24527521533509558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363537</v>
      </c>
      <c r="D237" s="448">
        <f>LN_IG1+LN_IG9</f>
        <v>275519</v>
      </c>
      <c r="E237" s="448">
        <f>D237-C237</f>
        <v>-88018</v>
      </c>
      <c r="F237" s="449">
        <f>IF(C237=0,0,E237/C237)</f>
        <v>-0.2421156581035768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216741</v>
      </c>
      <c r="D238" s="448">
        <f>LN_IG2+LN_IG10</f>
        <v>119495</v>
      </c>
      <c r="E238" s="448">
        <f>D238-C238</f>
        <v>-97246</v>
      </c>
      <c r="F238" s="449">
        <f>IF(C238=0,0,E238/C238)</f>
        <v>-0.448673762693722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146796</v>
      </c>
      <c r="D239" s="448">
        <f>LN_IG13-LN_IG14</f>
        <v>156024</v>
      </c>
      <c r="E239" s="448">
        <f>D239-C239</f>
        <v>9228</v>
      </c>
      <c r="F239" s="449">
        <f>IF(C239=0,0,E239/C239)</f>
        <v>6.2862748303768493E-2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453530</v>
      </c>
      <c r="D243" s="448">
        <v>429185</v>
      </c>
      <c r="E243" s="441">
        <f>D243-C243</f>
        <v>-24345</v>
      </c>
      <c r="F243" s="503">
        <f>IF(C243=0,0,E243/C243)</f>
        <v>-5.3678918704385598E-2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51745114</v>
      </c>
      <c r="D244" s="448">
        <v>49401485</v>
      </c>
      <c r="E244" s="441">
        <f>D244-C244</f>
        <v>-2343629</v>
      </c>
      <c r="F244" s="503">
        <f>IF(C244=0,0,E244/C244)</f>
        <v>-4.529179315364925E-2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760089</v>
      </c>
      <c r="D248" s="441">
        <v>941923</v>
      </c>
      <c r="E248" s="441">
        <f>D248-C248</f>
        <v>181834</v>
      </c>
      <c r="F248" s="449">
        <f>IF(C248=0,0,E248/C248)</f>
        <v>0.23922724838801773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2999367</v>
      </c>
      <c r="D249" s="441">
        <v>2293507</v>
      </c>
      <c r="E249" s="441">
        <f>D249-C249</f>
        <v>-705860</v>
      </c>
      <c r="F249" s="449">
        <f>IF(C249=0,0,E249/C249)</f>
        <v>-0.23533632263074175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3759456</v>
      </c>
      <c r="D250" s="441">
        <f>LN_IH4+LN_IH5</f>
        <v>3235430</v>
      </c>
      <c r="E250" s="441">
        <f>D250-C250</f>
        <v>-524026</v>
      </c>
      <c r="F250" s="449">
        <f>IF(C250=0,0,E250/C250)</f>
        <v>-0.13938878390916132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1393212.8437099664</v>
      </c>
      <c r="D251" s="441">
        <f>LN_IH6*LN_III10</f>
        <v>1154833.1966834581</v>
      </c>
      <c r="E251" s="441">
        <f>D251-C251</f>
        <v>-238379.64702650835</v>
      </c>
      <c r="F251" s="449">
        <f>IF(C251=0,0,E251/C251)</f>
        <v>-0.17110066713979655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14160326</v>
      </c>
      <c r="D254" s="441">
        <f>LN_IF23</f>
        <v>15900246</v>
      </c>
      <c r="E254" s="441">
        <f>D254-C254</f>
        <v>1739920</v>
      </c>
      <c r="F254" s="449">
        <f>IF(C254=0,0,E254/C254)</f>
        <v>0.12287287736172176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3269206</v>
      </c>
      <c r="D255" s="441">
        <f>LN_IF24</f>
        <v>3853076</v>
      </c>
      <c r="E255" s="441">
        <f>D255-C255</f>
        <v>583870</v>
      </c>
      <c r="F255" s="449">
        <f>IF(C255=0,0,E255/C255)</f>
        <v>0.17859688254579245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5247660.3142369995</v>
      </c>
      <c r="D256" s="441">
        <f>LN_IH8*LN_III10</f>
        <v>5675329.6829890832</v>
      </c>
      <c r="E256" s="441">
        <f>D256-C256</f>
        <v>427669.36875208374</v>
      </c>
      <c r="F256" s="449">
        <f>IF(C256=0,0,E256/C256)</f>
        <v>8.1497151710031385E-2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1978454.3142369995</v>
      </c>
      <c r="D257" s="441">
        <f>LN_IH10-LN_IH9</f>
        <v>1822253.6829890832</v>
      </c>
      <c r="E257" s="441">
        <f>D257-C257</f>
        <v>-156200.63124791626</v>
      </c>
      <c r="F257" s="449">
        <f>IF(C257=0,0,E257/C257)</f>
        <v>-7.8950840625377688E-2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55607893</v>
      </c>
      <c r="D261" s="448">
        <f>LN_IA1+LN_IB1+LN_IF1+LN_IG1</f>
        <v>61394562</v>
      </c>
      <c r="E261" s="448">
        <f t="shared" ref="E261:E274" si="26">D261-C261</f>
        <v>5786669</v>
      </c>
      <c r="F261" s="503">
        <f t="shared" ref="F261:F274" si="27">IF(C261=0,0,E261/C261)</f>
        <v>0.10406200788798094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23973631</v>
      </c>
      <c r="D262" s="448">
        <f>+LN_IA2+LN_IB2+LN_IF2+LN_IG2</f>
        <v>26741610</v>
      </c>
      <c r="E262" s="448">
        <f t="shared" si="26"/>
        <v>2767979</v>
      </c>
      <c r="F262" s="503">
        <f t="shared" si="27"/>
        <v>0.11545931444427421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0.43111921179966306</v>
      </c>
      <c r="D263" s="453">
        <f>IF(LN_IIA1=0,0,LN_IIA2/LN_IIA1)</f>
        <v>0.43556968449420652</v>
      </c>
      <c r="E263" s="454">
        <f t="shared" si="26"/>
        <v>4.4504726945434614E-3</v>
      </c>
      <c r="F263" s="458">
        <f t="shared" si="27"/>
        <v>1.0323067431779295E-2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2685</v>
      </c>
      <c r="D264" s="456">
        <f>LN_IA4+LN_IB4+LN_IF4+LN_IG3</f>
        <v>2878</v>
      </c>
      <c r="E264" s="456">
        <f t="shared" si="26"/>
        <v>193</v>
      </c>
      <c r="F264" s="503">
        <f t="shared" si="27"/>
        <v>7.188081936685288E-2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1.0768874487895719</v>
      </c>
      <c r="D265" s="525">
        <f>IF(LN_IIA4=0,0,LN_IIA6/LN_IIA4)</f>
        <v>1.0947610145934676</v>
      </c>
      <c r="E265" s="525">
        <f t="shared" si="26"/>
        <v>1.7873565803895763E-2</v>
      </c>
      <c r="F265" s="503">
        <f t="shared" si="27"/>
        <v>1.6597431629448149E-2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2891.4428000000003</v>
      </c>
      <c r="D266" s="463">
        <f>LN_IA6+LN_IB6+LN_IF6+LN_IG5</f>
        <v>3150.7221999999997</v>
      </c>
      <c r="E266" s="463">
        <f t="shared" si="26"/>
        <v>259.27939999999944</v>
      </c>
      <c r="F266" s="503">
        <f t="shared" si="27"/>
        <v>8.9671287981211115E-2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82823877</v>
      </c>
      <c r="D267" s="448">
        <f>LN_IA11+LN_IB13+LN_IF14+LN_IG9</f>
        <v>86046480</v>
      </c>
      <c r="E267" s="448">
        <f t="shared" si="26"/>
        <v>3222603</v>
      </c>
      <c r="F267" s="503">
        <f t="shared" si="27"/>
        <v>3.8909105885009461E-2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1.4894266358914192</v>
      </c>
      <c r="D268" s="453">
        <f>IF(LN_IIA1=0,0,LN_IIA7/LN_IIA1)</f>
        <v>1.4015325982780038</v>
      </c>
      <c r="E268" s="454">
        <f t="shared" si="26"/>
        <v>-8.789403761341541E-2</v>
      </c>
      <c r="F268" s="458">
        <f t="shared" si="27"/>
        <v>-5.9011995284219541E-2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27327651</v>
      </c>
      <c r="D269" s="448">
        <f>LN_IA12+LN_IB14+LN_IF15+LN_IG10</f>
        <v>25885051</v>
      </c>
      <c r="E269" s="448">
        <f t="shared" si="26"/>
        <v>-1442600</v>
      </c>
      <c r="F269" s="503">
        <f t="shared" si="27"/>
        <v>-5.2789023103376138E-2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0.32994894696851729</v>
      </c>
      <c r="D270" s="453">
        <f>IF(LN_IIA7=0,0,LN_IIA9/LN_IIA7)</f>
        <v>0.30082637895239878</v>
      </c>
      <c r="E270" s="454">
        <f t="shared" si="26"/>
        <v>-2.9122568016118511E-2</v>
      </c>
      <c r="F270" s="458">
        <f t="shared" si="27"/>
        <v>-8.8263861072110941E-2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138431770</v>
      </c>
      <c r="D271" s="441">
        <f>LN_IIA1+LN_IIA7</f>
        <v>147441042</v>
      </c>
      <c r="E271" s="441">
        <f t="shared" si="26"/>
        <v>9009272</v>
      </c>
      <c r="F271" s="503">
        <f t="shared" si="27"/>
        <v>6.5080956488528602E-2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51301282</v>
      </c>
      <c r="D272" s="441">
        <f>LN_IIA2+LN_IIA9</f>
        <v>52626661</v>
      </c>
      <c r="E272" s="441">
        <f t="shared" si="26"/>
        <v>1325379</v>
      </c>
      <c r="F272" s="503">
        <f t="shared" si="27"/>
        <v>2.5835202324963343E-2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0.37058893345075339</v>
      </c>
      <c r="D273" s="453">
        <f>IF(LN_IIA11=0,0,LN_IIA12/LN_IIA11)</f>
        <v>0.35693359383610435</v>
      </c>
      <c r="E273" s="454">
        <f t="shared" si="26"/>
        <v>-1.3655339614649042E-2</v>
      </c>
      <c r="F273" s="458">
        <f t="shared" si="27"/>
        <v>-3.6847672399434088E-2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11914</v>
      </c>
      <c r="D274" s="508">
        <f>LN_IA8+LN_IB10+LN_IF11+LN_IG6</f>
        <v>12338</v>
      </c>
      <c r="E274" s="528">
        <f t="shared" si="26"/>
        <v>424</v>
      </c>
      <c r="F274" s="458">
        <f t="shared" si="27"/>
        <v>3.5588383414470369E-2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43251509</v>
      </c>
      <c r="D277" s="448">
        <f>LN_IA1+LN_IF1+LN_IG1</f>
        <v>45716805</v>
      </c>
      <c r="E277" s="448">
        <f t="shared" ref="E277:E291" si="28">D277-C277</f>
        <v>2465296</v>
      </c>
      <c r="F277" s="503">
        <f t="shared" ref="F277:F291" si="29">IF(C277=0,0,E277/C277)</f>
        <v>5.6999074876208367E-2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18751471</v>
      </c>
      <c r="D278" s="448">
        <f>LN_IA2+LN_IF2+LN_IG2</f>
        <v>20064057</v>
      </c>
      <c r="E278" s="448">
        <f t="shared" si="28"/>
        <v>1312586</v>
      </c>
      <c r="F278" s="503">
        <f t="shared" si="29"/>
        <v>6.9999095004333253E-2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0.43354489666476148</v>
      </c>
      <c r="D279" s="453">
        <f>IF(D277=0,0,LN_IIB2/D277)</f>
        <v>0.43887706063448662</v>
      </c>
      <c r="E279" s="454">
        <f t="shared" si="28"/>
        <v>5.3321639697251344E-3</v>
      </c>
      <c r="F279" s="458">
        <f t="shared" si="29"/>
        <v>1.2298989126028692E-2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1942</v>
      </c>
      <c r="D280" s="456">
        <f>LN_IA4+LN_IF4+LN_IG3</f>
        <v>2048</v>
      </c>
      <c r="E280" s="456">
        <f t="shared" si="28"/>
        <v>106</v>
      </c>
      <c r="F280" s="503">
        <f t="shared" si="29"/>
        <v>5.458290422245108E-2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1.1110484037075179</v>
      </c>
      <c r="D281" s="525">
        <f>IF(LN_IIB4=0,0,LN_IIB6/LN_IIB4)</f>
        <v>1.1304498046875</v>
      </c>
      <c r="E281" s="525">
        <f t="shared" si="28"/>
        <v>1.9401400979982109E-2</v>
      </c>
      <c r="F281" s="503">
        <f t="shared" si="29"/>
        <v>1.7462246392902881E-2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2157.6559999999999</v>
      </c>
      <c r="D282" s="463">
        <f>LN_IA6+LN_IF6+LN_IG5</f>
        <v>2315.1612</v>
      </c>
      <c r="E282" s="463">
        <f t="shared" si="28"/>
        <v>157.50520000000006</v>
      </c>
      <c r="F282" s="503">
        <f t="shared" si="29"/>
        <v>7.2998290737726526E-2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42665786</v>
      </c>
      <c r="D283" s="448">
        <f>LN_IA11+LN_IF14+LN_IG9</f>
        <v>46480060</v>
      </c>
      <c r="E283" s="448">
        <f t="shared" si="28"/>
        <v>3814274</v>
      </c>
      <c r="F283" s="503">
        <f t="shared" si="29"/>
        <v>8.9398892124007742E-2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0.98645774416795495</v>
      </c>
      <c r="D284" s="453">
        <f>IF(D277=0,0,LN_IIB7/D277)</f>
        <v>1.0166952830583853</v>
      </c>
      <c r="E284" s="454">
        <f t="shared" si="28"/>
        <v>3.0237538890430349E-2</v>
      </c>
      <c r="F284" s="458">
        <f t="shared" si="29"/>
        <v>3.065264484890301E-2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9208014</v>
      </c>
      <c r="D285" s="448">
        <f>LN_IA12+LN_IF15+LN_IG10</f>
        <v>9407056</v>
      </c>
      <c r="E285" s="448">
        <f t="shared" si="28"/>
        <v>199042</v>
      </c>
      <c r="F285" s="503">
        <f t="shared" si="29"/>
        <v>2.1616170435883351E-2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0.21581728272860132</v>
      </c>
      <c r="D286" s="453">
        <f>IF(LN_IIB7=0,0,LN_IIB9/LN_IIB7)</f>
        <v>0.20238906748399205</v>
      </c>
      <c r="E286" s="454">
        <f t="shared" si="28"/>
        <v>-1.3428215244609271E-2</v>
      </c>
      <c r="F286" s="458">
        <f t="shared" si="29"/>
        <v>-6.2220296145122804E-2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85917295</v>
      </c>
      <c r="D287" s="441">
        <f>D277+LN_IIB7</f>
        <v>92196865</v>
      </c>
      <c r="E287" s="441">
        <f t="shared" si="28"/>
        <v>6279570</v>
      </c>
      <c r="F287" s="503">
        <f t="shared" si="29"/>
        <v>7.3088544046923262E-2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27959485</v>
      </c>
      <c r="D288" s="441">
        <f>LN_IIB2+LN_IIB9</f>
        <v>29471113</v>
      </c>
      <c r="E288" s="441">
        <f t="shared" si="28"/>
        <v>1511628</v>
      </c>
      <c r="F288" s="503">
        <f t="shared" si="29"/>
        <v>5.4064944329267867E-2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0.32542324569226722</v>
      </c>
      <c r="D289" s="453">
        <f>IF(LN_IIB11=0,0,LN_IIB12/LN_IIB11)</f>
        <v>0.31965417696144005</v>
      </c>
      <c r="E289" s="454">
        <f t="shared" si="28"/>
        <v>-5.7690687308271649E-3</v>
      </c>
      <c r="F289" s="458">
        <f t="shared" si="29"/>
        <v>-1.7727893772784196E-2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9652</v>
      </c>
      <c r="D290" s="508">
        <f>LN_IA8+LN_IF11+LN_IG6</f>
        <v>9780</v>
      </c>
      <c r="E290" s="528">
        <f t="shared" si="28"/>
        <v>128</v>
      </c>
      <c r="F290" s="458">
        <f t="shared" si="29"/>
        <v>1.326150020721094E-2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57957810</v>
      </c>
      <c r="D291" s="516">
        <f>LN_IIB11-LN_IIB12</f>
        <v>62725752</v>
      </c>
      <c r="E291" s="441">
        <f t="shared" si="28"/>
        <v>4767942</v>
      </c>
      <c r="F291" s="503">
        <f t="shared" si="29"/>
        <v>8.2265737784088119E-2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5.4498069498069501</v>
      </c>
      <c r="D294" s="466">
        <f>IF(LN_IA4=0,0,LN_IA8/LN_IA4)</f>
        <v>5.2608426270136306</v>
      </c>
      <c r="E294" s="466">
        <f t="shared" ref="E294:E300" si="30">D294-C294</f>
        <v>-0.18896432279331954</v>
      </c>
      <c r="F294" s="503">
        <f t="shared" ref="F294:F300" si="31">IF(C294=0,0,E294/C294)</f>
        <v>-3.4673581015564829E-2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3.0444145356662182</v>
      </c>
      <c r="D295" s="466">
        <f>IF(LN_IB4=0,0,(LN_IB10)/(LN_IB4))</f>
        <v>3.0819277108433734</v>
      </c>
      <c r="E295" s="466">
        <f t="shared" si="30"/>
        <v>3.7513175177155134E-2</v>
      </c>
      <c r="F295" s="503">
        <f t="shared" si="31"/>
        <v>1.2321966912743705E-2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3.7397260273972601</v>
      </c>
      <c r="D296" s="466">
        <f>IF(LN_IC4=0,0,LN_IC11/LN_IC4)</f>
        <v>2.5913978494623655</v>
      </c>
      <c r="E296" s="466">
        <f t="shared" si="30"/>
        <v>-1.1483281779348946</v>
      </c>
      <c r="F296" s="503">
        <f t="shared" si="31"/>
        <v>-0.30706211351372642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3.1030927835051547</v>
      </c>
      <c r="D297" s="466">
        <f>IF(LN_ID4=0,0,LN_ID11/LN_ID4)</f>
        <v>2.8341013824884791</v>
      </c>
      <c r="E297" s="466">
        <f t="shared" si="30"/>
        <v>-0.26899140101667562</v>
      </c>
      <c r="F297" s="503">
        <f t="shared" si="31"/>
        <v>-8.6684936540257593E-2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3.0163934426229506</v>
      </c>
      <c r="D298" s="466">
        <f>IF(LN_IE4=0,0,LN_IE11/LN_IE4)</f>
        <v>3.1394230769230771</v>
      </c>
      <c r="E298" s="466">
        <f t="shared" si="30"/>
        <v>0.12302963430012648</v>
      </c>
      <c r="F298" s="503">
        <f t="shared" si="31"/>
        <v>4.0786998327759325E-2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2.6363636363636362</v>
      </c>
      <c r="D299" s="466">
        <f>IF(LN_IG3=0,0,LN_IG6/LN_IG3)</f>
        <v>2.3333333333333335</v>
      </c>
      <c r="E299" s="466">
        <f t="shared" si="30"/>
        <v>-0.30303030303030276</v>
      </c>
      <c r="F299" s="503">
        <f t="shared" si="31"/>
        <v>-0.11494252873563209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4.4372439478584731</v>
      </c>
      <c r="D300" s="466">
        <f>IF(LN_IIA4=0,0,LN_IIA14/LN_IIA4)</f>
        <v>4.2870048644892282</v>
      </c>
      <c r="E300" s="466">
        <f t="shared" si="30"/>
        <v>-0.15023908336924485</v>
      </c>
      <c r="F300" s="503">
        <f t="shared" si="31"/>
        <v>-3.3858648551823266E-2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138431770</v>
      </c>
      <c r="D304" s="441">
        <f>LN_IIA11</f>
        <v>147441042</v>
      </c>
      <c r="E304" s="441">
        <f t="shared" ref="E304:E316" si="32">D304-C304</f>
        <v>9009272</v>
      </c>
      <c r="F304" s="449">
        <f>IF(C304=0,0,E304/C304)</f>
        <v>6.5080956488528602E-2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57957810</v>
      </c>
      <c r="D305" s="441">
        <f>LN_IIB14</f>
        <v>62725752</v>
      </c>
      <c r="E305" s="441">
        <f t="shared" si="32"/>
        <v>4767942</v>
      </c>
      <c r="F305" s="449">
        <f>IF(C305=0,0,E305/C305)</f>
        <v>8.2265737784088119E-2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3759456</v>
      </c>
      <c r="D306" s="441">
        <f>LN_IH6</f>
        <v>3235430</v>
      </c>
      <c r="E306" s="441">
        <f t="shared" si="32"/>
        <v>-524026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24339115</v>
      </c>
      <c r="D307" s="441">
        <f>LN_IB32-LN_IB33</f>
        <v>27404866</v>
      </c>
      <c r="E307" s="441">
        <f t="shared" si="32"/>
        <v>3065751</v>
      </c>
      <c r="F307" s="449">
        <f t="shared" ref="F307:F316" si="33">IF(C307=0,0,E307/C307)</f>
        <v>0.12595983872051222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1074105</v>
      </c>
      <c r="D308" s="441">
        <v>1448354</v>
      </c>
      <c r="E308" s="441">
        <f t="shared" si="32"/>
        <v>374249</v>
      </c>
      <c r="F308" s="449">
        <f t="shared" si="33"/>
        <v>0.34842869179456387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87130486</v>
      </c>
      <c r="D309" s="441">
        <f>LN_III2+LN_III3+LN_III4+LN_III5</f>
        <v>94814402</v>
      </c>
      <c r="E309" s="441">
        <f t="shared" si="32"/>
        <v>7683916</v>
      </c>
      <c r="F309" s="449">
        <f t="shared" si="33"/>
        <v>8.8188604847217314E-2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51301284</v>
      </c>
      <c r="D310" s="441">
        <f>LN_III1-LN_III6</f>
        <v>52626640</v>
      </c>
      <c r="E310" s="441">
        <f t="shared" si="32"/>
        <v>1325356</v>
      </c>
      <c r="F310" s="449">
        <f t="shared" si="33"/>
        <v>2.5834752985909669E-2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51301284</v>
      </c>
      <c r="D312" s="441">
        <f>LN_III7+LN_III8</f>
        <v>52626640</v>
      </c>
      <c r="E312" s="441">
        <f t="shared" si="32"/>
        <v>1325356</v>
      </c>
      <c r="F312" s="449">
        <f t="shared" si="33"/>
        <v>2.5834752985909669E-2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0.37058894789830399</v>
      </c>
      <c r="D313" s="532">
        <f>IF(LN_III1=0,0,LN_III9/LN_III1)</f>
        <v>0.35693345140629162</v>
      </c>
      <c r="E313" s="532">
        <f t="shared" si="32"/>
        <v>-1.3655496492012364E-2</v>
      </c>
      <c r="F313" s="449">
        <f t="shared" si="33"/>
        <v>-3.6848094281968898E-2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1393212.8437099664</v>
      </c>
      <c r="D314" s="441">
        <f>D313*LN_III5</f>
        <v>1154833.1966834581</v>
      </c>
      <c r="E314" s="441">
        <f t="shared" si="32"/>
        <v>-238379.64702650835</v>
      </c>
      <c r="F314" s="449">
        <f t="shared" si="33"/>
        <v>-0.17110066713979655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1978454.3142369995</v>
      </c>
      <c r="D315" s="441">
        <f>D313*LN_IH8-LN_IH9</f>
        <v>1822253.6829890832</v>
      </c>
      <c r="E315" s="441">
        <f t="shared" si="32"/>
        <v>-156200.63124791626</v>
      </c>
      <c r="F315" s="449">
        <f t="shared" si="33"/>
        <v>-7.8950840625377688E-2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3371667.1579469657</v>
      </c>
      <c r="D318" s="441">
        <f>D314+D315+D316</f>
        <v>2977086.8796725413</v>
      </c>
      <c r="E318" s="441">
        <f>D318-C318</f>
        <v>-394580.27827442437</v>
      </c>
      <c r="F318" s="449">
        <f>IF(C318=0,0,E318/C318)</f>
        <v>-0.11702824145746563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566844.50109511404</v>
      </c>
      <c r="D322" s="441">
        <f>LN_ID22</f>
        <v>507153.32111338555</v>
      </c>
      <c r="E322" s="441">
        <f>LN_IV2-C322</f>
        <v>-59691.179981728492</v>
      </c>
      <c r="F322" s="449">
        <f>IF(C322=0,0,E322/C322)</f>
        <v>-0.10530432925856781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1619219.9149680026</v>
      </c>
      <c r="D323" s="441">
        <f>LN_IE10+LN_IE22</f>
        <v>1380737.033094469</v>
      </c>
      <c r="E323" s="441">
        <f>LN_IV3-C323</f>
        <v>-238482.8818735336</v>
      </c>
      <c r="F323" s="449">
        <f>IF(C323=0,0,E323/C323)</f>
        <v>-0.14728257704157885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743621.4873807535</v>
      </c>
      <c r="D324" s="441">
        <f>LN_IC10+LN_IC22</f>
        <v>1273823.7198614692</v>
      </c>
      <c r="E324" s="441">
        <f>LN_IV1-C324</f>
        <v>530202.23248071573</v>
      </c>
      <c r="F324" s="449">
        <f>IF(C324=0,0,E324/C324)</f>
        <v>0.71300015058499566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2929685.9034438701</v>
      </c>
      <c r="D325" s="516">
        <f>LN_IV1+LN_IV2+LN_IV3</f>
        <v>3161714.0740693239</v>
      </c>
      <c r="E325" s="441">
        <f>LN_IV4-C325</f>
        <v>232028.17062545381</v>
      </c>
      <c r="F325" s="449">
        <f>IF(C325=0,0,E325/C325)</f>
        <v>7.9198992066932081E-2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1654961</v>
      </c>
      <c r="D329" s="518">
        <v>2174989</v>
      </c>
      <c r="E329" s="518">
        <f t="shared" ref="E329:E335" si="34">D329-C329</f>
        <v>520028</v>
      </c>
      <c r="F329" s="542">
        <f t="shared" ref="F329:F335" si="35">IF(C329=0,0,E329/C329)</f>
        <v>0.31422371886709111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4774811</v>
      </c>
      <c r="D330" s="516">
        <v>1120243</v>
      </c>
      <c r="E330" s="518">
        <f t="shared" si="34"/>
        <v>-3654568</v>
      </c>
      <c r="F330" s="543">
        <f t="shared" si="35"/>
        <v>-0.76538484978777166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56076094</v>
      </c>
      <c r="D331" s="516">
        <v>53746903</v>
      </c>
      <c r="E331" s="518">
        <f t="shared" si="34"/>
        <v>-2329191</v>
      </c>
      <c r="F331" s="542">
        <f t="shared" si="35"/>
        <v>-4.153625607375578E-2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138431770</v>
      </c>
      <c r="D333" s="516">
        <v>147441041</v>
      </c>
      <c r="E333" s="518">
        <f t="shared" si="34"/>
        <v>9009271</v>
      </c>
      <c r="F333" s="542">
        <f t="shared" si="35"/>
        <v>6.5080949264753316E-2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3759456</v>
      </c>
      <c r="D335" s="516">
        <v>3235430</v>
      </c>
      <c r="E335" s="516">
        <f t="shared" si="34"/>
        <v>-524026</v>
      </c>
      <c r="F335" s="542">
        <f t="shared" si="35"/>
        <v>-0.13938878390916132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12356384</v>
      </c>
      <c r="D14" s="589">
        <v>15677757</v>
      </c>
      <c r="E14" s="590">
        <f t="shared" ref="E14:E22" si="0">D14-C14</f>
        <v>3321373</v>
      </c>
    </row>
    <row r="15" spans="1:5" s="421" customFormat="1" x14ac:dyDescent="0.2">
      <c r="A15" s="588">
        <v>2</v>
      </c>
      <c r="B15" s="587" t="s">
        <v>635</v>
      </c>
      <c r="C15" s="589">
        <v>37544207</v>
      </c>
      <c r="D15" s="591">
        <v>39105825</v>
      </c>
      <c r="E15" s="590">
        <f t="shared" si="0"/>
        <v>1561618</v>
      </c>
    </row>
    <row r="16" spans="1:5" s="421" customFormat="1" x14ac:dyDescent="0.2">
      <c r="A16" s="588">
        <v>3</v>
      </c>
      <c r="B16" s="587" t="s">
        <v>777</v>
      </c>
      <c r="C16" s="589">
        <v>5543988</v>
      </c>
      <c r="D16" s="591">
        <v>6525956</v>
      </c>
      <c r="E16" s="590">
        <f t="shared" si="0"/>
        <v>981968</v>
      </c>
    </row>
    <row r="17" spans="1:5" s="421" customFormat="1" x14ac:dyDescent="0.2">
      <c r="A17" s="588">
        <v>4</v>
      </c>
      <c r="B17" s="587" t="s">
        <v>115</v>
      </c>
      <c r="C17" s="589">
        <v>2952316</v>
      </c>
      <c r="D17" s="591">
        <v>3175671</v>
      </c>
      <c r="E17" s="590">
        <f t="shared" si="0"/>
        <v>223355</v>
      </c>
    </row>
    <row r="18" spans="1:5" s="421" customFormat="1" x14ac:dyDescent="0.2">
      <c r="A18" s="588">
        <v>5</v>
      </c>
      <c r="B18" s="587" t="s">
        <v>743</v>
      </c>
      <c r="C18" s="589">
        <v>2591672</v>
      </c>
      <c r="D18" s="591">
        <v>3350285</v>
      </c>
      <c r="E18" s="590">
        <f t="shared" si="0"/>
        <v>758613</v>
      </c>
    </row>
    <row r="19" spans="1:5" s="421" customFormat="1" x14ac:dyDescent="0.2">
      <c r="A19" s="588">
        <v>6</v>
      </c>
      <c r="B19" s="587" t="s">
        <v>424</v>
      </c>
      <c r="C19" s="589">
        <v>163314</v>
      </c>
      <c r="D19" s="591">
        <v>85024</v>
      </c>
      <c r="E19" s="590">
        <f t="shared" si="0"/>
        <v>-78290</v>
      </c>
    </row>
    <row r="20" spans="1:5" s="421" customFormat="1" x14ac:dyDescent="0.2">
      <c r="A20" s="588">
        <v>7</v>
      </c>
      <c r="B20" s="587" t="s">
        <v>758</v>
      </c>
      <c r="C20" s="589">
        <v>1345419</v>
      </c>
      <c r="D20" s="591">
        <v>1089118</v>
      </c>
      <c r="E20" s="590">
        <f t="shared" si="0"/>
        <v>-256301</v>
      </c>
    </row>
    <row r="21" spans="1:5" s="421" customFormat="1" x14ac:dyDescent="0.2">
      <c r="A21" s="588"/>
      <c r="B21" s="592" t="s">
        <v>778</v>
      </c>
      <c r="C21" s="593">
        <f>SUM(C15+C16+C19)</f>
        <v>43251509</v>
      </c>
      <c r="D21" s="593">
        <f>SUM(D15+D16+D19)</f>
        <v>45716805</v>
      </c>
      <c r="E21" s="593">
        <f t="shared" si="0"/>
        <v>2465296</v>
      </c>
    </row>
    <row r="22" spans="1:5" s="421" customFormat="1" x14ac:dyDescent="0.2">
      <c r="A22" s="588"/>
      <c r="B22" s="592" t="s">
        <v>465</v>
      </c>
      <c r="C22" s="593">
        <f>SUM(C14+C21)</f>
        <v>55607893</v>
      </c>
      <c r="D22" s="593">
        <f>SUM(D14+D21)</f>
        <v>61394562</v>
      </c>
      <c r="E22" s="593">
        <f t="shared" si="0"/>
        <v>5786669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40158091</v>
      </c>
      <c r="D25" s="589">
        <v>39566420</v>
      </c>
      <c r="E25" s="590">
        <f t="shared" ref="E25:E33" si="1">D25-C25</f>
        <v>-591671</v>
      </c>
    </row>
    <row r="26" spans="1:5" s="421" customFormat="1" x14ac:dyDescent="0.2">
      <c r="A26" s="588">
        <v>2</v>
      </c>
      <c r="B26" s="587" t="s">
        <v>635</v>
      </c>
      <c r="C26" s="589">
        <v>33849225</v>
      </c>
      <c r="D26" s="591">
        <v>36915275</v>
      </c>
      <c r="E26" s="590">
        <f t="shared" si="1"/>
        <v>3066050</v>
      </c>
    </row>
    <row r="27" spans="1:5" s="421" customFormat="1" x14ac:dyDescent="0.2">
      <c r="A27" s="588">
        <v>3</v>
      </c>
      <c r="B27" s="587" t="s">
        <v>777</v>
      </c>
      <c r="C27" s="589">
        <v>8616338</v>
      </c>
      <c r="D27" s="591">
        <v>9374290</v>
      </c>
      <c r="E27" s="590">
        <f t="shared" si="1"/>
        <v>757952</v>
      </c>
    </row>
    <row r="28" spans="1:5" s="421" customFormat="1" x14ac:dyDescent="0.2">
      <c r="A28" s="588">
        <v>4</v>
      </c>
      <c r="B28" s="587" t="s">
        <v>115</v>
      </c>
      <c r="C28" s="589">
        <v>5112045</v>
      </c>
      <c r="D28" s="591">
        <v>5267908</v>
      </c>
      <c r="E28" s="590">
        <f t="shared" si="1"/>
        <v>155863</v>
      </c>
    </row>
    <row r="29" spans="1:5" s="421" customFormat="1" x14ac:dyDescent="0.2">
      <c r="A29" s="588">
        <v>5</v>
      </c>
      <c r="B29" s="587" t="s">
        <v>743</v>
      </c>
      <c r="C29" s="589">
        <v>3504293</v>
      </c>
      <c r="D29" s="591">
        <v>4106382</v>
      </c>
      <c r="E29" s="590">
        <f t="shared" si="1"/>
        <v>602089</v>
      </c>
    </row>
    <row r="30" spans="1:5" s="421" customFormat="1" x14ac:dyDescent="0.2">
      <c r="A30" s="588">
        <v>6</v>
      </c>
      <c r="B30" s="587" t="s">
        <v>424</v>
      </c>
      <c r="C30" s="589">
        <v>200223</v>
      </c>
      <c r="D30" s="591">
        <v>190495</v>
      </c>
      <c r="E30" s="590">
        <f t="shared" si="1"/>
        <v>-9728</v>
      </c>
    </row>
    <row r="31" spans="1:5" s="421" customFormat="1" x14ac:dyDescent="0.2">
      <c r="A31" s="588">
        <v>7</v>
      </c>
      <c r="B31" s="587" t="s">
        <v>758</v>
      </c>
      <c r="C31" s="590">
        <v>2566254</v>
      </c>
      <c r="D31" s="594">
        <v>2713314</v>
      </c>
      <c r="E31" s="590">
        <f t="shared" si="1"/>
        <v>147060</v>
      </c>
    </row>
    <row r="32" spans="1:5" s="421" customFormat="1" x14ac:dyDescent="0.2">
      <c r="A32" s="588"/>
      <c r="B32" s="592" t="s">
        <v>780</v>
      </c>
      <c r="C32" s="593">
        <f>SUM(C26+C27+C30)</f>
        <v>42665786</v>
      </c>
      <c r="D32" s="593">
        <f>SUM(D26+D27+D30)</f>
        <v>46480060</v>
      </c>
      <c r="E32" s="593">
        <f t="shared" si="1"/>
        <v>3814274</v>
      </c>
    </row>
    <row r="33" spans="1:5" s="421" customFormat="1" x14ac:dyDescent="0.2">
      <c r="A33" s="588"/>
      <c r="B33" s="592" t="s">
        <v>467</v>
      </c>
      <c r="C33" s="593">
        <f>SUM(C25+C32)</f>
        <v>82823877</v>
      </c>
      <c r="D33" s="593">
        <f>SUM(D25+D32)</f>
        <v>86046480</v>
      </c>
      <c r="E33" s="593">
        <f t="shared" si="1"/>
        <v>3222603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52514475</v>
      </c>
      <c r="D36" s="590">
        <f t="shared" si="2"/>
        <v>55244177</v>
      </c>
      <c r="E36" s="590">
        <f t="shared" ref="E36:E44" si="3">D36-C36</f>
        <v>2729702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71393432</v>
      </c>
      <c r="D37" s="590">
        <f t="shared" si="2"/>
        <v>76021100</v>
      </c>
      <c r="E37" s="590">
        <f t="shared" si="3"/>
        <v>4627668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14160326</v>
      </c>
      <c r="D38" s="590">
        <f t="shared" si="2"/>
        <v>15900246</v>
      </c>
      <c r="E38" s="590">
        <f t="shared" si="3"/>
        <v>1739920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8064361</v>
      </c>
      <c r="D39" s="590">
        <f t="shared" si="2"/>
        <v>8443579</v>
      </c>
      <c r="E39" s="590">
        <f t="shared" si="3"/>
        <v>379218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6095965</v>
      </c>
      <c r="D40" s="590">
        <f t="shared" si="2"/>
        <v>7456667</v>
      </c>
      <c r="E40" s="590">
        <f t="shared" si="3"/>
        <v>1360702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363537</v>
      </c>
      <c r="D41" s="590">
        <f t="shared" si="2"/>
        <v>275519</v>
      </c>
      <c r="E41" s="590">
        <f t="shared" si="3"/>
        <v>-88018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3911673</v>
      </c>
      <c r="D42" s="590">
        <f t="shared" si="2"/>
        <v>3802432</v>
      </c>
      <c r="E42" s="590">
        <f t="shared" si="3"/>
        <v>-109241</v>
      </c>
    </row>
    <row r="43" spans="1:5" s="421" customFormat="1" x14ac:dyDescent="0.2">
      <c r="A43" s="588"/>
      <c r="B43" s="592" t="s">
        <v>788</v>
      </c>
      <c r="C43" s="593">
        <f>SUM(C37+C38+C41)</f>
        <v>85917295</v>
      </c>
      <c r="D43" s="593">
        <f>SUM(D37+D38+D41)</f>
        <v>92196865</v>
      </c>
      <c r="E43" s="593">
        <f t="shared" si="3"/>
        <v>6279570</v>
      </c>
    </row>
    <row r="44" spans="1:5" s="421" customFormat="1" x14ac:dyDescent="0.2">
      <c r="A44" s="588"/>
      <c r="B44" s="592" t="s">
        <v>725</v>
      </c>
      <c r="C44" s="593">
        <f>SUM(C36+C43)</f>
        <v>138431770</v>
      </c>
      <c r="D44" s="593">
        <f>SUM(D36+D43)</f>
        <v>147441042</v>
      </c>
      <c r="E44" s="593">
        <f t="shared" si="3"/>
        <v>9009272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5222160</v>
      </c>
      <c r="D47" s="589">
        <v>6677553</v>
      </c>
      <c r="E47" s="590">
        <f t="shared" ref="E47:E55" si="4">D47-C47</f>
        <v>1455393</v>
      </c>
    </row>
    <row r="48" spans="1:5" s="421" customFormat="1" x14ac:dyDescent="0.2">
      <c r="A48" s="588">
        <v>2</v>
      </c>
      <c r="B48" s="587" t="s">
        <v>635</v>
      </c>
      <c r="C48" s="589">
        <v>17055293</v>
      </c>
      <c r="D48" s="591">
        <v>17970764</v>
      </c>
      <c r="E48" s="590">
        <f t="shared" si="4"/>
        <v>915471</v>
      </c>
    </row>
    <row r="49" spans="1:5" s="421" customFormat="1" x14ac:dyDescent="0.2">
      <c r="A49" s="588">
        <v>3</v>
      </c>
      <c r="B49" s="587" t="s">
        <v>777</v>
      </c>
      <c r="C49" s="589">
        <v>1535048</v>
      </c>
      <c r="D49" s="591">
        <v>2015769</v>
      </c>
      <c r="E49" s="590">
        <f t="shared" si="4"/>
        <v>480721</v>
      </c>
    </row>
    <row r="50" spans="1:5" s="421" customFormat="1" x14ac:dyDescent="0.2">
      <c r="A50" s="588">
        <v>4</v>
      </c>
      <c r="B50" s="587" t="s">
        <v>115</v>
      </c>
      <c r="C50" s="589">
        <v>791153</v>
      </c>
      <c r="D50" s="591">
        <v>819553</v>
      </c>
      <c r="E50" s="590">
        <f t="shared" si="4"/>
        <v>28400</v>
      </c>
    </row>
    <row r="51" spans="1:5" s="421" customFormat="1" x14ac:dyDescent="0.2">
      <c r="A51" s="588">
        <v>5</v>
      </c>
      <c r="B51" s="587" t="s">
        <v>743</v>
      </c>
      <c r="C51" s="589">
        <v>743895</v>
      </c>
      <c r="D51" s="591">
        <v>1196216</v>
      </c>
      <c r="E51" s="590">
        <f t="shared" si="4"/>
        <v>452321</v>
      </c>
    </row>
    <row r="52" spans="1:5" s="421" customFormat="1" x14ac:dyDescent="0.2">
      <c r="A52" s="588">
        <v>6</v>
      </c>
      <c r="B52" s="587" t="s">
        <v>424</v>
      </c>
      <c r="C52" s="589">
        <v>161130</v>
      </c>
      <c r="D52" s="591">
        <v>77524</v>
      </c>
      <c r="E52" s="590">
        <f t="shared" si="4"/>
        <v>-83606</v>
      </c>
    </row>
    <row r="53" spans="1:5" s="421" customFormat="1" x14ac:dyDescent="0.2">
      <c r="A53" s="588">
        <v>7</v>
      </c>
      <c r="B53" s="587" t="s">
        <v>758</v>
      </c>
      <c r="C53" s="589">
        <v>215382</v>
      </c>
      <c r="D53" s="591">
        <v>224283</v>
      </c>
      <c r="E53" s="590">
        <f t="shared" si="4"/>
        <v>8901</v>
      </c>
    </row>
    <row r="54" spans="1:5" s="421" customFormat="1" x14ac:dyDescent="0.2">
      <c r="A54" s="588"/>
      <c r="B54" s="592" t="s">
        <v>790</v>
      </c>
      <c r="C54" s="593">
        <f>SUM(C48+C49+C52)</f>
        <v>18751471</v>
      </c>
      <c r="D54" s="593">
        <f>SUM(D48+D49+D52)</f>
        <v>20064057</v>
      </c>
      <c r="E54" s="593">
        <f t="shared" si="4"/>
        <v>1312586</v>
      </c>
    </row>
    <row r="55" spans="1:5" s="421" customFormat="1" x14ac:dyDescent="0.2">
      <c r="A55" s="588"/>
      <c r="B55" s="592" t="s">
        <v>466</v>
      </c>
      <c r="C55" s="593">
        <f>SUM(C47+C54)</f>
        <v>23973631</v>
      </c>
      <c r="D55" s="593">
        <f>SUM(D47+D54)</f>
        <v>26741610</v>
      </c>
      <c r="E55" s="593">
        <f t="shared" si="4"/>
        <v>2767979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18119637</v>
      </c>
      <c r="D58" s="589">
        <v>16477995</v>
      </c>
      <c r="E58" s="590">
        <f t="shared" ref="E58:E66" si="5">D58-C58</f>
        <v>-1641642</v>
      </c>
    </row>
    <row r="59" spans="1:5" s="421" customFormat="1" x14ac:dyDescent="0.2">
      <c r="A59" s="588">
        <v>2</v>
      </c>
      <c r="B59" s="587" t="s">
        <v>635</v>
      </c>
      <c r="C59" s="589">
        <v>7418245</v>
      </c>
      <c r="D59" s="591">
        <v>7527778</v>
      </c>
      <c r="E59" s="590">
        <f t="shared" si="5"/>
        <v>109533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1734158</v>
      </c>
      <c r="D60" s="591">
        <f>D61+D62</f>
        <v>1837307</v>
      </c>
      <c r="E60" s="590">
        <f t="shared" si="5"/>
        <v>103149</v>
      </c>
    </row>
    <row r="61" spans="1:5" s="421" customFormat="1" x14ac:dyDescent="0.2">
      <c r="A61" s="588">
        <v>4</v>
      </c>
      <c r="B61" s="587" t="s">
        <v>115</v>
      </c>
      <c r="C61" s="589">
        <v>1211754</v>
      </c>
      <c r="D61" s="591">
        <v>1271376</v>
      </c>
      <c r="E61" s="590">
        <f t="shared" si="5"/>
        <v>59622</v>
      </c>
    </row>
    <row r="62" spans="1:5" s="421" customFormat="1" x14ac:dyDescent="0.2">
      <c r="A62" s="588">
        <v>5</v>
      </c>
      <c r="B62" s="587" t="s">
        <v>743</v>
      </c>
      <c r="C62" s="589">
        <v>522404</v>
      </c>
      <c r="D62" s="591">
        <v>565931</v>
      </c>
      <c r="E62" s="590">
        <f t="shared" si="5"/>
        <v>43527</v>
      </c>
    </row>
    <row r="63" spans="1:5" s="421" customFormat="1" x14ac:dyDescent="0.2">
      <c r="A63" s="588">
        <v>6</v>
      </c>
      <c r="B63" s="587" t="s">
        <v>424</v>
      </c>
      <c r="C63" s="589">
        <v>55611</v>
      </c>
      <c r="D63" s="591">
        <v>41971</v>
      </c>
      <c r="E63" s="590">
        <f t="shared" si="5"/>
        <v>-13640</v>
      </c>
    </row>
    <row r="64" spans="1:5" s="421" customFormat="1" x14ac:dyDescent="0.2">
      <c r="A64" s="588">
        <v>7</v>
      </c>
      <c r="B64" s="587" t="s">
        <v>758</v>
      </c>
      <c r="C64" s="589">
        <v>464737</v>
      </c>
      <c r="D64" s="591">
        <v>426841</v>
      </c>
      <c r="E64" s="590">
        <f t="shared" si="5"/>
        <v>-37896</v>
      </c>
    </row>
    <row r="65" spans="1:5" s="421" customFormat="1" x14ac:dyDescent="0.2">
      <c r="A65" s="588"/>
      <c r="B65" s="592" t="s">
        <v>792</v>
      </c>
      <c r="C65" s="593">
        <f>SUM(C59+C60+C63)</f>
        <v>9208014</v>
      </c>
      <c r="D65" s="593">
        <f>SUM(D59+D60+D63)</f>
        <v>9407056</v>
      </c>
      <c r="E65" s="593">
        <f t="shared" si="5"/>
        <v>199042</v>
      </c>
    </row>
    <row r="66" spans="1:5" s="421" customFormat="1" x14ac:dyDescent="0.2">
      <c r="A66" s="588"/>
      <c r="B66" s="592" t="s">
        <v>468</v>
      </c>
      <c r="C66" s="593">
        <f>SUM(C58+C65)</f>
        <v>27327651</v>
      </c>
      <c r="D66" s="593">
        <f>SUM(D58+D65)</f>
        <v>25885051</v>
      </c>
      <c r="E66" s="593">
        <f t="shared" si="5"/>
        <v>-1442600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23341797</v>
      </c>
      <c r="D69" s="590">
        <f t="shared" si="6"/>
        <v>23155548</v>
      </c>
      <c r="E69" s="590">
        <f t="shared" ref="E69:E77" si="7">D69-C69</f>
        <v>-186249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24473538</v>
      </c>
      <c r="D70" s="590">
        <f t="shared" si="6"/>
        <v>25498542</v>
      </c>
      <c r="E70" s="590">
        <f t="shared" si="7"/>
        <v>1025004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3269206</v>
      </c>
      <c r="D71" s="590">
        <f t="shared" si="6"/>
        <v>3853076</v>
      </c>
      <c r="E71" s="590">
        <f t="shared" si="7"/>
        <v>583870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2002907</v>
      </c>
      <c r="D72" s="590">
        <f t="shared" si="6"/>
        <v>2090929</v>
      </c>
      <c r="E72" s="590">
        <f t="shared" si="7"/>
        <v>88022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1266299</v>
      </c>
      <c r="D73" s="590">
        <f t="shared" si="6"/>
        <v>1762147</v>
      </c>
      <c r="E73" s="590">
        <f t="shared" si="7"/>
        <v>495848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216741</v>
      </c>
      <c r="D74" s="590">
        <f t="shared" si="6"/>
        <v>119495</v>
      </c>
      <c r="E74" s="590">
        <f t="shared" si="7"/>
        <v>-97246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680119</v>
      </c>
      <c r="D75" s="590">
        <f t="shared" si="6"/>
        <v>651124</v>
      </c>
      <c r="E75" s="590">
        <f t="shared" si="7"/>
        <v>-28995</v>
      </c>
    </row>
    <row r="76" spans="1:5" s="421" customFormat="1" x14ac:dyDescent="0.2">
      <c r="A76" s="588"/>
      <c r="B76" s="592" t="s">
        <v>793</v>
      </c>
      <c r="C76" s="593">
        <f>SUM(C70+C71+C74)</f>
        <v>27959485</v>
      </c>
      <c r="D76" s="593">
        <f>SUM(D70+D71+D74)</f>
        <v>29471113</v>
      </c>
      <c r="E76" s="593">
        <f t="shared" si="7"/>
        <v>1511628</v>
      </c>
    </row>
    <row r="77" spans="1:5" s="421" customFormat="1" x14ac:dyDescent="0.2">
      <c r="A77" s="588"/>
      <c r="B77" s="592" t="s">
        <v>726</v>
      </c>
      <c r="C77" s="593">
        <f>SUM(C69+C76)</f>
        <v>51301282</v>
      </c>
      <c r="D77" s="593">
        <f>SUM(D69+D76)</f>
        <v>52626661</v>
      </c>
      <c r="E77" s="593">
        <f t="shared" si="7"/>
        <v>1325379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8.9259741459637484E-2</v>
      </c>
      <c r="D83" s="599">
        <f t="shared" si="8"/>
        <v>0.10633238064066314</v>
      </c>
      <c r="E83" s="599">
        <f t="shared" ref="E83:E91" si="9">D83-C83</f>
        <v>1.7072639181025653E-2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0.27121091495109828</v>
      </c>
      <c r="D84" s="599">
        <f t="shared" si="8"/>
        <v>0.26523025386649124</v>
      </c>
      <c r="E84" s="599">
        <f t="shared" si="9"/>
        <v>-5.9806610846070418E-3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4.0048523543403367E-2</v>
      </c>
      <c r="D85" s="599">
        <f t="shared" si="8"/>
        <v>4.4261461472850962E-2</v>
      </c>
      <c r="E85" s="599">
        <f t="shared" si="9"/>
        <v>4.2129379294475952E-3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2.1326867380226374E-2</v>
      </c>
      <c r="D86" s="599">
        <f t="shared" si="8"/>
        <v>2.1538582181208403E-2</v>
      </c>
      <c r="E86" s="599">
        <f t="shared" si="9"/>
        <v>2.1171480098202897E-4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1.8721656163176992E-2</v>
      </c>
      <c r="D87" s="599">
        <f t="shared" si="8"/>
        <v>2.2722879291642555E-2</v>
      </c>
      <c r="E87" s="599">
        <f t="shared" si="9"/>
        <v>4.0012231284655628E-3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1.1797436383281091E-3</v>
      </c>
      <c r="D88" s="599">
        <f t="shared" si="8"/>
        <v>5.7666439986228527E-4</v>
      </c>
      <c r="E88" s="599">
        <f t="shared" si="9"/>
        <v>-6.0307923846582387E-4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9.7190045319799061E-3</v>
      </c>
      <c r="D89" s="599">
        <f t="shared" si="8"/>
        <v>7.3868034654828336E-3</v>
      </c>
      <c r="E89" s="599">
        <f t="shared" si="9"/>
        <v>-2.3322010664970725E-3</v>
      </c>
    </row>
    <row r="90" spans="1:5" s="421" customFormat="1" x14ac:dyDescent="0.2">
      <c r="A90" s="588"/>
      <c r="B90" s="592" t="s">
        <v>796</v>
      </c>
      <c r="C90" s="600">
        <f>SUM(C84+C85+C88)</f>
        <v>0.31243918213282978</v>
      </c>
      <c r="D90" s="600">
        <f>SUM(D84+D85+D88)</f>
        <v>0.31006837973920448</v>
      </c>
      <c r="E90" s="601">
        <f t="shared" si="9"/>
        <v>-2.3708023936253042E-3</v>
      </c>
    </row>
    <row r="91" spans="1:5" s="421" customFormat="1" x14ac:dyDescent="0.2">
      <c r="A91" s="588"/>
      <c r="B91" s="592" t="s">
        <v>797</v>
      </c>
      <c r="C91" s="600">
        <f>SUM(C83+C90)</f>
        <v>0.40169892359246728</v>
      </c>
      <c r="D91" s="600">
        <f>SUM(D83+D90)</f>
        <v>0.41640076037986762</v>
      </c>
      <c r="E91" s="601">
        <f t="shared" si="9"/>
        <v>1.4701836787400335E-2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0.29009302561110067</v>
      </c>
      <c r="D95" s="599">
        <f t="shared" si="10"/>
        <v>0.26835418051372695</v>
      </c>
      <c r="E95" s="599">
        <f t="shared" ref="E95:E103" si="11">D95-C95</f>
        <v>-2.1738845097373727E-2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0.24451919526854277</v>
      </c>
      <c r="D96" s="599">
        <f t="shared" si="10"/>
        <v>0.25037312880629264</v>
      </c>
      <c r="E96" s="599">
        <f t="shared" si="11"/>
        <v>5.853933537749878E-3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6.2242489567243126E-2</v>
      </c>
      <c r="D97" s="599">
        <f t="shared" si="10"/>
        <v>6.3579922339398548E-2</v>
      </c>
      <c r="E97" s="599">
        <f t="shared" si="11"/>
        <v>1.3374327721554224E-3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3.6928264371682888E-2</v>
      </c>
      <c r="D98" s="599">
        <f t="shared" si="10"/>
        <v>3.5728911899578136E-2</v>
      </c>
      <c r="E98" s="599">
        <f t="shared" si="11"/>
        <v>-1.1993524721047519E-3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2.5314225195560237E-2</v>
      </c>
      <c r="D99" s="599">
        <f t="shared" si="10"/>
        <v>2.7851010439820412E-2</v>
      </c>
      <c r="E99" s="599">
        <f t="shared" si="11"/>
        <v>2.5367852442601743E-3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1.4463659606461724E-3</v>
      </c>
      <c r="D100" s="599">
        <f t="shared" si="10"/>
        <v>1.2920079607142223E-3</v>
      </c>
      <c r="E100" s="599">
        <f t="shared" si="11"/>
        <v>-1.5435799993195011E-4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1.8538042242759737E-2</v>
      </c>
      <c r="D101" s="599">
        <f t="shared" si="10"/>
        <v>1.8402704994447884E-2</v>
      </c>
      <c r="E101" s="599">
        <f t="shared" si="11"/>
        <v>-1.3533724831185298E-4</v>
      </c>
    </row>
    <row r="102" spans="1:5" s="421" customFormat="1" x14ac:dyDescent="0.2">
      <c r="A102" s="588"/>
      <c r="B102" s="592" t="s">
        <v>799</v>
      </c>
      <c r="C102" s="600">
        <f>SUM(C96+C97+C100)</f>
        <v>0.3082080507964321</v>
      </c>
      <c r="D102" s="600">
        <f>SUM(D96+D97+D100)</f>
        <v>0.31524505910640538</v>
      </c>
      <c r="E102" s="601">
        <f t="shared" si="11"/>
        <v>7.0370083099732805E-3</v>
      </c>
    </row>
    <row r="103" spans="1:5" s="421" customFormat="1" x14ac:dyDescent="0.2">
      <c r="A103" s="588"/>
      <c r="B103" s="592" t="s">
        <v>800</v>
      </c>
      <c r="C103" s="600">
        <f>SUM(C95+C102)</f>
        <v>0.59830107640753272</v>
      </c>
      <c r="D103" s="600">
        <f>SUM(D95+D102)</f>
        <v>0.58359923962013238</v>
      </c>
      <c r="E103" s="601">
        <f t="shared" si="11"/>
        <v>-1.4701836787400335E-2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0.10179394737152962</v>
      </c>
      <c r="D109" s="599">
        <f t="shared" si="12"/>
        <v>0.12688536329523167</v>
      </c>
      <c r="E109" s="599">
        <f t="shared" ref="E109:E117" si="13">D109-C109</f>
        <v>2.5091415923702051E-2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0.33245354375354597</v>
      </c>
      <c r="D110" s="599">
        <f t="shared" si="12"/>
        <v>0.34147642389852551</v>
      </c>
      <c r="E110" s="599">
        <f t="shared" si="13"/>
        <v>9.0228801449795393E-3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2.9922215199222505E-2</v>
      </c>
      <c r="D111" s="599">
        <f t="shared" si="12"/>
        <v>3.830319008838505E-2</v>
      </c>
      <c r="E111" s="599">
        <f t="shared" si="13"/>
        <v>8.380974889162545E-3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1.5421700377780033E-2</v>
      </c>
      <c r="D112" s="599">
        <f t="shared" si="12"/>
        <v>1.5572962153156553E-2</v>
      </c>
      <c r="E112" s="599">
        <f t="shared" si="13"/>
        <v>1.5126177537651969E-4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1.4500514821442474E-2</v>
      </c>
      <c r="D113" s="599">
        <f t="shared" si="12"/>
        <v>2.2730227935228494E-2</v>
      </c>
      <c r="E113" s="599">
        <f t="shared" si="13"/>
        <v>8.2297131137860201E-3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3.1408571816977206E-3</v>
      </c>
      <c r="D114" s="599">
        <f t="shared" si="12"/>
        <v>1.4730936473435015E-3</v>
      </c>
      <c r="E114" s="599">
        <f t="shared" si="13"/>
        <v>-1.6677635343542191E-3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4.1983746137182303E-3</v>
      </c>
      <c r="D115" s="599">
        <f t="shared" si="12"/>
        <v>4.2617752245387563E-3</v>
      </c>
      <c r="E115" s="599">
        <f t="shared" si="13"/>
        <v>6.3400610820526018E-5</v>
      </c>
    </row>
    <row r="116" spans="1:5" s="421" customFormat="1" x14ac:dyDescent="0.2">
      <c r="A116" s="588"/>
      <c r="B116" s="592" t="s">
        <v>796</v>
      </c>
      <c r="C116" s="600">
        <f>SUM(C110+C111+C114)</f>
        <v>0.36551661613446618</v>
      </c>
      <c r="D116" s="600">
        <f>SUM(D110+D111+D114)</f>
        <v>0.38125270763425406</v>
      </c>
      <c r="E116" s="601">
        <f t="shared" si="13"/>
        <v>1.5736091499787885E-2</v>
      </c>
    </row>
    <row r="117" spans="1:5" s="421" customFormat="1" x14ac:dyDescent="0.2">
      <c r="A117" s="588"/>
      <c r="B117" s="592" t="s">
        <v>797</v>
      </c>
      <c r="C117" s="600">
        <f>SUM(C109+C116)</f>
        <v>0.46731056350599581</v>
      </c>
      <c r="D117" s="600">
        <f>SUM(D109+D116)</f>
        <v>0.50813807092948571</v>
      </c>
      <c r="E117" s="601">
        <f t="shared" si="13"/>
        <v>4.0827507423489895E-2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0.35320047167632185</v>
      </c>
      <c r="D121" s="599">
        <f t="shared" si="14"/>
        <v>0.31311116242012771</v>
      </c>
      <c r="E121" s="599">
        <f t="shared" ref="E121:E129" si="15">D121-C121</f>
        <v>-4.0089309256194139E-2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0.14460155206257808</v>
      </c>
      <c r="D122" s="599">
        <f t="shared" si="14"/>
        <v>0.14304114790790165</v>
      </c>
      <c r="E122" s="599">
        <f t="shared" si="15"/>
        <v>-1.5604041546764258E-3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3.3803404757019526E-2</v>
      </c>
      <c r="D123" s="599">
        <f t="shared" si="14"/>
        <v>3.4912095221089554E-2</v>
      </c>
      <c r="E123" s="599">
        <f t="shared" si="15"/>
        <v>1.1086904640700279E-3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2.3620345394097558E-2</v>
      </c>
      <c r="D124" s="599">
        <f t="shared" si="14"/>
        <v>2.4158401385183832E-2</v>
      </c>
      <c r="E124" s="599">
        <f t="shared" si="15"/>
        <v>5.3805599108627464E-4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1.0183059362921963E-2</v>
      </c>
      <c r="D125" s="599">
        <f t="shared" si="14"/>
        <v>1.0753693835905721E-2</v>
      </c>
      <c r="E125" s="599">
        <f t="shared" si="15"/>
        <v>5.7063447298375848E-4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1.0840079980847263E-3</v>
      </c>
      <c r="D126" s="599">
        <f t="shared" si="14"/>
        <v>7.9752352139536272E-4</v>
      </c>
      <c r="E126" s="599">
        <f t="shared" si="15"/>
        <v>-2.8648447668936359E-4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9.0589743936613509E-3</v>
      </c>
      <c r="D127" s="599">
        <f t="shared" si="14"/>
        <v>8.1107368753643716E-3</v>
      </c>
      <c r="E127" s="599">
        <f t="shared" si="15"/>
        <v>-9.4823751829697933E-4</v>
      </c>
    </row>
    <row r="128" spans="1:5" s="421" customFormat="1" x14ac:dyDescent="0.2">
      <c r="A128" s="588"/>
      <c r="B128" s="592" t="s">
        <v>799</v>
      </c>
      <c r="C128" s="600">
        <f>SUM(C122+C123+C126)</f>
        <v>0.17948896481768234</v>
      </c>
      <c r="D128" s="600">
        <f>SUM(D122+D123+D126)</f>
        <v>0.17875076665038656</v>
      </c>
      <c r="E128" s="601">
        <f t="shared" si="15"/>
        <v>-7.381981672957838E-4</v>
      </c>
    </row>
    <row r="129" spans="1:5" s="421" customFormat="1" x14ac:dyDescent="0.2">
      <c r="A129" s="588"/>
      <c r="B129" s="592" t="s">
        <v>800</v>
      </c>
      <c r="C129" s="600">
        <f>SUM(C121+C128)</f>
        <v>0.53268943649400424</v>
      </c>
      <c r="D129" s="600">
        <f>SUM(D121+D128)</f>
        <v>0.49186192907051429</v>
      </c>
      <c r="E129" s="601">
        <f t="shared" si="15"/>
        <v>-4.082750742348995E-2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743</v>
      </c>
      <c r="D137" s="606">
        <v>830</v>
      </c>
      <c r="E137" s="607">
        <f t="shared" ref="E137:E145" si="16">D137-C137</f>
        <v>87</v>
      </c>
    </row>
    <row r="138" spans="1:5" s="421" customFormat="1" x14ac:dyDescent="0.2">
      <c r="A138" s="588">
        <v>2</v>
      </c>
      <c r="B138" s="587" t="s">
        <v>635</v>
      </c>
      <c r="C138" s="606">
        <v>1554</v>
      </c>
      <c r="D138" s="606">
        <v>1614</v>
      </c>
      <c r="E138" s="607">
        <f t="shared" si="16"/>
        <v>60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377</v>
      </c>
      <c r="D139" s="606">
        <f>D140+D141</f>
        <v>425</v>
      </c>
      <c r="E139" s="607">
        <f t="shared" si="16"/>
        <v>48</v>
      </c>
    </row>
    <row r="140" spans="1:5" s="421" customFormat="1" x14ac:dyDescent="0.2">
      <c r="A140" s="588">
        <v>4</v>
      </c>
      <c r="B140" s="587" t="s">
        <v>115</v>
      </c>
      <c r="C140" s="606">
        <v>194</v>
      </c>
      <c r="D140" s="606">
        <v>217</v>
      </c>
      <c r="E140" s="607">
        <f t="shared" si="16"/>
        <v>23</v>
      </c>
    </row>
    <row r="141" spans="1:5" s="421" customFormat="1" x14ac:dyDescent="0.2">
      <c r="A141" s="588">
        <v>5</v>
      </c>
      <c r="B141" s="587" t="s">
        <v>743</v>
      </c>
      <c r="C141" s="606">
        <v>183</v>
      </c>
      <c r="D141" s="606">
        <v>208</v>
      </c>
      <c r="E141" s="607">
        <f t="shared" si="16"/>
        <v>25</v>
      </c>
    </row>
    <row r="142" spans="1:5" s="421" customFormat="1" x14ac:dyDescent="0.2">
      <c r="A142" s="588">
        <v>6</v>
      </c>
      <c r="B142" s="587" t="s">
        <v>424</v>
      </c>
      <c r="C142" s="606">
        <v>11</v>
      </c>
      <c r="D142" s="606">
        <v>9</v>
      </c>
      <c r="E142" s="607">
        <f t="shared" si="16"/>
        <v>-2</v>
      </c>
    </row>
    <row r="143" spans="1:5" s="421" customFormat="1" x14ac:dyDescent="0.2">
      <c r="A143" s="588">
        <v>7</v>
      </c>
      <c r="B143" s="587" t="s">
        <v>758</v>
      </c>
      <c r="C143" s="606">
        <v>73</v>
      </c>
      <c r="D143" s="606">
        <v>93</v>
      </c>
      <c r="E143" s="607">
        <f t="shared" si="16"/>
        <v>20</v>
      </c>
    </row>
    <row r="144" spans="1:5" s="421" customFormat="1" x14ac:dyDescent="0.2">
      <c r="A144" s="588"/>
      <c r="B144" s="592" t="s">
        <v>807</v>
      </c>
      <c r="C144" s="608">
        <f>SUM(C138+C139+C142)</f>
        <v>1942</v>
      </c>
      <c r="D144" s="608">
        <f>SUM(D138+D139+D142)</f>
        <v>2048</v>
      </c>
      <c r="E144" s="609">
        <f t="shared" si="16"/>
        <v>106</v>
      </c>
    </row>
    <row r="145" spans="1:5" s="421" customFormat="1" x14ac:dyDescent="0.2">
      <c r="A145" s="588"/>
      <c r="B145" s="592" t="s">
        <v>138</v>
      </c>
      <c r="C145" s="608">
        <f>SUM(C137+C144)</f>
        <v>2685</v>
      </c>
      <c r="D145" s="608">
        <f>SUM(D137+D144)</f>
        <v>2878</v>
      </c>
      <c r="E145" s="609">
        <f t="shared" si="16"/>
        <v>193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2262</v>
      </c>
      <c r="D149" s="610">
        <v>2558</v>
      </c>
      <c r="E149" s="607">
        <f t="shared" ref="E149:E157" si="17">D149-C149</f>
        <v>296</v>
      </c>
    </row>
    <row r="150" spans="1:5" s="421" customFormat="1" x14ac:dyDescent="0.2">
      <c r="A150" s="588">
        <v>2</v>
      </c>
      <c r="B150" s="587" t="s">
        <v>635</v>
      </c>
      <c r="C150" s="610">
        <v>8469</v>
      </c>
      <c r="D150" s="610">
        <v>8491</v>
      </c>
      <c r="E150" s="607">
        <f t="shared" si="17"/>
        <v>22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1154</v>
      </c>
      <c r="D151" s="610">
        <f>D152+D153</f>
        <v>1268</v>
      </c>
      <c r="E151" s="607">
        <f t="shared" si="17"/>
        <v>114</v>
      </c>
    </row>
    <row r="152" spans="1:5" s="421" customFormat="1" x14ac:dyDescent="0.2">
      <c r="A152" s="588">
        <v>4</v>
      </c>
      <c r="B152" s="587" t="s">
        <v>115</v>
      </c>
      <c r="C152" s="610">
        <v>602</v>
      </c>
      <c r="D152" s="610">
        <v>615</v>
      </c>
      <c r="E152" s="607">
        <f t="shared" si="17"/>
        <v>13</v>
      </c>
    </row>
    <row r="153" spans="1:5" s="421" customFormat="1" x14ac:dyDescent="0.2">
      <c r="A153" s="588">
        <v>5</v>
      </c>
      <c r="B153" s="587" t="s">
        <v>743</v>
      </c>
      <c r="C153" s="611">
        <v>552</v>
      </c>
      <c r="D153" s="610">
        <v>653</v>
      </c>
      <c r="E153" s="607">
        <f t="shared" si="17"/>
        <v>101</v>
      </c>
    </row>
    <row r="154" spans="1:5" s="421" customFormat="1" x14ac:dyDescent="0.2">
      <c r="A154" s="588">
        <v>6</v>
      </c>
      <c r="B154" s="587" t="s">
        <v>424</v>
      </c>
      <c r="C154" s="610">
        <v>29</v>
      </c>
      <c r="D154" s="610">
        <v>21</v>
      </c>
      <c r="E154" s="607">
        <f t="shared" si="17"/>
        <v>-8</v>
      </c>
    </row>
    <row r="155" spans="1:5" s="421" customFormat="1" x14ac:dyDescent="0.2">
      <c r="A155" s="588">
        <v>7</v>
      </c>
      <c r="B155" s="587" t="s">
        <v>758</v>
      </c>
      <c r="C155" s="610">
        <v>273</v>
      </c>
      <c r="D155" s="610">
        <v>241</v>
      </c>
      <c r="E155" s="607">
        <f t="shared" si="17"/>
        <v>-32</v>
      </c>
    </row>
    <row r="156" spans="1:5" s="421" customFormat="1" x14ac:dyDescent="0.2">
      <c r="A156" s="588"/>
      <c r="B156" s="592" t="s">
        <v>808</v>
      </c>
      <c r="C156" s="608">
        <f>SUM(C150+C151+C154)</f>
        <v>9652</v>
      </c>
      <c r="D156" s="608">
        <f>SUM(D150+D151+D154)</f>
        <v>9780</v>
      </c>
      <c r="E156" s="609">
        <f t="shared" si="17"/>
        <v>128</v>
      </c>
    </row>
    <row r="157" spans="1:5" s="421" customFormat="1" x14ac:dyDescent="0.2">
      <c r="A157" s="588"/>
      <c r="B157" s="592" t="s">
        <v>140</v>
      </c>
      <c r="C157" s="608">
        <f>SUM(C149+C156)</f>
        <v>11914</v>
      </c>
      <c r="D157" s="608">
        <f>SUM(D149+D156)</f>
        <v>12338</v>
      </c>
      <c r="E157" s="609">
        <f t="shared" si="17"/>
        <v>424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3.0444145356662182</v>
      </c>
      <c r="D161" s="612">
        <f t="shared" si="18"/>
        <v>3.0819277108433734</v>
      </c>
      <c r="E161" s="613">
        <f t="shared" ref="E161:E169" si="19">D161-C161</f>
        <v>3.7513175177155134E-2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5.4498069498069501</v>
      </c>
      <c r="D162" s="612">
        <f t="shared" si="18"/>
        <v>5.2608426270136306</v>
      </c>
      <c r="E162" s="613">
        <f t="shared" si="19"/>
        <v>-0.18896432279331954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3.0610079575596818</v>
      </c>
      <c r="D163" s="612">
        <f t="shared" si="18"/>
        <v>2.9835294117647058</v>
      </c>
      <c r="E163" s="613">
        <f t="shared" si="19"/>
        <v>-7.7478545794976039E-2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3.1030927835051547</v>
      </c>
      <c r="D164" s="612">
        <f t="shared" si="18"/>
        <v>2.8341013824884791</v>
      </c>
      <c r="E164" s="613">
        <f t="shared" si="19"/>
        <v>-0.26899140101667562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3.0163934426229506</v>
      </c>
      <c r="D165" s="612">
        <f t="shared" si="18"/>
        <v>3.1394230769230771</v>
      </c>
      <c r="E165" s="613">
        <f t="shared" si="19"/>
        <v>0.12302963430012648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2.6363636363636362</v>
      </c>
      <c r="D166" s="612">
        <f t="shared" si="18"/>
        <v>2.3333333333333335</v>
      </c>
      <c r="E166" s="613">
        <f t="shared" si="19"/>
        <v>-0.30303030303030276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3.7397260273972601</v>
      </c>
      <c r="D167" s="612">
        <f t="shared" si="18"/>
        <v>2.5913978494623655</v>
      </c>
      <c r="E167" s="613">
        <f t="shared" si="19"/>
        <v>-1.1483281779348946</v>
      </c>
    </row>
    <row r="168" spans="1:5" s="421" customFormat="1" x14ac:dyDescent="0.2">
      <c r="A168" s="588"/>
      <c r="B168" s="592" t="s">
        <v>810</v>
      </c>
      <c r="C168" s="614">
        <f t="shared" si="18"/>
        <v>4.9701338825952623</v>
      </c>
      <c r="D168" s="614">
        <f t="shared" si="18"/>
        <v>4.775390625</v>
      </c>
      <c r="E168" s="615">
        <f t="shared" si="19"/>
        <v>-0.19474325759526234</v>
      </c>
    </row>
    <row r="169" spans="1:5" s="421" customFormat="1" x14ac:dyDescent="0.2">
      <c r="A169" s="588"/>
      <c r="B169" s="592" t="s">
        <v>744</v>
      </c>
      <c r="C169" s="614">
        <f t="shared" si="18"/>
        <v>4.4372439478584731</v>
      </c>
      <c r="D169" s="614">
        <f t="shared" si="18"/>
        <v>4.2870048644892282</v>
      </c>
      <c r="E169" s="615">
        <f t="shared" si="19"/>
        <v>-0.15023908336924485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0.98759999999999992</v>
      </c>
      <c r="D173" s="617">
        <f t="shared" si="20"/>
        <v>1.0066999999999999</v>
      </c>
      <c r="E173" s="618">
        <f t="shared" ref="E173:E181" si="21">D173-C173</f>
        <v>1.9100000000000006E-2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1.1576</v>
      </c>
      <c r="D174" s="617">
        <f t="shared" si="20"/>
        <v>1.1823999999999999</v>
      </c>
      <c r="E174" s="618">
        <f t="shared" si="21"/>
        <v>2.4799999999999933E-2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0.9289437665782494</v>
      </c>
      <c r="D175" s="617">
        <f t="shared" si="20"/>
        <v>0.93546000000000007</v>
      </c>
      <c r="E175" s="618">
        <f t="shared" si="21"/>
        <v>6.5162334217506723E-3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0.94869999999999999</v>
      </c>
      <c r="D176" s="617">
        <f t="shared" si="20"/>
        <v>0.91049999999999998</v>
      </c>
      <c r="E176" s="618">
        <f t="shared" si="21"/>
        <v>-3.8200000000000012E-2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0.90800000000000014</v>
      </c>
      <c r="D177" s="617">
        <f t="shared" si="20"/>
        <v>0.96150000000000013</v>
      </c>
      <c r="E177" s="618">
        <f t="shared" si="21"/>
        <v>5.3499999999999992E-2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0.77580000000000016</v>
      </c>
      <c r="D178" s="617">
        <f t="shared" si="20"/>
        <v>1.0219</v>
      </c>
      <c r="E178" s="618">
        <f t="shared" si="21"/>
        <v>0.24609999999999987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0.99189999999999989</v>
      </c>
      <c r="D179" s="617">
        <f t="shared" si="20"/>
        <v>0.89090000000000003</v>
      </c>
      <c r="E179" s="618">
        <f t="shared" si="21"/>
        <v>-0.10099999999999987</v>
      </c>
    </row>
    <row r="180" spans="1:5" s="421" customFormat="1" x14ac:dyDescent="0.2">
      <c r="A180" s="588"/>
      <c r="B180" s="592" t="s">
        <v>812</v>
      </c>
      <c r="C180" s="619">
        <f t="shared" si="20"/>
        <v>1.1110484037075179</v>
      </c>
      <c r="D180" s="619">
        <f t="shared" si="20"/>
        <v>1.1304498046875</v>
      </c>
      <c r="E180" s="620">
        <f t="shared" si="21"/>
        <v>1.9401400979982109E-2</v>
      </c>
    </row>
    <row r="181" spans="1:5" s="421" customFormat="1" x14ac:dyDescent="0.2">
      <c r="A181" s="588"/>
      <c r="B181" s="592" t="s">
        <v>723</v>
      </c>
      <c r="C181" s="619">
        <f t="shared" si="20"/>
        <v>1.0768874487895717</v>
      </c>
      <c r="D181" s="619">
        <f t="shared" si="20"/>
        <v>1.0947610145934676</v>
      </c>
      <c r="E181" s="620">
        <f t="shared" si="21"/>
        <v>1.7873565803895985E-2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52514475</v>
      </c>
      <c r="D185" s="589">
        <v>55244177</v>
      </c>
      <c r="E185" s="590">
        <f>D185-C185</f>
        <v>2729702</v>
      </c>
    </row>
    <row r="186" spans="1:5" s="421" customFormat="1" ht="25.5" x14ac:dyDescent="0.2">
      <c r="A186" s="588">
        <v>2</v>
      </c>
      <c r="B186" s="587" t="s">
        <v>815</v>
      </c>
      <c r="C186" s="589">
        <v>28175360</v>
      </c>
      <c r="D186" s="589">
        <v>27839311</v>
      </c>
      <c r="E186" s="590">
        <f>D186-C186</f>
        <v>-336049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24339115</v>
      </c>
      <c r="D188" s="622">
        <f>+D185-D186</f>
        <v>27404866</v>
      </c>
      <c r="E188" s="590">
        <f t="shared" ref="E188:E197" si="22">D188-C188</f>
        <v>3065751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0.46347440396195527</v>
      </c>
      <c r="D189" s="623">
        <f>IF(D185=0,0,+D188/D185)</f>
        <v>0.49606795662826147</v>
      </c>
      <c r="E189" s="599">
        <f t="shared" si="22"/>
        <v>3.2593552666306203E-2</v>
      </c>
    </row>
    <row r="190" spans="1:5" s="421" customFormat="1" x14ac:dyDescent="0.2">
      <c r="A190" s="588">
        <v>5</v>
      </c>
      <c r="B190" s="587" t="s">
        <v>762</v>
      </c>
      <c r="C190" s="589">
        <v>1654961</v>
      </c>
      <c r="D190" s="589">
        <v>2174989</v>
      </c>
      <c r="E190" s="622">
        <f t="shared" si="22"/>
        <v>520028</v>
      </c>
    </row>
    <row r="191" spans="1:5" s="421" customFormat="1" x14ac:dyDescent="0.2">
      <c r="A191" s="588">
        <v>6</v>
      </c>
      <c r="B191" s="587" t="s">
        <v>748</v>
      </c>
      <c r="C191" s="589">
        <v>1074105</v>
      </c>
      <c r="D191" s="589">
        <v>1448354</v>
      </c>
      <c r="E191" s="622">
        <f t="shared" si="22"/>
        <v>374249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760089</v>
      </c>
      <c r="D193" s="589">
        <v>941923</v>
      </c>
      <c r="E193" s="622">
        <f t="shared" si="22"/>
        <v>181834</v>
      </c>
    </row>
    <row r="194" spans="1:5" s="421" customFormat="1" x14ac:dyDescent="0.2">
      <c r="A194" s="588">
        <v>9</v>
      </c>
      <c r="B194" s="587" t="s">
        <v>818</v>
      </c>
      <c r="C194" s="589">
        <v>2999367</v>
      </c>
      <c r="D194" s="589">
        <v>2293507</v>
      </c>
      <c r="E194" s="622">
        <f t="shared" si="22"/>
        <v>-705860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3759456</v>
      </c>
      <c r="D195" s="589">
        <f>+D193+D194</f>
        <v>3235430</v>
      </c>
      <c r="E195" s="625">
        <f t="shared" si="22"/>
        <v>-524026</v>
      </c>
    </row>
    <row r="196" spans="1:5" s="421" customFormat="1" x14ac:dyDescent="0.2">
      <c r="A196" s="588">
        <v>11</v>
      </c>
      <c r="B196" s="587" t="s">
        <v>820</v>
      </c>
      <c r="C196" s="589">
        <v>453530</v>
      </c>
      <c r="D196" s="589">
        <v>429185</v>
      </c>
      <c r="E196" s="622">
        <f t="shared" si="22"/>
        <v>-24345</v>
      </c>
    </row>
    <row r="197" spans="1:5" s="421" customFormat="1" x14ac:dyDescent="0.2">
      <c r="A197" s="588">
        <v>12</v>
      </c>
      <c r="B197" s="587" t="s">
        <v>710</v>
      </c>
      <c r="C197" s="589">
        <v>51745114</v>
      </c>
      <c r="D197" s="589">
        <v>49401485</v>
      </c>
      <c r="E197" s="622">
        <f t="shared" si="22"/>
        <v>-2343629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733.78679999999997</v>
      </c>
      <c r="D203" s="629">
        <v>835.56099999999992</v>
      </c>
      <c r="E203" s="630">
        <f t="shared" ref="E203:E211" si="23">D203-C203</f>
        <v>101.77419999999995</v>
      </c>
    </row>
    <row r="204" spans="1:5" s="421" customFormat="1" x14ac:dyDescent="0.2">
      <c r="A204" s="588">
        <v>2</v>
      </c>
      <c r="B204" s="587" t="s">
        <v>635</v>
      </c>
      <c r="C204" s="629">
        <v>1798.9104</v>
      </c>
      <c r="D204" s="629">
        <v>1908.3935999999999</v>
      </c>
      <c r="E204" s="630">
        <f t="shared" si="23"/>
        <v>109.4831999999999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350.21180000000004</v>
      </c>
      <c r="D205" s="629">
        <f>D206+D207</f>
        <v>397.57050000000004</v>
      </c>
      <c r="E205" s="630">
        <f t="shared" si="23"/>
        <v>47.358699999999999</v>
      </c>
    </row>
    <row r="206" spans="1:5" s="421" customFormat="1" x14ac:dyDescent="0.2">
      <c r="A206" s="588">
        <v>4</v>
      </c>
      <c r="B206" s="587" t="s">
        <v>115</v>
      </c>
      <c r="C206" s="629">
        <v>184.0478</v>
      </c>
      <c r="D206" s="629">
        <v>197.57849999999999</v>
      </c>
      <c r="E206" s="630">
        <f t="shared" si="23"/>
        <v>13.530699999999996</v>
      </c>
    </row>
    <row r="207" spans="1:5" s="421" customFormat="1" x14ac:dyDescent="0.2">
      <c r="A207" s="588">
        <v>5</v>
      </c>
      <c r="B207" s="587" t="s">
        <v>743</v>
      </c>
      <c r="C207" s="629">
        <v>166.16400000000002</v>
      </c>
      <c r="D207" s="629">
        <v>199.99200000000002</v>
      </c>
      <c r="E207" s="630">
        <f t="shared" si="23"/>
        <v>33.828000000000003</v>
      </c>
    </row>
    <row r="208" spans="1:5" s="421" customFormat="1" x14ac:dyDescent="0.2">
      <c r="A208" s="588">
        <v>6</v>
      </c>
      <c r="B208" s="587" t="s">
        <v>424</v>
      </c>
      <c r="C208" s="629">
        <v>8.5338000000000012</v>
      </c>
      <c r="D208" s="629">
        <v>9.1971000000000007</v>
      </c>
      <c r="E208" s="630">
        <f t="shared" si="23"/>
        <v>0.66329999999999956</v>
      </c>
    </row>
    <row r="209" spans="1:5" s="421" customFormat="1" x14ac:dyDescent="0.2">
      <c r="A209" s="588">
        <v>7</v>
      </c>
      <c r="B209" s="587" t="s">
        <v>758</v>
      </c>
      <c r="C209" s="629">
        <v>72.408699999999996</v>
      </c>
      <c r="D209" s="629">
        <v>82.853700000000003</v>
      </c>
      <c r="E209" s="630">
        <f t="shared" si="23"/>
        <v>10.445000000000007</v>
      </c>
    </row>
    <row r="210" spans="1:5" s="421" customFormat="1" x14ac:dyDescent="0.2">
      <c r="A210" s="588"/>
      <c r="B210" s="592" t="s">
        <v>823</v>
      </c>
      <c r="C210" s="631">
        <f>C204+C205+C208</f>
        <v>2157.6559999999999</v>
      </c>
      <c r="D210" s="631">
        <f>D204+D205+D208</f>
        <v>2315.1612</v>
      </c>
      <c r="E210" s="632">
        <f t="shared" si="23"/>
        <v>157.50520000000006</v>
      </c>
    </row>
    <row r="211" spans="1:5" s="421" customFormat="1" x14ac:dyDescent="0.2">
      <c r="A211" s="588"/>
      <c r="B211" s="592" t="s">
        <v>724</v>
      </c>
      <c r="C211" s="631">
        <f>C210+C203</f>
        <v>2891.4427999999998</v>
      </c>
      <c r="D211" s="631">
        <f>D210+D203</f>
        <v>3150.7222000000002</v>
      </c>
      <c r="E211" s="632">
        <f t="shared" si="23"/>
        <v>259.27940000000035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2414.7405594549341</v>
      </c>
      <c r="D215" s="633">
        <f>IF(D14*D137=0,0,D25/D14*D137)</f>
        <v>2094.6955996320139</v>
      </c>
      <c r="E215" s="633">
        <f t="shared" ref="E215:E223" si="24">D215-C215</f>
        <v>-320.04495982292019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1401.0602394665041</v>
      </c>
      <c r="D216" s="633">
        <f>IF(D15*D138=0,0,D26/D15*D138)</f>
        <v>1523.5902541373312</v>
      </c>
      <c r="E216" s="633">
        <f t="shared" si="24"/>
        <v>122.53001467082709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583.35910529962598</v>
      </c>
      <c r="D217" s="633">
        <f>D218+D219</f>
        <v>614.90850174592003</v>
      </c>
      <c r="E217" s="633">
        <f t="shared" si="24"/>
        <v>31.549396446294054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335.91821810402405</v>
      </c>
      <c r="D218" s="633">
        <f t="shared" si="25"/>
        <v>359.9667711170332</v>
      </c>
      <c r="E218" s="633">
        <f t="shared" si="24"/>
        <v>24.048553013009155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247.44088719560193</v>
      </c>
      <c r="D219" s="633">
        <f t="shared" si="25"/>
        <v>254.9417306288868</v>
      </c>
      <c r="E219" s="633">
        <f t="shared" si="24"/>
        <v>7.5008434332848708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13.48600242477681</v>
      </c>
      <c r="D220" s="633">
        <f t="shared" si="25"/>
        <v>20.164365355664284</v>
      </c>
      <c r="E220" s="633">
        <f t="shared" si="24"/>
        <v>6.6783629308874737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139.24029763218743</v>
      </c>
      <c r="D221" s="633">
        <f t="shared" si="25"/>
        <v>231.69041554725933</v>
      </c>
      <c r="E221" s="633">
        <f t="shared" si="24"/>
        <v>92.4501179150719</v>
      </c>
    </row>
    <row r="222" spans="1:5" s="421" customFormat="1" x14ac:dyDescent="0.2">
      <c r="A222" s="588"/>
      <c r="B222" s="592" t="s">
        <v>825</v>
      </c>
      <c r="C222" s="634">
        <f>C216+C218+C219+C220</f>
        <v>1997.9053471909069</v>
      </c>
      <c r="D222" s="634">
        <f>D216+D218+D219+D220</f>
        <v>2158.6631212389157</v>
      </c>
      <c r="E222" s="634">
        <f t="shared" si="24"/>
        <v>160.75777404800874</v>
      </c>
    </row>
    <row r="223" spans="1:5" s="421" customFormat="1" x14ac:dyDescent="0.2">
      <c r="A223" s="588"/>
      <c r="B223" s="592" t="s">
        <v>826</v>
      </c>
      <c r="C223" s="634">
        <f>C215+C222</f>
        <v>4412.645906645841</v>
      </c>
      <c r="D223" s="634">
        <f>D215+D222</f>
        <v>4253.3587208709296</v>
      </c>
      <c r="E223" s="634">
        <f t="shared" si="24"/>
        <v>-159.28718577491145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7116.7265478201571</v>
      </c>
      <c r="D227" s="636">
        <f t="shared" si="26"/>
        <v>7991.7001870599524</v>
      </c>
      <c r="E227" s="636">
        <f t="shared" ref="E227:E235" si="27">D227-C227</f>
        <v>874.97363923979538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9480.9018837180556</v>
      </c>
      <c r="D228" s="636">
        <f t="shared" si="26"/>
        <v>9416.6968491195948</v>
      </c>
      <c r="E228" s="636">
        <f t="shared" si="27"/>
        <v>-64.20503459846077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4383.1989670250969</v>
      </c>
      <c r="D229" s="636">
        <f t="shared" si="26"/>
        <v>5070.2177349677595</v>
      </c>
      <c r="E229" s="636">
        <f t="shared" si="27"/>
        <v>687.01876794266263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4298.6278564590284</v>
      </c>
      <c r="D230" s="636">
        <f t="shared" si="26"/>
        <v>4147.9867495704239</v>
      </c>
      <c r="E230" s="636">
        <f t="shared" si="27"/>
        <v>-150.64110688860455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4476.8722466960344</v>
      </c>
      <c r="D231" s="636">
        <f t="shared" si="26"/>
        <v>5981.3192527701103</v>
      </c>
      <c r="E231" s="636">
        <f t="shared" si="27"/>
        <v>1504.4470060740759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18881.389299022707</v>
      </c>
      <c r="D232" s="636">
        <f t="shared" si="26"/>
        <v>8429.1787628709044</v>
      </c>
      <c r="E232" s="636">
        <f t="shared" si="27"/>
        <v>-10452.210536151802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2974.5320658981586</v>
      </c>
      <c r="D233" s="636">
        <f t="shared" si="26"/>
        <v>2706.9762726347767</v>
      </c>
      <c r="E233" s="636">
        <f t="shared" si="27"/>
        <v>-267.55579326338193</v>
      </c>
    </row>
    <row r="234" spans="1:5" x14ac:dyDescent="0.2">
      <c r="A234" s="588"/>
      <c r="B234" s="592" t="s">
        <v>828</v>
      </c>
      <c r="C234" s="637">
        <f t="shared" si="26"/>
        <v>8690.6675577571223</v>
      </c>
      <c r="D234" s="637">
        <f t="shared" si="26"/>
        <v>8666.3758013912811</v>
      </c>
      <c r="E234" s="637">
        <f t="shared" si="27"/>
        <v>-24.291756365841138</v>
      </c>
    </row>
    <row r="235" spans="1:5" s="421" customFormat="1" x14ac:dyDescent="0.2">
      <c r="A235" s="588"/>
      <c r="B235" s="592" t="s">
        <v>829</v>
      </c>
      <c r="C235" s="637">
        <f t="shared" si="26"/>
        <v>8291.2347427381246</v>
      </c>
      <c r="D235" s="637">
        <f t="shared" si="26"/>
        <v>8487.4540827496621</v>
      </c>
      <c r="E235" s="637">
        <f t="shared" si="27"/>
        <v>196.2193400115375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7503.7613995642014</v>
      </c>
      <c r="D239" s="636">
        <f t="shared" si="28"/>
        <v>7866.5344038030034</v>
      </c>
      <c r="E239" s="638">
        <f t="shared" ref="E239:E247" si="29">D239-C239</f>
        <v>362.77300423880206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5294.7366508842761</v>
      </c>
      <c r="D240" s="636">
        <f t="shared" si="28"/>
        <v>4940.8152746830792</v>
      </c>
      <c r="E240" s="638">
        <f t="shared" si="29"/>
        <v>-353.92137620119684</v>
      </c>
    </row>
    <row r="241" spans="1:5" x14ac:dyDescent="0.2">
      <c r="A241" s="588">
        <v>3</v>
      </c>
      <c r="B241" s="587" t="s">
        <v>777</v>
      </c>
      <c r="C241" s="636">
        <f t="shared" si="28"/>
        <v>2972.710949817606</v>
      </c>
      <c r="D241" s="636">
        <f t="shared" si="28"/>
        <v>2987.9355949434807</v>
      </c>
      <c r="E241" s="638">
        <f t="shared" si="29"/>
        <v>15.224645125874758</v>
      </c>
    </row>
    <row r="242" spans="1:5" x14ac:dyDescent="0.2">
      <c r="A242" s="588">
        <v>4</v>
      </c>
      <c r="B242" s="587" t="s">
        <v>115</v>
      </c>
      <c r="C242" s="636">
        <f t="shared" si="28"/>
        <v>3607.2887229496891</v>
      </c>
      <c r="D242" s="636">
        <f t="shared" si="28"/>
        <v>3531.9260054330052</v>
      </c>
      <c r="E242" s="638">
        <f t="shared" si="29"/>
        <v>-75.362717516683915</v>
      </c>
    </row>
    <row r="243" spans="1:5" x14ac:dyDescent="0.2">
      <c r="A243" s="588">
        <v>5</v>
      </c>
      <c r="B243" s="587" t="s">
        <v>743</v>
      </c>
      <c r="C243" s="636">
        <f t="shared" si="28"/>
        <v>2111.2274770783529</v>
      </c>
      <c r="D243" s="636">
        <f t="shared" si="28"/>
        <v>2219.8445056600544</v>
      </c>
      <c r="E243" s="638">
        <f t="shared" si="29"/>
        <v>108.61702858170156</v>
      </c>
    </row>
    <row r="244" spans="1:5" x14ac:dyDescent="0.2">
      <c r="A244" s="588">
        <v>6</v>
      </c>
      <c r="B244" s="587" t="s">
        <v>424</v>
      </c>
      <c r="C244" s="636">
        <f t="shared" si="28"/>
        <v>4123.6089278636136</v>
      </c>
      <c r="D244" s="636">
        <f t="shared" si="28"/>
        <v>2081.444134725029</v>
      </c>
      <c r="E244" s="638">
        <f t="shared" si="29"/>
        <v>-2042.1647931385846</v>
      </c>
    </row>
    <row r="245" spans="1:5" x14ac:dyDescent="0.2">
      <c r="A245" s="588">
        <v>7</v>
      </c>
      <c r="B245" s="587" t="s">
        <v>758</v>
      </c>
      <c r="C245" s="636">
        <f t="shared" si="28"/>
        <v>3337.6616389289393</v>
      </c>
      <c r="D245" s="636">
        <f t="shared" si="28"/>
        <v>1842.2902777043644</v>
      </c>
      <c r="E245" s="638">
        <f t="shared" si="29"/>
        <v>-1495.3713612245749</v>
      </c>
    </row>
    <row r="246" spans="1:5" ht="25.5" x14ac:dyDescent="0.2">
      <c r="A246" s="588"/>
      <c r="B246" s="592" t="s">
        <v>831</v>
      </c>
      <c r="C246" s="637">
        <f t="shared" si="28"/>
        <v>4608.8339534936649</v>
      </c>
      <c r="D246" s="637">
        <f t="shared" si="28"/>
        <v>4357.8156811244517</v>
      </c>
      <c r="E246" s="639">
        <f t="shared" si="29"/>
        <v>-251.01827236921326</v>
      </c>
    </row>
    <row r="247" spans="1:5" x14ac:dyDescent="0.2">
      <c r="A247" s="588"/>
      <c r="B247" s="592" t="s">
        <v>832</v>
      </c>
      <c r="C247" s="637">
        <f t="shared" si="28"/>
        <v>6193.0305712593217</v>
      </c>
      <c r="D247" s="637">
        <f t="shared" si="28"/>
        <v>6085.7907124042677</v>
      </c>
      <c r="E247" s="639">
        <f t="shared" si="29"/>
        <v>-107.23985885505408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566844.50109511404</v>
      </c>
      <c r="D251" s="622">
        <f>((IF((IF(D15=0,0,D26/D15)*D138)=0,0,D59/(IF(D15=0,0,D26/D15)*D138)))-(IF((IF(D17=0,0,D28/D17)*D140)=0,0,D61/(IF(D17=0,0,D28/D17)*D140))))*(IF(D17=0,0,D28/D17)*D140)</f>
        <v>507153.32111338555</v>
      </c>
      <c r="E251" s="622">
        <f>D251-C251</f>
        <v>-59691.179981728492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1619219.9149680026</v>
      </c>
      <c r="D252" s="622">
        <f>IF(D231=0,0,(D228-D231)*D207)+IF(D243=0,0,(D240-D243)*D219)</f>
        <v>1380737.033094469</v>
      </c>
      <c r="E252" s="622">
        <f>D252-C252</f>
        <v>-238482.8818735336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743621.4873807535</v>
      </c>
      <c r="D253" s="622">
        <f>IF(D233=0,0,(D228-D233)*D209+IF(D221=0,0,(D240-D245)*D221))</f>
        <v>1273823.7198614692</v>
      </c>
      <c r="E253" s="622">
        <f>D253-C253</f>
        <v>530202.23248071573</v>
      </c>
    </row>
    <row r="254" spans="1:5" ht="15" customHeight="1" x14ac:dyDescent="0.2">
      <c r="A254" s="588"/>
      <c r="B254" s="592" t="s">
        <v>759</v>
      </c>
      <c r="C254" s="640">
        <f>+C251+C252+C253</f>
        <v>2929685.9034438701</v>
      </c>
      <c r="D254" s="640">
        <f>+D251+D252+D253</f>
        <v>3161714.0740693239</v>
      </c>
      <c r="E254" s="640">
        <f>D254-C254</f>
        <v>232028.17062545381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138431770</v>
      </c>
      <c r="D258" s="625">
        <f>+D44</f>
        <v>147441042</v>
      </c>
      <c r="E258" s="622">
        <f t="shared" ref="E258:E271" si="30">D258-C258</f>
        <v>9009272</v>
      </c>
    </row>
    <row r="259" spans="1:5" x14ac:dyDescent="0.2">
      <c r="A259" s="588">
        <v>2</v>
      </c>
      <c r="B259" s="587" t="s">
        <v>742</v>
      </c>
      <c r="C259" s="622">
        <f>+(C43-C76)</f>
        <v>57957810</v>
      </c>
      <c r="D259" s="625">
        <f>+(D43-D76)</f>
        <v>62725752</v>
      </c>
      <c r="E259" s="622">
        <f t="shared" si="30"/>
        <v>4767942</v>
      </c>
    </row>
    <row r="260" spans="1:5" x14ac:dyDescent="0.2">
      <c r="A260" s="588">
        <v>3</v>
      </c>
      <c r="B260" s="587" t="s">
        <v>746</v>
      </c>
      <c r="C260" s="622">
        <f>C195</f>
        <v>3759456</v>
      </c>
      <c r="D260" s="622">
        <f>D195</f>
        <v>3235430</v>
      </c>
      <c r="E260" s="622">
        <f t="shared" si="30"/>
        <v>-524026</v>
      </c>
    </row>
    <row r="261" spans="1:5" x14ac:dyDescent="0.2">
      <c r="A261" s="588">
        <v>4</v>
      </c>
      <c r="B261" s="587" t="s">
        <v>747</v>
      </c>
      <c r="C261" s="622">
        <f>C188</f>
        <v>24339115</v>
      </c>
      <c r="D261" s="622">
        <f>D188</f>
        <v>27404866</v>
      </c>
      <c r="E261" s="622">
        <f t="shared" si="30"/>
        <v>3065751</v>
      </c>
    </row>
    <row r="262" spans="1:5" x14ac:dyDescent="0.2">
      <c r="A262" s="588">
        <v>5</v>
      </c>
      <c r="B262" s="587" t="s">
        <v>748</v>
      </c>
      <c r="C262" s="622">
        <f>C191</f>
        <v>1074105</v>
      </c>
      <c r="D262" s="622">
        <f>D191</f>
        <v>1448354</v>
      </c>
      <c r="E262" s="622">
        <f t="shared" si="30"/>
        <v>374249</v>
      </c>
    </row>
    <row r="263" spans="1:5" x14ac:dyDescent="0.2">
      <c r="A263" s="588">
        <v>6</v>
      </c>
      <c r="B263" s="587" t="s">
        <v>749</v>
      </c>
      <c r="C263" s="622">
        <f>+C259+C260+C261+C262</f>
        <v>87130486</v>
      </c>
      <c r="D263" s="622">
        <f>+D259+D260+D261+D262</f>
        <v>94814402</v>
      </c>
      <c r="E263" s="622">
        <f t="shared" si="30"/>
        <v>7683916</v>
      </c>
    </row>
    <row r="264" spans="1:5" x14ac:dyDescent="0.2">
      <c r="A264" s="588">
        <v>7</v>
      </c>
      <c r="B264" s="587" t="s">
        <v>654</v>
      </c>
      <c r="C264" s="622">
        <f>+C258-C263</f>
        <v>51301284</v>
      </c>
      <c r="D264" s="622">
        <f>+D258-D263</f>
        <v>52626640</v>
      </c>
      <c r="E264" s="622">
        <f t="shared" si="30"/>
        <v>1325356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51301284</v>
      </c>
      <c r="D266" s="622">
        <f>+D264+D265</f>
        <v>52626640</v>
      </c>
      <c r="E266" s="641">
        <f t="shared" si="30"/>
        <v>1325356</v>
      </c>
    </row>
    <row r="267" spans="1:5" x14ac:dyDescent="0.2">
      <c r="A267" s="588">
        <v>10</v>
      </c>
      <c r="B267" s="587" t="s">
        <v>837</v>
      </c>
      <c r="C267" s="642">
        <f>IF(C258=0,0,C266/C258)</f>
        <v>0.37058894789830399</v>
      </c>
      <c r="D267" s="642">
        <f>IF(D258=0,0,D266/D258)</f>
        <v>0.35693345140629162</v>
      </c>
      <c r="E267" s="643">
        <f t="shared" si="30"/>
        <v>-1.3655496492012364E-2</v>
      </c>
    </row>
    <row r="268" spans="1:5" x14ac:dyDescent="0.2">
      <c r="A268" s="588">
        <v>11</v>
      </c>
      <c r="B268" s="587" t="s">
        <v>716</v>
      </c>
      <c r="C268" s="622">
        <f>+C260*C267</f>
        <v>1393212.8437099664</v>
      </c>
      <c r="D268" s="644">
        <f>+D260*D267</f>
        <v>1154833.1966834581</v>
      </c>
      <c r="E268" s="622">
        <f t="shared" si="30"/>
        <v>-238379.64702650835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1978454.3142369995</v>
      </c>
      <c r="D269" s="644">
        <f>((D17+D18+D28+D29)*D267)-(D50+D51+D61+D62)</f>
        <v>1822253.6829890832</v>
      </c>
      <c r="E269" s="622">
        <f t="shared" si="30"/>
        <v>-156200.63124791626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3371667.1579469657</v>
      </c>
      <c r="D271" s="622">
        <f>+D268+D269+D270</f>
        <v>2977086.8796725413</v>
      </c>
      <c r="E271" s="625">
        <f t="shared" si="30"/>
        <v>-394580.27827442437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0.42262849713961625</v>
      </c>
      <c r="D276" s="623">
        <f t="shared" si="31"/>
        <v>0.42592527744880854</v>
      </c>
      <c r="E276" s="650">
        <f t="shared" ref="E276:E284" si="32">D276-C276</f>
        <v>3.296780309192282E-3</v>
      </c>
    </row>
    <row r="277" spans="1:5" x14ac:dyDescent="0.2">
      <c r="A277" s="588">
        <v>2</v>
      </c>
      <c r="B277" s="587" t="s">
        <v>635</v>
      </c>
      <c r="C277" s="623">
        <f t="shared" si="31"/>
        <v>0.45427229292657584</v>
      </c>
      <c r="D277" s="623">
        <f t="shared" si="31"/>
        <v>0.45954187131968194</v>
      </c>
      <c r="E277" s="650">
        <f t="shared" si="32"/>
        <v>5.2695783931061002E-3</v>
      </c>
    </row>
    <row r="278" spans="1:5" x14ac:dyDescent="0.2">
      <c r="A278" s="588">
        <v>3</v>
      </c>
      <c r="B278" s="587" t="s">
        <v>777</v>
      </c>
      <c r="C278" s="623">
        <f t="shared" si="31"/>
        <v>0.27688515920308632</v>
      </c>
      <c r="D278" s="623">
        <f t="shared" si="31"/>
        <v>0.30888485916852643</v>
      </c>
      <c r="E278" s="650">
        <f t="shared" si="32"/>
        <v>3.1999699965440109E-2</v>
      </c>
    </row>
    <row r="279" spans="1:5" x14ac:dyDescent="0.2">
      <c r="A279" s="588">
        <v>4</v>
      </c>
      <c r="B279" s="587" t="s">
        <v>115</v>
      </c>
      <c r="C279" s="623">
        <f t="shared" si="31"/>
        <v>0.26797707291495898</v>
      </c>
      <c r="D279" s="623">
        <f t="shared" si="31"/>
        <v>0.25807238848104858</v>
      </c>
      <c r="E279" s="650">
        <f t="shared" si="32"/>
        <v>-9.9046844339104045E-3</v>
      </c>
    </row>
    <row r="280" spans="1:5" x14ac:dyDescent="0.2">
      <c r="A280" s="588">
        <v>5</v>
      </c>
      <c r="B280" s="587" t="s">
        <v>743</v>
      </c>
      <c r="C280" s="623">
        <f t="shared" si="31"/>
        <v>0.28703284983593602</v>
      </c>
      <c r="D280" s="623">
        <f t="shared" si="31"/>
        <v>0.35704902717231518</v>
      </c>
      <c r="E280" s="650">
        <f t="shared" si="32"/>
        <v>7.001617733637916E-2</v>
      </c>
    </row>
    <row r="281" spans="1:5" x14ac:dyDescent="0.2">
      <c r="A281" s="588">
        <v>6</v>
      </c>
      <c r="B281" s="587" t="s">
        <v>424</v>
      </c>
      <c r="C281" s="623">
        <f t="shared" si="31"/>
        <v>0.98662698850067965</v>
      </c>
      <c r="D281" s="623">
        <f t="shared" si="31"/>
        <v>0.91178961234474976</v>
      </c>
      <c r="E281" s="650">
        <f t="shared" si="32"/>
        <v>-7.4837376155929891E-2</v>
      </c>
    </row>
    <row r="282" spans="1:5" x14ac:dyDescent="0.2">
      <c r="A282" s="588">
        <v>7</v>
      </c>
      <c r="B282" s="587" t="s">
        <v>758</v>
      </c>
      <c r="C282" s="623">
        <f t="shared" si="31"/>
        <v>0.16008544550062101</v>
      </c>
      <c r="D282" s="623">
        <f t="shared" si="31"/>
        <v>0.20593085414068998</v>
      </c>
      <c r="E282" s="650">
        <f t="shared" si="32"/>
        <v>4.5845408640068974E-2</v>
      </c>
    </row>
    <row r="283" spans="1:5" ht="29.25" customHeight="1" x14ac:dyDescent="0.2">
      <c r="A283" s="588"/>
      <c r="B283" s="592" t="s">
        <v>844</v>
      </c>
      <c r="C283" s="651">
        <f t="shared" si="31"/>
        <v>0.43354489666476148</v>
      </c>
      <c r="D283" s="651">
        <f t="shared" si="31"/>
        <v>0.43887706063448662</v>
      </c>
      <c r="E283" s="652">
        <f t="shared" si="32"/>
        <v>5.3321639697251344E-3</v>
      </c>
    </row>
    <row r="284" spans="1:5" x14ac:dyDescent="0.2">
      <c r="A284" s="588"/>
      <c r="B284" s="592" t="s">
        <v>845</v>
      </c>
      <c r="C284" s="651">
        <f t="shared" si="31"/>
        <v>0.43111921179966306</v>
      </c>
      <c r="D284" s="651">
        <f t="shared" si="31"/>
        <v>0.43556968449420652</v>
      </c>
      <c r="E284" s="652">
        <f t="shared" si="32"/>
        <v>4.4504726945434614E-3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0.45120762837058165</v>
      </c>
      <c r="D287" s="623">
        <f t="shared" si="33"/>
        <v>0.41646413802411236</v>
      </c>
      <c r="E287" s="650">
        <f t="shared" ref="E287:E295" si="34">D287-C287</f>
        <v>-3.4743490346469286E-2</v>
      </c>
    </row>
    <row r="288" spans="1:5" x14ac:dyDescent="0.2">
      <c r="A288" s="588">
        <v>2</v>
      </c>
      <c r="B288" s="587" t="s">
        <v>635</v>
      </c>
      <c r="C288" s="623">
        <f t="shared" si="33"/>
        <v>0.21915553458018611</v>
      </c>
      <c r="D288" s="623">
        <f t="shared" si="33"/>
        <v>0.20392040964072461</v>
      </c>
      <c r="E288" s="650">
        <f t="shared" si="34"/>
        <v>-1.5235124939461497E-2</v>
      </c>
    </row>
    <row r="289" spans="1:5" x14ac:dyDescent="0.2">
      <c r="A289" s="588">
        <v>3</v>
      </c>
      <c r="B289" s="587" t="s">
        <v>777</v>
      </c>
      <c r="C289" s="623">
        <f t="shared" si="33"/>
        <v>0.20126392441893529</v>
      </c>
      <c r="D289" s="623">
        <f t="shared" si="33"/>
        <v>0.19599425663170225</v>
      </c>
      <c r="E289" s="650">
        <f t="shared" si="34"/>
        <v>-5.2696677872330344E-3</v>
      </c>
    </row>
    <row r="290" spans="1:5" x14ac:dyDescent="0.2">
      <c r="A290" s="588">
        <v>4</v>
      </c>
      <c r="B290" s="587" t="s">
        <v>115</v>
      </c>
      <c r="C290" s="623">
        <f t="shared" si="33"/>
        <v>0.23703899320135094</v>
      </c>
      <c r="D290" s="623">
        <f t="shared" si="33"/>
        <v>0.24134362255377276</v>
      </c>
      <c r="E290" s="650">
        <f t="shared" si="34"/>
        <v>4.3046293524218182E-3</v>
      </c>
    </row>
    <row r="291" spans="1:5" x14ac:dyDescent="0.2">
      <c r="A291" s="588">
        <v>5</v>
      </c>
      <c r="B291" s="587" t="s">
        <v>743</v>
      </c>
      <c r="C291" s="623">
        <f t="shared" si="33"/>
        <v>0.14907543404618279</v>
      </c>
      <c r="D291" s="623">
        <f t="shared" si="33"/>
        <v>0.13781742663006025</v>
      </c>
      <c r="E291" s="650">
        <f t="shared" si="34"/>
        <v>-1.125800741612254E-2</v>
      </c>
    </row>
    <row r="292" spans="1:5" x14ac:dyDescent="0.2">
      <c r="A292" s="588">
        <v>6</v>
      </c>
      <c r="B292" s="587" t="s">
        <v>424</v>
      </c>
      <c r="C292" s="623">
        <f t="shared" si="33"/>
        <v>0.27774531397491797</v>
      </c>
      <c r="D292" s="623">
        <f t="shared" si="33"/>
        <v>0.22032599280821019</v>
      </c>
      <c r="E292" s="650">
        <f t="shared" si="34"/>
        <v>-5.7419321166707782E-2</v>
      </c>
    </row>
    <row r="293" spans="1:5" x14ac:dyDescent="0.2">
      <c r="A293" s="588">
        <v>7</v>
      </c>
      <c r="B293" s="587" t="s">
        <v>758</v>
      </c>
      <c r="C293" s="623">
        <f t="shared" si="33"/>
        <v>0.18109548002652895</v>
      </c>
      <c r="D293" s="623">
        <f t="shared" si="33"/>
        <v>0.15731352876961532</v>
      </c>
      <c r="E293" s="650">
        <f t="shared" si="34"/>
        <v>-2.3781951256913625E-2</v>
      </c>
    </row>
    <row r="294" spans="1:5" ht="29.25" customHeight="1" x14ac:dyDescent="0.2">
      <c r="A294" s="588"/>
      <c r="B294" s="592" t="s">
        <v>847</v>
      </c>
      <c r="C294" s="651">
        <f t="shared" si="33"/>
        <v>0.21581728272860132</v>
      </c>
      <c r="D294" s="651">
        <f t="shared" si="33"/>
        <v>0.20238906748399205</v>
      </c>
      <c r="E294" s="652">
        <f t="shared" si="34"/>
        <v>-1.3428215244609271E-2</v>
      </c>
    </row>
    <row r="295" spans="1:5" x14ac:dyDescent="0.2">
      <c r="A295" s="588"/>
      <c r="B295" s="592" t="s">
        <v>848</v>
      </c>
      <c r="C295" s="651">
        <f t="shared" si="33"/>
        <v>0.32994894696851729</v>
      </c>
      <c r="D295" s="651">
        <f t="shared" si="33"/>
        <v>0.30082637895239878</v>
      </c>
      <c r="E295" s="652">
        <f t="shared" si="34"/>
        <v>-2.9122568016118511E-2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51301282</v>
      </c>
      <c r="D301" s="590">
        <f>+D48+D47+D50+D51+D52+D59+D58+D61+D62+D63</f>
        <v>52626661</v>
      </c>
      <c r="E301" s="590">
        <f>D301-C301</f>
        <v>1325379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51301282</v>
      </c>
      <c r="D303" s="593">
        <f>+D301+D302</f>
        <v>52626661</v>
      </c>
      <c r="E303" s="593">
        <f>D303-C303</f>
        <v>1325379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4774811</v>
      </c>
      <c r="D305" s="654">
        <v>1120243</v>
      </c>
      <c r="E305" s="655">
        <f>D305-C305</f>
        <v>-3654568</v>
      </c>
    </row>
    <row r="306" spans="1:5" x14ac:dyDescent="0.2">
      <c r="A306" s="588">
        <v>4</v>
      </c>
      <c r="B306" s="592" t="s">
        <v>855</v>
      </c>
      <c r="C306" s="593">
        <f>+C303+C305+C194+C190-C191</f>
        <v>59656316</v>
      </c>
      <c r="D306" s="593">
        <f>+D303+D305</f>
        <v>53746904</v>
      </c>
      <c r="E306" s="656">
        <f>D306-C306</f>
        <v>-5909412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56076094</v>
      </c>
      <c r="D308" s="589">
        <v>53746903</v>
      </c>
      <c r="E308" s="590">
        <f>D308-C308</f>
        <v>-2329191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3580222</v>
      </c>
      <c r="D310" s="658">
        <f>D306-D308</f>
        <v>1</v>
      </c>
      <c r="E310" s="656">
        <f>D310-C310</f>
        <v>-3580221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138431770</v>
      </c>
      <c r="D314" s="590">
        <f>+D14+D15+D16+D19+D25+D26+D27+D30</f>
        <v>147441042</v>
      </c>
      <c r="E314" s="590">
        <f>D314-C314</f>
        <v>9009272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138431770</v>
      </c>
      <c r="D316" s="657">
        <f>D314+D315</f>
        <v>147441042</v>
      </c>
      <c r="E316" s="593">
        <f>D316-C316</f>
        <v>9009272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138431770</v>
      </c>
      <c r="D318" s="589">
        <v>147441041</v>
      </c>
      <c r="E318" s="590">
        <f>D318-C318</f>
        <v>9009271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3759456</v>
      </c>
      <c r="D324" s="589">
        <f>+D193+D194</f>
        <v>3235430</v>
      </c>
      <c r="E324" s="590">
        <f>D324-C324</f>
        <v>-524026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3759456</v>
      </c>
      <c r="D326" s="657">
        <f>D324+D325</f>
        <v>3235430</v>
      </c>
      <c r="E326" s="593">
        <f>D326-C326</f>
        <v>-524026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3759456</v>
      </c>
      <c r="D328" s="589">
        <v>3235430</v>
      </c>
      <c r="E328" s="590">
        <f>D328-C328</f>
        <v>-524026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15677757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39105825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6525956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3175671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3350285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85024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1089118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45716805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61394562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39566420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36915275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9374290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5267908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4106382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190495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2713314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46480060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86046480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55244177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92196865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147441042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6677553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17970764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2015769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819553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1196216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77524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224283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20064057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26741610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16477995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7527778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1837307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1271376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565931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41971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426841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9407056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25885051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23155548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29471113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52626661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830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1614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425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217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208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93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2048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2878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1.0066999999999999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1.1823999999999999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0.93546000000000007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0.91049999999999998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0.96150000000000002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1.0219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0.89090000000000003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1.1304498046875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1.0947610145934676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55244177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27839311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27404866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0.49606795662826147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2174989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1448354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941923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2293507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3235430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429185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49401485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52626661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52626661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1120243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53746904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53746903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147441042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147441042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147441041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3235430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3235430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3235430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65</v>
      </c>
      <c r="D12" s="185">
        <v>70</v>
      </c>
      <c r="E12" s="185">
        <f>+D12-C12</f>
        <v>5</v>
      </c>
      <c r="F12" s="77">
        <f>IF(C12=0,0,+E12/C12)</f>
        <v>7.6923076923076927E-2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65</v>
      </c>
      <c r="D13" s="185">
        <v>70</v>
      </c>
      <c r="E13" s="185">
        <f>+D13-C13</f>
        <v>5</v>
      </c>
      <c r="F13" s="77">
        <f>IF(C13=0,0,+E13/C13)</f>
        <v>7.6923076923076927E-2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760089</v>
      </c>
      <c r="D15" s="76">
        <v>941923</v>
      </c>
      <c r="E15" s="76">
        <f>+D15-C15</f>
        <v>181834</v>
      </c>
      <c r="F15" s="77">
        <f>IF(C15=0,0,+E15/C15)</f>
        <v>0.23922724838801773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11693.676923076922</v>
      </c>
      <c r="D16" s="79">
        <f>IF(D13=0,0,+D15/+D13)</f>
        <v>13456.042857142857</v>
      </c>
      <c r="E16" s="79">
        <f>+D16-C16</f>
        <v>1762.3659340659342</v>
      </c>
      <c r="F16" s="80">
        <f>IF(C16=0,0,+E16/C16)</f>
        <v>0.15071101636030218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0.40754000000000001</v>
      </c>
      <c r="D18" s="704">
        <v>0.37257400000000002</v>
      </c>
      <c r="E18" s="704">
        <f>+D18-C18</f>
        <v>-3.4965999999999997E-2</v>
      </c>
      <c r="F18" s="77">
        <f>IF(C18=0,0,+E18/C18)</f>
        <v>-8.5797713107915771E-2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309766.67106000002</v>
      </c>
      <c r="D19" s="79">
        <f>+D15*D18</f>
        <v>350936.01980200002</v>
      </c>
      <c r="E19" s="79">
        <f>+D19-C19</f>
        <v>41169.348742000002</v>
      </c>
      <c r="F19" s="80">
        <f>IF(C19=0,0,+E19/C19)</f>
        <v>0.13290438445531066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4765.6410932307699</v>
      </c>
      <c r="D20" s="79">
        <f>IF(D13=0,0,+D19/D13)</f>
        <v>5013.3717114571436</v>
      </c>
      <c r="E20" s="79">
        <f>+D20-C20</f>
        <v>247.73061822637374</v>
      </c>
      <c r="F20" s="80">
        <f>IF(C20=0,0,+E20/C20)</f>
        <v>5.1982642708502787E-2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166790</v>
      </c>
      <c r="D22" s="76">
        <v>328018</v>
      </c>
      <c r="E22" s="76">
        <f>+D22-C22</f>
        <v>161228</v>
      </c>
      <c r="F22" s="77">
        <f>IF(C22=0,0,+E22/C22)</f>
        <v>0.96665267701900592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89019</v>
      </c>
      <c r="D23" s="185">
        <v>422289</v>
      </c>
      <c r="E23" s="185">
        <f>+D23-C23</f>
        <v>333270</v>
      </c>
      <c r="F23" s="77">
        <f>IF(C23=0,0,+E23/C23)</f>
        <v>3.7438075017692851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504280</v>
      </c>
      <c r="D24" s="185">
        <v>191616</v>
      </c>
      <c r="E24" s="185">
        <f>+D24-C24</f>
        <v>-312664</v>
      </c>
      <c r="F24" s="77">
        <f>IF(C24=0,0,+E24/C24)</f>
        <v>-0.62002062346315534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760089</v>
      </c>
      <c r="D25" s="79">
        <f>+D22+D23+D24</f>
        <v>941923</v>
      </c>
      <c r="E25" s="79">
        <f>+E22+E23+E24</f>
        <v>181834</v>
      </c>
      <c r="F25" s="80">
        <f>IF(C25=0,0,+E25/C25)</f>
        <v>0.23922724838801773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59</v>
      </c>
      <c r="D27" s="185">
        <v>119</v>
      </c>
      <c r="E27" s="185">
        <f>+D27-C27</f>
        <v>60</v>
      </c>
      <c r="F27" s="77">
        <f>IF(C27=0,0,+E27/C27)</f>
        <v>1.0169491525423728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15</v>
      </c>
      <c r="D28" s="185">
        <v>36</v>
      </c>
      <c r="E28" s="185">
        <f>+D28-C28</f>
        <v>21</v>
      </c>
      <c r="F28" s="77">
        <f>IF(C28=0,0,+E28/C28)</f>
        <v>1.4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89</v>
      </c>
      <c r="D29" s="185">
        <v>205</v>
      </c>
      <c r="E29" s="185">
        <f>+D29-C29</f>
        <v>116</v>
      </c>
      <c r="F29" s="77">
        <f>IF(C29=0,0,+E29/C29)</f>
        <v>1.303370786516854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212</v>
      </c>
      <c r="D30" s="185">
        <v>259</v>
      </c>
      <c r="E30" s="185">
        <f>+D30-C30</f>
        <v>47</v>
      </c>
      <c r="F30" s="77">
        <f>IF(C30=0,0,+E30/C30)</f>
        <v>0.22169811320754718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949731</v>
      </c>
      <c r="D33" s="76">
        <v>597322</v>
      </c>
      <c r="E33" s="76">
        <f>+D33-C33</f>
        <v>-352409</v>
      </c>
      <c r="F33" s="77">
        <f>IF(C33=0,0,+E33/C33)</f>
        <v>-0.37106191121485976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1062787</v>
      </c>
      <c r="D34" s="185">
        <v>522962</v>
      </c>
      <c r="E34" s="185">
        <f>+D34-C34</f>
        <v>-539825</v>
      </c>
      <c r="F34" s="77">
        <f>IF(C34=0,0,+E34/C34)</f>
        <v>-0.50793338646407982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986849</v>
      </c>
      <c r="D35" s="185">
        <v>1173223</v>
      </c>
      <c r="E35" s="185">
        <f>+D35-C35</f>
        <v>186374</v>
      </c>
      <c r="F35" s="77">
        <f>IF(C35=0,0,+E35/C35)</f>
        <v>0.18885766718109862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2999367</v>
      </c>
      <c r="D36" s="79">
        <f>+D33+D34+D35</f>
        <v>2293507</v>
      </c>
      <c r="E36" s="79">
        <f>+E33+E34+E35</f>
        <v>-705860</v>
      </c>
      <c r="F36" s="80">
        <f>IF(C36=0,0,+E36/C36)</f>
        <v>-0.23533632263074175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760089</v>
      </c>
      <c r="D39" s="76">
        <f>+D25</f>
        <v>941923</v>
      </c>
      <c r="E39" s="76">
        <f>+D39-C39</f>
        <v>181834</v>
      </c>
      <c r="F39" s="77">
        <f>IF(C39=0,0,+E39/C39)</f>
        <v>0.23922724838801773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2999367</v>
      </c>
      <c r="D40" s="185">
        <f>+D36</f>
        <v>2293507</v>
      </c>
      <c r="E40" s="185">
        <f>+D40-C40</f>
        <v>-705860</v>
      </c>
      <c r="F40" s="77">
        <f>IF(C40=0,0,+E40/C40)</f>
        <v>-0.23533632263074175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3759456</v>
      </c>
      <c r="D41" s="79">
        <f>+D39+D40</f>
        <v>3235430</v>
      </c>
      <c r="E41" s="79">
        <f>+E39+E40</f>
        <v>-524026</v>
      </c>
      <c r="F41" s="80">
        <f>IF(C41=0,0,+E41/C41)</f>
        <v>-0.13938878390916132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1116521</v>
      </c>
      <c r="D43" s="76">
        <f t="shared" si="0"/>
        <v>925340</v>
      </c>
      <c r="E43" s="76">
        <f>+D43-C43</f>
        <v>-191181</v>
      </c>
      <c r="F43" s="77">
        <f>IF(C43=0,0,+E43/C43)</f>
        <v>-0.1712292021377117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1151806</v>
      </c>
      <c r="D44" s="185">
        <f t="shared" si="0"/>
        <v>945251</v>
      </c>
      <c r="E44" s="185">
        <f>+D44-C44</f>
        <v>-206555</v>
      </c>
      <c r="F44" s="77">
        <f>IF(C44=0,0,+E44/C44)</f>
        <v>-0.17933141518623796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1491129</v>
      </c>
      <c r="D45" s="185">
        <f t="shared" si="0"/>
        <v>1364839</v>
      </c>
      <c r="E45" s="185">
        <f>+D45-C45</f>
        <v>-126290</v>
      </c>
      <c r="F45" s="77">
        <f>IF(C45=0,0,+E45/C45)</f>
        <v>-8.4694214920372421E-2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3759456</v>
      </c>
      <c r="D46" s="79">
        <f>+D43+D44+D45</f>
        <v>3235430</v>
      </c>
      <c r="E46" s="79">
        <f>+E43+E44+E45</f>
        <v>-524026</v>
      </c>
      <c r="F46" s="80">
        <f>IF(C46=0,0,+E46/C46)</f>
        <v>-0.13938878390916132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52514475</v>
      </c>
      <c r="D15" s="76">
        <v>55244177</v>
      </c>
      <c r="E15" s="76">
        <f>+D15-C15</f>
        <v>2729702</v>
      </c>
      <c r="F15" s="77">
        <f>IF(C15=0,0,E15/C15)</f>
        <v>5.1979992183107608E-2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24339115</v>
      </c>
      <c r="D17" s="76">
        <v>27404866</v>
      </c>
      <c r="E17" s="76">
        <f>+D17-C17</f>
        <v>3065751</v>
      </c>
      <c r="F17" s="77">
        <f>IF(C17=0,0,E17/C17)</f>
        <v>0.12595983872051222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28175360</v>
      </c>
      <c r="D19" s="79">
        <f>+D15-D17</f>
        <v>27839311</v>
      </c>
      <c r="E19" s="79">
        <f>+D19-C19</f>
        <v>-336049</v>
      </c>
      <c r="F19" s="80">
        <f>IF(C19=0,0,E19/C19)</f>
        <v>-1.192705257359622E-2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0.46347440396195527</v>
      </c>
      <c r="D21" s="720">
        <f>IF(D15=0,0,D17/D15)</f>
        <v>0.49606795662826147</v>
      </c>
      <c r="E21" s="720">
        <f>+D21-C21</f>
        <v>3.2593552666306203E-2</v>
      </c>
      <c r="F21" s="80">
        <f>IF(C21=0,0,E21/C21)</f>
        <v>7.0324385527408051E-2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56413431</v>
      </c>
      <c r="D10" s="744">
        <v>55607893</v>
      </c>
      <c r="E10" s="744">
        <v>61394562</v>
      </c>
    </row>
    <row r="11" spans="1:6" ht="26.1" customHeight="1" x14ac:dyDescent="0.25">
      <c r="A11" s="742">
        <v>2</v>
      </c>
      <c r="B11" s="743" t="s">
        <v>932</v>
      </c>
      <c r="C11" s="744">
        <v>73329474</v>
      </c>
      <c r="D11" s="744">
        <v>82823877</v>
      </c>
      <c r="E11" s="744">
        <v>86046480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129742905</v>
      </c>
      <c r="D12" s="744">
        <f>+D11+D10</f>
        <v>138431770</v>
      </c>
      <c r="E12" s="744">
        <f>+E11+E10</f>
        <v>147441042</v>
      </c>
    </row>
    <row r="13" spans="1:6" ht="26.1" customHeight="1" x14ac:dyDescent="0.25">
      <c r="A13" s="742">
        <v>4</v>
      </c>
      <c r="B13" s="743" t="s">
        <v>507</v>
      </c>
      <c r="C13" s="744">
        <v>55537559</v>
      </c>
      <c r="D13" s="744">
        <v>54558825</v>
      </c>
      <c r="E13" s="744">
        <v>53746903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53061849</v>
      </c>
      <c r="D16" s="744">
        <v>51745114</v>
      </c>
      <c r="E16" s="744">
        <v>49401485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12355</v>
      </c>
      <c r="D19" s="747">
        <v>11914</v>
      </c>
      <c r="E19" s="747">
        <v>12338</v>
      </c>
    </row>
    <row r="20" spans="1:5" ht="26.1" customHeight="1" x14ac:dyDescent="0.25">
      <c r="A20" s="742">
        <v>2</v>
      </c>
      <c r="B20" s="743" t="s">
        <v>381</v>
      </c>
      <c r="C20" s="748">
        <v>2703</v>
      </c>
      <c r="D20" s="748">
        <v>2685</v>
      </c>
      <c r="E20" s="748">
        <v>2878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4.570847206807251</v>
      </c>
      <c r="D21" s="749">
        <f>IF(D20=0,0,+D19/D20)</f>
        <v>4.4372439478584731</v>
      </c>
      <c r="E21" s="749">
        <f>IF(E20=0,0,+E19/E20)</f>
        <v>4.2870048644892282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28414.750935375654</v>
      </c>
      <c r="D22" s="748">
        <f>IF(D10=0,0,D19*(D12/D10))</f>
        <v>29659.028940010372</v>
      </c>
      <c r="E22" s="748">
        <f>IF(E10=0,0,E19*(E12/E10))</f>
        <v>29630.109197554015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6216.5173434496473</v>
      </c>
      <c r="D23" s="748">
        <f>IF(D10=0,0,D20*(D12/D10))</f>
        <v>6684.1105173684609</v>
      </c>
      <c r="E23" s="748">
        <f>IF(E10=0,0,E20*(E12/E10))</f>
        <v>6911.6108178440954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1.1042657417684054</v>
      </c>
      <c r="D26" s="750">
        <v>1.0768874487895719</v>
      </c>
      <c r="E26" s="750">
        <v>1.0947610145934676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13643.203239548649</v>
      </c>
      <c r="D27" s="748">
        <f>D19*D26</f>
        <v>12830.037064878959</v>
      </c>
      <c r="E27" s="748">
        <f>E19*E26</f>
        <v>13507.161398054204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2984.8302999999996</v>
      </c>
      <c r="D28" s="748">
        <f>D20*D26</f>
        <v>2891.4428000000007</v>
      </c>
      <c r="E28" s="748">
        <f>E20*E26</f>
        <v>3150.7221999999997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31377.436018817087</v>
      </c>
      <c r="D29" s="748">
        <f>D22*D26</f>
        <v>31939.43600878385</v>
      </c>
      <c r="E29" s="748">
        <f>E22*E26</f>
        <v>32437.888407629471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6864.6871354805817</v>
      </c>
      <c r="D30" s="748">
        <f>D23*D26</f>
        <v>7198.0347224764673</v>
      </c>
      <c r="E30" s="748">
        <f>E23*E26</f>
        <v>7566.5620714181887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10501.246863617969</v>
      </c>
      <c r="D33" s="744">
        <f>IF(D19=0,0,D12/D19)</f>
        <v>11619.252140339097</v>
      </c>
      <c r="E33" s="744">
        <f>IF(E19=0,0,E12/E19)</f>
        <v>11950.157399902739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47999.594894561596</v>
      </c>
      <c r="D34" s="744">
        <f>IF(D20=0,0,D12/D20)</f>
        <v>51557.456238361265</v>
      </c>
      <c r="E34" s="744">
        <f>IF(E20=0,0,E12/E20)</f>
        <v>51230.382904794998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4566.0405503844604</v>
      </c>
      <c r="D35" s="744">
        <f>IF(D22=0,0,D12/D22)</f>
        <v>4667.4410777236862</v>
      </c>
      <c r="E35" s="744">
        <f>IF(E22=0,0,E12/E22)</f>
        <v>4976.0546279786022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20870.673695893453</v>
      </c>
      <c r="D36" s="744">
        <f>IF(D23=0,0,D12/D23)</f>
        <v>20710.574674115454</v>
      </c>
      <c r="E36" s="744">
        <f>IF(E23=0,0,E12/E23)</f>
        <v>21332.370396108407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4134.9109889728725</v>
      </c>
      <c r="D37" s="744">
        <f>IF(D29=0,0,D12/D29)</f>
        <v>4334.1958186715965</v>
      </c>
      <c r="E37" s="744">
        <f>IF(E29=0,0,E12/E29)</f>
        <v>4545.3341520627928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18900.046344343264</v>
      </c>
      <c r="D38" s="744">
        <f>IF(D30=0,0,D12/D30)</f>
        <v>19231.884165234045</v>
      </c>
      <c r="E38" s="744">
        <f>IF(E30=0,0,E12/E30)</f>
        <v>19485.869620622216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1985.3572226729143</v>
      </c>
      <c r="D39" s="744">
        <f>IF(D22=0,0,D10/D22)</f>
        <v>1874.9060568528698</v>
      </c>
      <c r="E39" s="744">
        <f>IF(E22=0,0,E10/E22)</f>
        <v>2072.0329307820493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9074.7645157690913</v>
      </c>
      <c r="D40" s="744">
        <f>IF(D23=0,0,D10/D23)</f>
        <v>8319.4155535735918</v>
      </c>
      <c r="E40" s="744">
        <f>IF(E23=0,0,E10/E23)</f>
        <v>8882.8152536445195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4495.1484419263452</v>
      </c>
      <c r="D43" s="744">
        <f>IF(D19=0,0,D13/D19)</f>
        <v>4579.3876951485645</v>
      </c>
      <c r="E43" s="744">
        <f>IF(E19=0,0,E13/E19)</f>
        <v>4356.2087048143949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20546.636699963005</v>
      </c>
      <c r="D44" s="744">
        <f>IF(D20=0,0,D13/D20)</f>
        <v>20319.860335195532</v>
      </c>
      <c r="E44" s="744">
        <f>IF(E20=0,0,E13/E20)</f>
        <v>18675.08790826963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1954.5326695388039</v>
      </c>
      <c r="D45" s="744">
        <f>IF(D22=0,0,D13/D22)</f>
        <v>1839.5351078537678</v>
      </c>
      <c r="E45" s="744">
        <f>IF(E22=0,0,E13/E22)</f>
        <v>1813.928617058112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8933.870193174962</v>
      </c>
      <c r="D46" s="744">
        <f>IF(D23=0,0,D13/D23)</f>
        <v>8162.4660241973152</v>
      </c>
      <c r="E46" s="744">
        <f>IF(E23=0,0,E13/E23)</f>
        <v>7776.320805164346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1769.9839772342793</v>
      </c>
      <c r="D47" s="744">
        <f>IF(D29=0,0,D13/D29)</f>
        <v>1708.1962557195893</v>
      </c>
      <c r="E47" s="744">
        <f>IF(E29=0,0,E13/E29)</f>
        <v>1656.9174394027016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8090.3263184348953</v>
      </c>
      <c r="D48" s="744">
        <f>IF(D30=0,0,D13/D30)</f>
        <v>7579.6834974462536</v>
      </c>
      <c r="E48" s="744">
        <f>IF(E30=0,0,E13/E30)</f>
        <v>7103.2131227764185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4294.7672197490892</v>
      </c>
      <c r="D51" s="744">
        <f>IF(D19=0,0,D16/D19)</f>
        <v>4343.2192378714117</v>
      </c>
      <c r="E51" s="744">
        <f>IF(E19=0,0,E16/E19)</f>
        <v>4004.0107797049764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19630.72475027747</v>
      </c>
      <c r="D52" s="744">
        <f>IF(D20=0,0,D16/D20)</f>
        <v>19271.923277467413</v>
      </c>
      <c r="E52" s="744">
        <f>IF(E20=0,0,E16/E20)</f>
        <v>17165.213690062545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1867.4050362320552</v>
      </c>
      <c r="D53" s="744">
        <f>IF(D22=0,0,D16/D22)</f>
        <v>1744.6664927790418</v>
      </c>
      <c r="E53" s="744">
        <f>IF(E22=0,0,E16/E22)</f>
        <v>1667.2731332383387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8535.6230938390836</v>
      </c>
      <c r="D54" s="744">
        <f>IF(D23=0,0,D16/D23)</f>
        <v>7741.5108361152725</v>
      </c>
      <c r="E54" s="744">
        <f>IF(E23=0,0,E16/E23)</f>
        <v>7147.6080326249566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1691.0830116322679</v>
      </c>
      <c r="D55" s="744">
        <f>IF(D29=0,0,D16/D29)</f>
        <v>1620.1010558160538</v>
      </c>
      <c r="E55" s="744">
        <f>IF(E29=0,0,E16/E29)</f>
        <v>1522.9562534773579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7729.6820601985464</v>
      </c>
      <c r="D56" s="744">
        <f>IF(D30=0,0,D16/D30)</f>
        <v>7188.7836048389072</v>
      </c>
      <c r="E56" s="744">
        <f>IF(E30=0,0,E16/E30)</f>
        <v>6528.9208670617245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7087485</v>
      </c>
      <c r="D59" s="752">
        <v>7016561</v>
      </c>
      <c r="E59" s="752">
        <v>6922138</v>
      </c>
    </row>
    <row r="60" spans="1:6" ht="26.1" customHeight="1" x14ac:dyDescent="0.25">
      <c r="A60" s="742">
        <v>2</v>
      </c>
      <c r="B60" s="743" t="s">
        <v>968</v>
      </c>
      <c r="C60" s="752">
        <v>1809542</v>
      </c>
      <c r="D60" s="752">
        <v>1687424</v>
      </c>
      <c r="E60" s="752">
        <v>1697890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8897027</v>
      </c>
      <c r="D61" s="755">
        <f>D59+D60</f>
        <v>8703985</v>
      </c>
      <c r="E61" s="755">
        <f>E59+E60</f>
        <v>8620028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9259124</v>
      </c>
      <c r="D69" s="752">
        <v>10390256</v>
      </c>
      <c r="E69" s="752">
        <v>10327838</v>
      </c>
    </row>
    <row r="70" spans="1:6" ht="26.1" customHeight="1" x14ac:dyDescent="0.25">
      <c r="A70" s="742">
        <v>2</v>
      </c>
      <c r="B70" s="743" t="s">
        <v>976</v>
      </c>
      <c r="C70" s="752">
        <v>2328842</v>
      </c>
      <c r="D70" s="752">
        <v>2354664</v>
      </c>
      <c r="E70" s="752">
        <v>2533292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11587966</v>
      </c>
      <c r="D71" s="755">
        <f>D69+D70</f>
        <v>12744920</v>
      </c>
      <c r="E71" s="755">
        <f>E69+E70</f>
        <v>12861130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16346609</v>
      </c>
      <c r="D75" s="744">
        <f t="shared" si="0"/>
        <v>17406817</v>
      </c>
      <c r="E75" s="744">
        <f t="shared" si="0"/>
        <v>17249976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4138384</v>
      </c>
      <c r="D76" s="744">
        <f t="shared" si="0"/>
        <v>4042088</v>
      </c>
      <c r="E76" s="744">
        <f t="shared" si="0"/>
        <v>4231182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20484993</v>
      </c>
      <c r="D77" s="757">
        <f>D75+D76</f>
        <v>21448905</v>
      </c>
      <c r="E77" s="757">
        <f>E75+E76</f>
        <v>21481158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97.2</v>
      </c>
      <c r="D80" s="749">
        <v>100.6</v>
      </c>
      <c r="E80" s="749">
        <v>95.5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982</v>
      </c>
      <c r="C82" s="749">
        <v>174.3</v>
      </c>
      <c r="D82" s="749">
        <v>155</v>
      </c>
      <c r="E82" s="749">
        <v>151.9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271.5</v>
      </c>
      <c r="D83" s="759">
        <f>D80+D81+D82</f>
        <v>255.6</v>
      </c>
      <c r="E83" s="759">
        <f>E80+E81+E82</f>
        <v>247.4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72916.512345679017</v>
      </c>
      <c r="D86" s="752">
        <f>IF(D80=0,0,D59/D80)</f>
        <v>69747.12723658052</v>
      </c>
      <c r="E86" s="752">
        <f>IF(E80=0,0,E59/E80)</f>
        <v>72483.120418848164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18616.687242798354</v>
      </c>
      <c r="D87" s="752">
        <f>IF(D80=0,0,D60/D80)</f>
        <v>16773.598409542745</v>
      </c>
      <c r="E87" s="752">
        <f>IF(E80=0,0,E60/E80)</f>
        <v>17778.952879581153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91533.199588477379</v>
      </c>
      <c r="D88" s="755">
        <f>+D86+D87</f>
        <v>86520.725646123261</v>
      </c>
      <c r="E88" s="755">
        <f>+E86+E87</f>
        <v>90262.073298429314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53121.76706827309</v>
      </c>
      <c r="D96" s="752">
        <f>IF(D82=0,0,D69/D82)</f>
        <v>67033.90967741936</v>
      </c>
      <c r="E96" s="752">
        <f>IF(E82=0,0,E69/E82)</f>
        <v>67991.033574720204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13361.113023522661</v>
      </c>
      <c r="D97" s="752">
        <f>IF(D82=0,0,D70/D82)</f>
        <v>15191.380645161291</v>
      </c>
      <c r="E97" s="752">
        <f>IF(E82=0,0,E70/E82)</f>
        <v>16677.366688610928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66482.880091795756</v>
      </c>
      <c r="D98" s="757">
        <f>+D96+D97</f>
        <v>82225.290322580651</v>
      </c>
      <c r="E98" s="757">
        <f>+E96+E97</f>
        <v>84668.400263331132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60208.504604051566</v>
      </c>
      <c r="D101" s="744">
        <f>IF(D83=0,0,D75/D83)</f>
        <v>68101.787949921752</v>
      </c>
      <c r="E101" s="744">
        <f>IF(E83=0,0,E75/E83)</f>
        <v>69725.04446240906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15242.666666666666</v>
      </c>
      <c r="D102" s="761">
        <f>IF(D83=0,0,D76/D83)</f>
        <v>15814.115805946793</v>
      </c>
      <c r="E102" s="761">
        <f>IF(E83=0,0,E76/E83)</f>
        <v>17102.594987873887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75451.171270718231</v>
      </c>
      <c r="D103" s="757">
        <f>+D101+D102</f>
        <v>83915.903755868552</v>
      </c>
      <c r="E103" s="757">
        <f>+E101+E102</f>
        <v>86827.63945028295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1658.0326183731283</v>
      </c>
      <c r="D108" s="744">
        <f>IF(D19=0,0,D77/D19)</f>
        <v>1800.3109786805439</v>
      </c>
      <c r="E108" s="744">
        <f>IF(E19=0,0,E77/E19)</f>
        <v>1741.0567352893499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7578.6137624861267</v>
      </c>
      <c r="D109" s="744">
        <f>IF(D20=0,0,D77/D20)</f>
        <v>7988.4189944134077</v>
      </c>
      <c r="E109" s="744">
        <f>IF(E20=0,0,E77/E20)</f>
        <v>7463.918693537179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720.92812098158129</v>
      </c>
      <c r="D110" s="744">
        <f>IF(D22=0,0,D77/D22)</f>
        <v>723.1829822676757</v>
      </c>
      <c r="E110" s="744">
        <f>IF(E22=0,0,E77/E22)</f>
        <v>724.97734843897513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3295.2522880974611</v>
      </c>
      <c r="D111" s="744">
        <f>IF(D23=0,0,D77/D23)</f>
        <v>3208.9393112614853</v>
      </c>
      <c r="E111" s="744">
        <f>IF(E23=0,0,E77/E23)</f>
        <v>3107.9814194023893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652.85745424562811</v>
      </c>
      <c r="D112" s="744">
        <f>IF(D29=0,0,D77/D29)</f>
        <v>671.54927200659438</v>
      </c>
      <c r="E112" s="744">
        <f>IF(E29=0,0,E77/E29)</f>
        <v>662.2243017195774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2984.1116711819222</v>
      </c>
      <c r="D113" s="744">
        <f>IF(D30=0,0,D77/D30)</f>
        <v>2979.8279429000245</v>
      </c>
      <c r="E113" s="744">
        <f>IF(E30=0,0,E77/E30)</f>
        <v>2838.958802854811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138431770</v>
      </c>
      <c r="D12" s="76">
        <v>147441042</v>
      </c>
      <c r="E12" s="76">
        <f t="shared" ref="E12:E21" si="0">D12-C12</f>
        <v>9009272</v>
      </c>
      <c r="F12" s="77">
        <f t="shared" ref="F12:F21" si="1">IF(C12=0,0,E12/C12)</f>
        <v>6.5080956488528602E-2</v>
      </c>
    </row>
    <row r="13" spans="1:8" ht="23.1" customHeight="1" x14ac:dyDescent="0.2">
      <c r="A13" s="74">
        <v>2</v>
      </c>
      <c r="B13" s="75" t="s">
        <v>72</v>
      </c>
      <c r="C13" s="76">
        <v>82582153</v>
      </c>
      <c r="D13" s="76">
        <v>89772556</v>
      </c>
      <c r="E13" s="76">
        <f t="shared" si="0"/>
        <v>7190403</v>
      </c>
      <c r="F13" s="77">
        <f t="shared" si="1"/>
        <v>8.7069696523896636E-2</v>
      </c>
    </row>
    <row r="14" spans="1:8" ht="23.1" customHeight="1" x14ac:dyDescent="0.2">
      <c r="A14" s="74">
        <v>3</v>
      </c>
      <c r="B14" s="75" t="s">
        <v>73</v>
      </c>
      <c r="C14" s="76">
        <v>760089</v>
      </c>
      <c r="D14" s="76">
        <v>941923</v>
      </c>
      <c r="E14" s="76">
        <f t="shared" si="0"/>
        <v>181834</v>
      </c>
      <c r="F14" s="77">
        <f t="shared" si="1"/>
        <v>0.23922724838801773</v>
      </c>
    </row>
    <row r="15" spans="1:8" ht="23.1" customHeight="1" x14ac:dyDescent="0.2">
      <c r="A15" s="74">
        <v>4</v>
      </c>
      <c r="B15" s="75" t="s">
        <v>74</v>
      </c>
      <c r="C15" s="76">
        <v>530703</v>
      </c>
      <c r="D15" s="76">
        <v>686153</v>
      </c>
      <c r="E15" s="76">
        <f t="shared" si="0"/>
        <v>155450</v>
      </c>
      <c r="F15" s="77">
        <f t="shared" si="1"/>
        <v>0.29291336208764601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54558825</v>
      </c>
      <c r="D16" s="79">
        <f>D12-D13-D14-D15</f>
        <v>56040410</v>
      </c>
      <c r="E16" s="79">
        <f t="shared" si="0"/>
        <v>1481585</v>
      </c>
      <c r="F16" s="80">
        <f t="shared" si="1"/>
        <v>2.715573511709609E-2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2293507</v>
      </c>
      <c r="E17" s="76">
        <f t="shared" si="0"/>
        <v>2293507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54558825</v>
      </c>
      <c r="D18" s="79">
        <f>D16-D17</f>
        <v>53746903</v>
      </c>
      <c r="E18" s="79">
        <f t="shared" si="0"/>
        <v>-811922</v>
      </c>
      <c r="F18" s="80">
        <f t="shared" si="1"/>
        <v>-1.4881588817207849E-2</v>
      </c>
    </row>
    <row r="19" spans="1:7" ht="23.1" customHeight="1" x14ac:dyDescent="0.2">
      <c r="A19" s="74">
        <v>6</v>
      </c>
      <c r="B19" s="75" t="s">
        <v>78</v>
      </c>
      <c r="C19" s="76">
        <v>453530</v>
      </c>
      <c r="D19" s="76">
        <v>429185</v>
      </c>
      <c r="E19" s="76">
        <f t="shared" si="0"/>
        <v>-24345</v>
      </c>
      <c r="F19" s="77">
        <f t="shared" si="1"/>
        <v>-5.3678918704385598E-2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55012355</v>
      </c>
      <c r="D21" s="79">
        <f>SUM(D18:D20)</f>
        <v>54176088</v>
      </c>
      <c r="E21" s="79">
        <f t="shared" si="0"/>
        <v>-836267</v>
      </c>
      <c r="F21" s="80">
        <f t="shared" si="1"/>
        <v>-1.5201439749307225E-2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17406817</v>
      </c>
      <c r="D24" s="76">
        <v>17249976</v>
      </c>
      <c r="E24" s="76">
        <f t="shared" ref="E24:E33" si="2">D24-C24</f>
        <v>-156841</v>
      </c>
      <c r="F24" s="77">
        <f t="shared" ref="F24:F33" si="3">IF(C24=0,0,E24/C24)</f>
        <v>-9.0103204968490225E-3</v>
      </c>
    </row>
    <row r="25" spans="1:7" ht="23.1" customHeight="1" x14ac:dyDescent="0.2">
      <c r="A25" s="74">
        <v>2</v>
      </c>
      <c r="B25" s="75" t="s">
        <v>83</v>
      </c>
      <c r="C25" s="76">
        <v>4042088</v>
      </c>
      <c r="D25" s="76">
        <v>4231182</v>
      </c>
      <c r="E25" s="76">
        <f t="shared" si="2"/>
        <v>189094</v>
      </c>
      <c r="F25" s="77">
        <f t="shared" si="3"/>
        <v>4.6781267503329962E-2</v>
      </c>
    </row>
    <row r="26" spans="1:7" ht="23.1" customHeight="1" x14ac:dyDescent="0.2">
      <c r="A26" s="74">
        <v>3</v>
      </c>
      <c r="B26" s="75" t="s">
        <v>84</v>
      </c>
      <c r="C26" s="76">
        <v>1399248</v>
      </c>
      <c r="D26" s="76">
        <v>1670355</v>
      </c>
      <c r="E26" s="76">
        <f t="shared" si="2"/>
        <v>271107</v>
      </c>
      <c r="F26" s="77">
        <f t="shared" si="3"/>
        <v>0.19375192960790366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6607624</v>
      </c>
      <c r="D27" s="76">
        <v>6628436</v>
      </c>
      <c r="E27" s="76">
        <f t="shared" si="2"/>
        <v>20812</v>
      </c>
      <c r="F27" s="77">
        <f t="shared" si="3"/>
        <v>3.1496949584298379E-3</v>
      </c>
    </row>
    <row r="28" spans="1:7" ht="23.1" customHeight="1" x14ac:dyDescent="0.2">
      <c r="A28" s="74">
        <v>5</v>
      </c>
      <c r="B28" s="75" t="s">
        <v>86</v>
      </c>
      <c r="C28" s="76">
        <v>3051773</v>
      </c>
      <c r="D28" s="76">
        <v>3004141</v>
      </c>
      <c r="E28" s="76">
        <f t="shared" si="2"/>
        <v>-47632</v>
      </c>
      <c r="F28" s="77">
        <f t="shared" si="3"/>
        <v>-1.5607976084721897E-2</v>
      </c>
    </row>
    <row r="29" spans="1:7" ht="23.1" customHeight="1" x14ac:dyDescent="0.2">
      <c r="A29" s="74">
        <v>6</v>
      </c>
      <c r="B29" s="75" t="s">
        <v>87</v>
      </c>
      <c r="C29" s="76">
        <v>2999367</v>
      </c>
      <c r="D29" s="76">
        <v>0</v>
      </c>
      <c r="E29" s="76">
        <f t="shared" si="2"/>
        <v>-2999367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136325</v>
      </c>
      <c r="D30" s="76">
        <v>0</v>
      </c>
      <c r="E30" s="76">
        <f t="shared" si="2"/>
        <v>-136325</v>
      </c>
      <c r="F30" s="77">
        <f t="shared" si="3"/>
        <v>-1</v>
      </c>
    </row>
    <row r="31" spans="1:7" ht="23.1" customHeight="1" x14ac:dyDescent="0.2">
      <c r="A31" s="74">
        <v>8</v>
      </c>
      <c r="B31" s="75" t="s">
        <v>89</v>
      </c>
      <c r="C31" s="76">
        <v>1113805</v>
      </c>
      <c r="D31" s="76">
        <v>1146180</v>
      </c>
      <c r="E31" s="76">
        <f t="shared" si="2"/>
        <v>32375</v>
      </c>
      <c r="F31" s="77">
        <f t="shared" si="3"/>
        <v>2.9067026993055339E-2</v>
      </c>
    </row>
    <row r="32" spans="1:7" ht="23.1" customHeight="1" x14ac:dyDescent="0.2">
      <c r="A32" s="74">
        <v>9</v>
      </c>
      <c r="B32" s="75" t="s">
        <v>90</v>
      </c>
      <c r="C32" s="76">
        <v>14988067</v>
      </c>
      <c r="D32" s="76">
        <v>15471215</v>
      </c>
      <c r="E32" s="76">
        <f t="shared" si="2"/>
        <v>483148</v>
      </c>
      <c r="F32" s="77">
        <f t="shared" si="3"/>
        <v>3.2235511090255999E-2</v>
      </c>
    </row>
    <row r="33" spans="1:6" ht="23.1" customHeight="1" x14ac:dyDescent="0.25">
      <c r="A33" s="71"/>
      <c r="B33" s="78" t="s">
        <v>91</v>
      </c>
      <c r="C33" s="79">
        <f>SUM(C24:C32)</f>
        <v>51745114</v>
      </c>
      <c r="D33" s="79">
        <f>SUM(D24:D32)</f>
        <v>49401485</v>
      </c>
      <c r="E33" s="79">
        <f t="shared" si="2"/>
        <v>-2343629</v>
      </c>
      <c r="F33" s="80">
        <f t="shared" si="3"/>
        <v>-4.529179315364925E-2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3267241</v>
      </c>
      <c r="D35" s="79">
        <f>+D21-D33</f>
        <v>4774603</v>
      </c>
      <c r="E35" s="79">
        <f>D35-C35</f>
        <v>1507362</v>
      </c>
      <c r="F35" s="80">
        <f>IF(C35=0,0,E35/C35)</f>
        <v>0.46135623298067086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0</v>
      </c>
      <c r="D41" s="79">
        <f>SUM(D38:D40)</f>
        <v>0</v>
      </c>
      <c r="E41" s="79">
        <f>D41-C41</f>
        <v>0</v>
      </c>
      <c r="F41" s="80">
        <f>IF(C41=0,0,E41/C41)</f>
        <v>0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3267241</v>
      </c>
      <c r="D43" s="79">
        <f>D35+D41</f>
        <v>4774603</v>
      </c>
      <c r="E43" s="79">
        <f>D43-C43</f>
        <v>1507362</v>
      </c>
      <c r="F43" s="80">
        <f>IF(C43=0,0,E43/C43)</f>
        <v>0.46135623298067086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3267241</v>
      </c>
      <c r="D50" s="79">
        <f>D43+D48</f>
        <v>4774603</v>
      </c>
      <c r="E50" s="79">
        <f>D50-C50</f>
        <v>1507362</v>
      </c>
      <c r="F50" s="80">
        <f>IF(C50=0,0,E50/C50)</f>
        <v>0.46135623298067086</v>
      </c>
    </row>
    <row r="51" spans="1:6" ht="23.1" customHeight="1" x14ac:dyDescent="0.2">
      <c r="A51" s="85"/>
      <c r="B51" s="75" t="s">
        <v>104</v>
      </c>
      <c r="C51" s="76">
        <v>33687500</v>
      </c>
      <c r="D51" s="76">
        <v>1</v>
      </c>
      <c r="E51" s="76">
        <f>D51-C51</f>
        <v>-33687499</v>
      </c>
      <c r="F51" s="77">
        <f>IF(C51=0,0,E51/C51)</f>
        <v>-0.99999997031539889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35467622</v>
      </c>
      <c r="D14" s="113">
        <v>36676202</v>
      </c>
      <c r="E14" s="113">
        <f t="shared" ref="E14:E25" si="0">D14-C14</f>
        <v>1208580</v>
      </c>
      <c r="F14" s="114">
        <f t="shared" ref="F14:F25" si="1">IF(C14=0,0,E14/C14)</f>
        <v>3.4075585896342304E-2</v>
      </c>
    </row>
    <row r="15" spans="1:6" x14ac:dyDescent="0.2">
      <c r="A15" s="115">
        <v>2</v>
      </c>
      <c r="B15" s="116" t="s">
        <v>114</v>
      </c>
      <c r="C15" s="113">
        <v>2076585</v>
      </c>
      <c r="D15" s="113">
        <v>2429623</v>
      </c>
      <c r="E15" s="113">
        <f t="shared" si="0"/>
        <v>353038</v>
      </c>
      <c r="F15" s="114">
        <f t="shared" si="1"/>
        <v>0.17000893293556488</v>
      </c>
    </row>
    <row r="16" spans="1:6" x14ac:dyDescent="0.2">
      <c r="A16" s="115">
        <v>3</v>
      </c>
      <c r="B16" s="116" t="s">
        <v>115</v>
      </c>
      <c r="C16" s="113">
        <v>2432769</v>
      </c>
      <c r="D16" s="113">
        <v>3175671</v>
      </c>
      <c r="E16" s="113">
        <f t="shared" si="0"/>
        <v>742902</v>
      </c>
      <c r="F16" s="114">
        <f t="shared" si="1"/>
        <v>0.30537301322073734</v>
      </c>
    </row>
    <row r="17" spans="1:6" x14ac:dyDescent="0.2">
      <c r="A17" s="115">
        <v>4</v>
      </c>
      <c r="B17" s="116" t="s">
        <v>116</v>
      </c>
      <c r="C17" s="113">
        <v>519547</v>
      </c>
      <c r="D17" s="113">
        <v>0</v>
      </c>
      <c r="E17" s="113">
        <f t="shared" si="0"/>
        <v>-519547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163314</v>
      </c>
      <c r="D18" s="113">
        <v>85024</v>
      </c>
      <c r="E18" s="113">
        <f t="shared" si="0"/>
        <v>-78290</v>
      </c>
      <c r="F18" s="114">
        <f t="shared" si="1"/>
        <v>-0.47938327393854785</v>
      </c>
    </row>
    <row r="19" spans="1:6" x14ac:dyDescent="0.2">
      <c r="A19" s="115">
        <v>6</v>
      </c>
      <c r="B19" s="116" t="s">
        <v>118</v>
      </c>
      <c r="C19" s="113">
        <v>836166</v>
      </c>
      <c r="D19" s="113">
        <v>831093</v>
      </c>
      <c r="E19" s="113">
        <f t="shared" si="0"/>
        <v>-5073</v>
      </c>
      <c r="F19" s="114">
        <f t="shared" si="1"/>
        <v>-6.0669771313351653E-3</v>
      </c>
    </row>
    <row r="20" spans="1:6" x14ac:dyDescent="0.2">
      <c r="A20" s="115">
        <v>7</v>
      </c>
      <c r="B20" s="116" t="s">
        <v>119</v>
      </c>
      <c r="C20" s="113">
        <v>9493463</v>
      </c>
      <c r="D20" s="113">
        <v>12763569</v>
      </c>
      <c r="E20" s="113">
        <f t="shared" si="0"/>
        <v>3270106</v>
      </c>
      <c r="F20" s="114">
        <f t="shared" si="1"/>
        <v>0.34445870806048329</v>
      </c>
    </row>
    <row r="21" spans="1:6" x14ac:dyDescent="0.2">
      <c r="A21" s="115">
        <v>8</v>
      </c>
      <c r="B21" s="116" t="s">
        <v>120</v>
      </c>
      <c r="C21" s="113">
        <v>681336</v>
      </c>
      <c r="D21" s="113">
        <v>993977</v>
      </c>
      <c r="E21" s="113">
        <f t="shared" si="0"/>
        <v>312641</v>
      </c>
      <c r="F21" s="114">
        <f t="shared" si="1"/>
        <v>0.4588646424084446</v>
      </c>
    </row>
    <row r="22" spans="1:6" x14ac:dyDescent="0.2">
      <c r="A22" s="115">
        <v>9</v>
      </c>
      <c r="B22" s="116" t="s">
        <v>121</v>
      </c>
      <c r="C22" s="113">
        <v>1345419</v>
      </c>
      <c r="D22" s="113">
        <v>1089118</v>
      </c>
      <c r="E22" s="113">
        <f t="shared" si="0"/>
        <v>-256301</v>
      </c>
      <c r="F22" s="114">
        <f t="shared" si="1"/>
        <v>-0.19049901926463056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2591672</v>
      </c>
      <c r="D24" s="113">
        <v>3350285</v>
      </c>
      <c r="E24" s="113">
        <f t="shared" si="0"/>
        <v>758613</v>
      </c>
      <c r="F24" s="114">
        <f t="shared" si="1"/>
        <v>0.29271180921042478</v>
      </c>
    </row>
    <row r="25" spans="1:6" ht="15.75" x14ac:dyDescent="0.25">
      <c r="A25" s="117"/>
      <c r="B25" s="118" t="s">
        <v>124</v>
      </c>
      <c r="C25" s="119">
        <f>SUM(C14:C24)</f>
        <v>55607893</v>
      </c>
      <c r="D25" s="119">
        <f>SUM(D14:D24)</f>
        <v>61394562</v>
      </c>
      <c r="E25" s="119">
        <f t="shared" si="0"/>
        <v>5786669</v>
      </c>
      <c r="F25" s="120">
        <f t="shared" si="1"/>
        <v>0.10406200788798094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32310270</v>
      </c>
      <c r="D27" s="113">
        <v>34570289</v>
      </c>
      <c r="E27" s="113">
        <f t="shared" ref="E27:E38" si="2">D27-C27</f>
        <v>2260019</v>
      </c>
      <c r="F27" s="114">
        <f t="shared" ref="F27:F38" si="3">IF(C27=0,0,E27/C27)</f>
        <v>6.9947388245285472E-2</v>
      </c>
    </row>
    <row r="28" spans="1:6" x14ac:dyDescent="0.2">
      <c r="A28" s="115">
        <v>2</v>
      </c>
      <c r="B28" s="116" t="s">
        <v>114</v>
      </c>
      <c r="C28" s="113">
        <v>1538955</v>
      </c>
      <c r="D28" s="113">
        <v>2344986</v>
      </c>
      <c r="E28" s="113">
        <f t="shared" si="2"/>
        <v>806031</v>
      </c>
      <c r="F28" s="114">
        <f t="shared" si="3"/>
        <v>0.52375215649580398</v>
      </c>
    </row>
    <row r="29" spans="1:6" x14ac:dyDescent="0.2">
      <c r="A29" s="115">
        <v>3</v>
      </c>
      <c r="B29" s="116" t="s">
        <v>115</v>
      </c>
      <c r="C29" s="113">
        <v>4582520</v>
      </c>
      <c r="D29" s="113">
        <v>5267908</v>
      </c>
      <c r="E29" s="113">
        <f t="shared" si="2"/>
        <v>685388</v>
      </c>
      <c r="F29" s="114">
        <f t="shared" si="3"/>
        <v>0.14956574112060614</v>
      </c>
    </row>
    <row r="30" spans="1:6" x14ac:dyDescent="0.2">
      <c r="A30" s="115">
        <v>4</v>
      </c>
      <c r="B30" s="116" t="s">
        <v>116</v>
      </c>
      <c r="C30" s="113">
        <v>529525</v>
      </c>
      <c r="D30" s="113">
        <v>0</v>
      </c>
      <c r="E30" s="113">
        <f t="shared" si="2"/>
        <v>-529525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200223</v>
      </c>
      <c r="D31" s="113">
        <v>190495</v>
      </c>
      <c r="E31" s="113">
        <f t="shared" si="2"/>
        <v>-9728</v>
      </c>
      <c r="F31" s="114">
        <f t="shared" si="3"/>
        <v>-4.8585826803114525E-2</v>
      </c>
    </row>
    <row r="32" spans="1:6" x14ac:dyDescent="0.2">
      <c r="A32" s="115">
        <v>6</v>
      </c>
      <c r="B32" s="116" t="s">
        <v>118</v>
      </c>
      <c r="C32" s="113">
        <v>2589428</v>
      </c>
      <c r="D32" s="113">
        <v>2195771</v>
      </c>
      <c r="E32" s="113">
        <f t="shared" si="2"/>
        <v>-393657</v>
      </c>
      <c r="F32" s="114">
        <f t="shared" si="3"/>
        <v>-0.15202469425680112</v>
      </c>
    </row>
    <row r="33" spans="1:6" x14ac:dyDescent="0.2">
      <c r="A33" s="115">
        <v>7</v>
      </c>
      <c r="B33" s="116" t="s">
        <v>119</v>
      </c>
      <c r="C33" s="113">
        <v>33253822</v>
      </c>
      <c r="D33" s="113">
        <v>32832605</v>
      </c>
      <c r="E33" s="113">
        <f t="shared" si="2"/>
        <v>-421217</v>
      </c>
      <c r="F33" s="114">
        <f t="shared" si="3"/>
        <v>-1.2666724444486412E-2</v>
      </c>
    </row>
    <row r="34" spans="1:6" x14ac:dyDescent="0.2">
      <c r="A34" s="115">
        <v>8</v>
      </c>
      <c r="B34" s="116" t="s">
        <v>120</v>
      </c>
      <c r="C34" s="113">
        <v>1748587</v>
      </c>
      <c r="D34" s="113">
        <v>1824730</v>
      </c>
      <c r="E34" s="113">
        <f t="shared" si="2"/>
        <v>76143</v>
      </c>
      <c r="F34" s="114">
        <f t="shared" si="3"/>
        <v>4.3545445551179326E-2</v>
      </c>
    </row>
    <row r="35" spans="1:6" x14ac:dyDescent="0.2">
      <c r="A35" s="115">
        <v>9</v>
      </c>
      <c r="B35" s="116" t="s">
        <v>121</v>
      </c>
      <c r="C35" s="113">
        <v>2566254</v>
      </c>
      <c r="D35" s="113">
        <v>2713314</v>
      </c>
      <c r="E35" s="113">
        <f t="shared" si="2"/>
        <v>147060</v>
      </c>
      <c r="F35" s="114">
        <f t="shared" si="3"/>
        <v>5.7305317400382035E-2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3504293</v>
      </c>
      <c r="D37" s="113">
        <v>4106382</v>
      </c>
      <c r="E37" s="113">
        <f t="shared" si="2"/>
        <v>602089</v>
      </c>
      <c r="F37" s="114">
        <f t="shared" si="3"/>
        <v>0.17181468558707846</v>
      </c>
    </row>
    <row r="38" spans="1:6" ht="15.75" x14ac:dyDescent="0.25">
      <c r="A38" s="117"/>
      <c r="B38" s="118" t="s">
        <v>126</v>
      </c>
      <c r="C38" s="119">
        <f>SUM(C27:C37)</f>
        <v>82823877</v>
      </c>
      <c r="D38" s="119">
        <f>SUM(D27:D37)</f>
        <v>86046480</v>
      </c>
      <c r="E38" s="119">
        <f t="shared" si="2"/>
        <v>3222603</v>
      </c>
      <c r="F38" s="120">
        <f t="shared" si="3"/>
        <v>3.8909105885009461E-2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67777892</v>
      </c>
      <c r="D41" s="119">
        <f t="shared" si="4"/>
        <v>71246491</v>
      </c>
      <c r="E41" s="123">
        <f t="shared" ref="E41:E52" si="5">D41-C41</f>
        <v>3468599</v>
      </c>
      <c r="F41" s="124">
        <f t="shared" ref="F41:F52" si="6">IF(C41=0,0,E41/C41)</f>
        <v>5.1175964575587568E-2</v>
      </c>
    </row>
    <row r="42" spans="1:6" ht="15.75" x14ac:dyDescent="0.25">
      <c r="A42" s="121">
        <v>2</v>
      </c>
      <c r="B42" s="122" t="s">
        <v>114</v>
      </c>
      <c r="C42" s="119">
        <f t="shared" si="4"/>
        <v>3615540</v>
      </c>
      <c r="D42" s="119">
        <f t="shared" si="4"/>
        <v>4774609</v>
      </c>
      <c r="E42" s="123">
        <f t="shared" si="5"/>
        <v>1159069</v>
      </c>
      <c r="F42" s="124">
        <f t="shared" si="6"/>
        <v>0.32057977508200713</v>
      </c>
    </row>
    <row r="43" spans="1:6" ht="15.75" x14ac:dyDescent="0.25">
      <c r="A43" s="121">
        <v>3</v>
      </c>
      <c r="B43" s="122" t="s">
        <v>115</v>
      </c>
      <c r="C43" s="119">
        <f t="shared" si="4"/>
        <v>7015289</v>
      </c>
      <c r="D43" s="119">
        <f t="shared" si="4"/>
        <v>8443579</v>
      </c>
      <c r="E43" s="123">
        <f t="shared" si="5"/>
        <v>1428290</v>
      </c>
      <c r="F43" s="124">
        <f t="shared" si="6"/>
        <v>0.20359674419685347</v>
      </c>
    </row>
    <row r="44" spans="1:6" ht="15.75" x14ac:dyDescent="0.25">
      <c r="A44" s="121">
        <v>4</v>
      </c>
      <c r="B44" s="122" t="s">
        <v>116</v>
      </c>
      <c r="C44" s="119">
        <f t="shared" si="4"/>
        <v>1049072</v>
      </c>
      <c r="D44" s="119">
        <f t="shared" si="4"/>
        <v>0</v>
      </c>
      <c r="E44" s="123">
        <f t="shared" si="5"/>
        <v>-1049072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363537</v>
      </c>
      <c r="D45" s="119">
        <f t="shared" si="4"/>
        <v>275519</v>
      </c>
      <c r="E45" s="123">
        <f t="shared" si="5"/>
        <v>-88018</v>
      </c>
      <c r="F45" s="124">
        <f t="shared" si="6"/>
        <v>-0.2421156581035768</v>
      </c>
    </row>
    <row r="46" spans="1:6" ht="15.75" x14ac:dyDescent="0.25">
      <c r="A46" s="121">
        <v>6</v>
      </c>
      <c r="B46" s="122" t="s">
        <v>118</v>
      </c>
      <c r="C46" s="119">
        <f t="shared" si="4"/>
        <v>3425594</v>
      </c>
      <c r="D46" s="119">
        <f t="shared" si="4"/>
        <v>3026864</v>
      </c>
      <c r="E46" s="123">
        <f t="shared" si="5"/>
        <v>-398730</v>
      </c>
      <c r="F46" s="124">
        <f t="shared" si="6"/>
        <v>-0.11639733138252811</v>
      </c>
    </row>
    <row r="47" spans="1:6" ht="15.75" x14ac:dyDescent="0.25">
      <c r="A47" s="121">
        <v>7</v>
      </c>
      <c r="B47" s="122" t="s">
        <v>119</v>
      </c>
      <c r="C47" s="119">
        <f t="shared" si="4"/>
        <v>42747285</v>
      </c>
      <c r="D47" s="119">
        <f t="shared" si="4"/>
        <v>45596174</v>
      </c>
      <c r="E47" s="123">
        <f t="shared" si="5"/>
        <v>2848889</v>
      </c>
      <c r="F47" s="124">
        <f t="shared" si="6"/>
        <v>6.6644910899019666E-2</v>
      </c>
    </row>
    <row r="48" spans="1:6" ht="15.75" x14ac:dyDescent="0.25">
      <c r="A48" s="121">
        <v>8</v>
      </c>
      <c r="B48" s="122" t="s">
        <v>120</v>
      </c>
      <c r="C48" s="119">
        <f t="shared" si="4"/>
        <v>2429923</v>
      </c>
      <c r="D48" s="119">
        <f t="shared" si="4"/>
        <v>2818707</v>
      </c>
      <c r="E48" s="123">
        <f t="shared" si="5"/>
        <v>388784</v>
      </c>
      <c r="F48" s="124">
        <f t="shared" si="6"/>
        <v>0.15999848554871904</v>
      </c>
    </row>
    <row r="49" spans="1:6" ht="15.75" x14ac:dyDescent="0.25">
      <c r="A49" s="121">
        <v>9</v>
      </c>
      <c r="B49" s="122" t="s">
        <v>121</v>
      </c>
      <c r="C49" s="119">
        <f t="shared" si="4"/>
        <v>3911673</v>
      </c>
      <c r="D49" s="119">
        <f t="shared" si="4"/>
        <v>3802432</v>
      </c>
      <c r="E49" s="123">
        <f t="shared" si="5"/>
        <v>-109241</v>
      </c>
      <c r="F49" s="124">
        <f t="shared" si="6"/>
        <v>-2.792692538461165E-2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6095965</v>
      </c>
      <c r="D51" s="119">
        <f t="shared" si="4"/>
        <v>7456667</v>
      </c>
      <c r="E51" s="123">
        <f t="shared" si="5"/>
        <v>1360702</v>
      </c>
      <c r="F51" s="124">
        <f t="shared" si="6"/>
        <v>0.22321355191507825</v>
      </c>
    </row>
    <row r="52" spans="1:6" ht="18.75" customHeight="1" thickBot="1" x14ac:dyDescent="0.3">
      <c r="A52" s="125"/>
      <c r="B52" s="126" t="s">
        <v>128</v>
      </c>
      <c r="C52" s="127">
        <f>SUM(C41:C51)</f>
        <v>138431770</v>
      </c>
      <c r="D52" s="128">
        <f>SUM(D41:D51)</f>
        <v>147441042</v>
      </c>
      <c r="E52" s="127">
        <f t="shared" si="5"/>
        <v>9009272</v>
      </c>
      <c r="F52" s="129">
        <f t="shared" si="6"/>
        <v>6.5080956488528602E-2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16077320</v>
      </c>
      <c r="D57" s="113">
        <v>16984341</v>
      </c>
      <c r="E57" s="113">
        <f t="shared" ref="E57:E68" si="7">D57-C57</f>
        <v>907021</v>
      </c>
      <c r="F57" s="114">
        <f t="shared" ref="F57:F68" si="8">IF(C57=0,0,E57/C57)</f>
        <v>5.641618130384915E-2</v>
      </c>
    </row>
    <row r="58" spans="1:6" x14ac:dyDescent="0.2">
      <c r="A58" s="115">
        <v>2</v>
      </c>
      <c r="B58" s="116" t="s">
        <v>114</v>
      </c>
      <c r="C58" s="113">
        <v>977973</v>
      </c>
      <c r="D58" s="113">
        <v>986423</v>
      </c>
      <c r="E58" s="113">
        <f t="shared" si="7"/>
        <v>8450</v>
      </c>
      <c r="F58" s="114">
        <f t="shared" si="8"/>
        <v>8.6403203360419963E-3</v>
      </c>
    </row>
    <row r="59" spans="1:6" x14ac:dyDescent="0.2">
      <c r="A59" s="115">
        <v>3</v>
      </c>
      <c r="B59" s="116" t="s">
        <v>115</v>
      </c>
      <c r="C59" s="113">
        <v>673522</v>
      </c>
      <c r="D59" s="113">
        <v>819553</v>
      </c>
      <c r="E59" s="113">
        <f t="shared" si="7"/>
        <v>146031</v>
      </c>
      <c r="F59" s="114">
        <f t="shared" si="8"/>
        <v>0.21681697108631937</v>
      </c>
    </row>
    <row r="60" spans="1:6" x14ac:dyDescent="0.2">
      <c r="A60" s="115">
        <v>4</v>
      </c>
      <c r="B60" s="116" t="s">
        <v>116</v>
      </c>
      <c r="C60" s="113">
        <v>117631</v>
      </c>
      <c r="D60" s="113">
        <v>0</v>
      </c>
      <c r="E60" s="113">
        <f t="shared" si="7"/>
        <v>-117631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161130</v>
      </c>
      <c r="D61" s="113">
        <v>77524</v>
      </c>
      <c r="E61" s="113">
        <f t="shared" si="7"/>
        <v>-83606</v>
      </c>
      <c r="F61" s="114">
        <f t="shared" si="8"/>
        <v>-0.51887295972196368</v>
      </c>
    </row>
    <row r="62" spans="1:6" x14ac:dyDescent="0.2">
      <c r="A62" s="115">
        <v>6</v>
      </c>
      <c r="B62" s="116" t="s">
        <v>118</v>
      </c>
      <c r="C62" s="113">
        <v>471691</v>
      </c>
      <c r="D62" s="113">
        <v>709886</v>
      </c>
      <c r="E62" s="113">
        <f t="shared" si="7"/>
        <v>238195</v>
      </c>
      <c r="F62" s="114">
        <f t="shared" si="8"/>
        <v>0.50498101511370797</v>
      </c>
    </row>
    <row r="63" spans="1:6" x14ac:dyDescent="0.2">
      <c r="A63" s="115">
        <v>7</v>
      </c>
      <c r="B63" s="116" t="s">
        <v>119</v>
      </c>
      <c r="C63" s="113">
        <v>4326229</v>
      </c>
      <c r="D63" s="113">
        <v>5526677</v>
      </c>
      <c r="E63" s="113">
        <f t="shared" si="7"/>
        <v>1200448</v>
      </c>
      <c r="F63" s="114">
        <f t="shared" si="8"/>
        <v>0.27748138159121949</v>
      </c>
    </row>
    <row r="64" spans="1:6" x14ac:dyDescent="0.2">
      <c r="A64" s="115">
        <v>8</v>
      </c>
      <c r="B64" s="116" t="s">
        <v>120</v>
      </c>
      <c r="C64" s="113">
        <v>208858</v>
      </c>
      <c r="D64" s="113">
        <v>216707</v>
      </c>
      <c r="E64" s="113">
        <f t="shared" si="7"/>
        <v>7849</v>
      </c>
      <c r="F64" s="114">
        <f t="shared" si="8"/>
        <v>3.7580557124936562E-2</v>
      </c>
    </row>
    <row r="65" spans="1:6" x14ac:dyDescent="0.2">
      <c r="A65" s="115">
        <v>9</v>
      </c>
      <c r="B65" s="116" t="s">
        <v>121</v>
      </c>
      <c r="C65" s="113">
        <v>215382</v>
      </c>
      <c r="D65" s="113">
        <v>224283</v>
      </c>
      <c r="E65" s="113">
        <f t="shared" si="7"/>
        <v>8901</v>
      </c>
      <c r="F65" s="114">
        <f t="shared" si="8"/>
        <v>4.1326573251246619E-2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743895</v>
      </c>
      <c r="D67" s="113">
        <v>1196216</v>
      </c>
      <c r="E67" s="113">
        <f t="shared" si="7"/>
        <v>452321</v>
      </c>
      <c r="F67" s="114">
        <f t="shared" si="8"/>
        <v>0.6080441460152306</v>
      </c>
    </row>
    <row r="68" spans="1:6" ht="15.75" x14ac:dyDescent="0.25">
      <c r="A68" s="117"/>
      <c r="B68" s="118" t="s">
        <v>131</v>
      </c>
      <c r="C68" s="119">
        <f>SUM(C57:C67)</f>
        <v>23973631</v>
      </c>
      <c r="D68" s="119">
        <f>SUM(D57:D67)</f>
        <v>26741610</v>
      </c>
      <c r="E68" s="119">
        <f t="shared" si="7"/>
        <v>2767979</v>
      </c>
      <c r="F68" s="120">
        <f t="shared" si="8"/>
        <v>0.11545931444427421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7059493</v>
      </c>
      <c r="D70" s="113">
        <v>7008274</v>
      </c>
      <c r="E70" s="113">
        <f t="shared" ref="E70:E81" si="9">D70-C70</f>
        <v>-51219</v>
      </c>
      <c r="F70" s="114">
        <f t="shared" ref="F70:F81" si="10">IF(C70=0,0,E70/C70)</f>
        <v>-7.2553368917569576E-3</v>
      </c>
    </row>
    <row r="71" spans="1:6" x14ac:dyDescent="0.2">
      <c r="A71" s="115">
        <v>2</v>
      </c>
      <c r="B71" s="116" t="s">
        <v>114</v>
      </c>
      <c r="C71" s="113">
        <v>358752</v>
      </c>
      <c r="D71" s="113">
        <v>519504</v>
      </c>
      <c r="E71" s="113">
        <f t="shared" si="9"/>
        <v>160752</v>
      </c>
      <c r="F71" s="114">
        <f t="shared" si="10"/>
        <v>0.4480867005619481</v>
      </c>
    </row>
    <row r="72" spans="1:6" x14ac:dyDescent="0.2">
      <c r="A72" s="115">
        <v>3</v>
      </c>
      <c r="B72" s="116" t="s">
        <v>115</v>
      </c>
      <c r="C72" s="113">
        <v>1093344</v>
      </c>
      <c r="D72" s="113">
        <v>1271376</v>
      </c>
      <c r="E72" s="113">
        <f t="shared" si="9"/>
        <v>178032</v>
      </c>
      <c r="F72" s="114">
        <f t="shared" si="10"/>
        <v>0.16283255773114408</v>
      </c>
    </row>
    <row r="73" spans="1:6" x14ac:dyDescent="0.2">
      <c r="A73" s="115">
        <v>4</v>
      </c>
      <c r="B73" s="116" t="s">
        <v>116</v>
      </c>
      <c r="C73" s="113">
        <v>118410</v>
      </c>
      <c r="D73" s="113">
        <v>0</v>
      </c>
      <c r="E73" s="113">
        <f t="shared" si="9"/>
        <v>-118410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55611</v>
      </c>
      <c r="D74" s="113">
        <v>41971</v>
      </c>
      <c r="E74" s="113">
        <f t="shared" si="9"/>
        <v>-13640</v>
      </c>
      <c r="F74" s="114">
        <f t="shared" si="10"/>
        <v>-0.24527521533509558</v>
      </c>
    </row>
    <row r="75" spans="1:6" x14ac:dyDescent="0.2">
      <c r="A75" s="115">
        <v>6</v>
      </c>
      <c r="B75" s="116" t="s">
        <v>118</v>
      </c>
      <c r="C75" s="113">
        <v>1404786</v>
      </c>
      <c r="D75" s="113">
        <v>1160652</v>
      </c>
      <c r="E75" s="113">
        <f t="shared" si="9"/>
        <v>-244134</v>
      </c>
      <c r="F75" s="114">
        <f t="shared" si="10"/>
        <v>-0.17378732419030371</v>
      </c>
    </row>
    <row r="76" spans="1:6" x14ac:dyDescent="0.2">
      <c r="A76" s="115">
        <v>7</v>
      </c>
      <c r="B76" s="116" t="s">
        <v>119</v>
      </c>
      <c r="C76" s="113">
        <v>15669085</v>
      </c>
      <c r="D76" s="113">
        <v>14371540</v>
      </c>
      <c r="E76" s="113">
        <f t="shared" si="9"/>
        <v>-1297545</v>
      </c>
      <c r="F76" s="114">
        <f t="shared" si="10"/>
        <v>-8.2809238701557875E-2</v>
      </c>
    </row>
    <row r="77" spans="1:6" x14ac:dyDescent="0.2">
      <c r="A77" s="115">
        <v>8</v>
      </c>
      <c r="B77" s="116" t="s">
        <v>120</v>
      </c>
      <c r="C77" s="113">
        <v>581029</v>
      </c>
      <c r="D77" s="113">
        <v>518962</v>
      </c>
      <c r="E77" s="113">
        <f t="shared" si="9"/>
        <v>-62067</v>
      </c>
      <c r="F77" s="114">
        <f t="shared" si="10"/>
        <v>-0.10682255102585241</v>
      </c>
    </row>
    <row r="78" spans="1:6" x14ac:dyDescent="0.2">
      <c r="A78" s="115">
        <v>9</v>
      </c>
      <c r="B78" s="116" t="s">
        <v>121</v>
      </c>
      <c r="C78" s="113">
        <v>464737</v>
      </c>
      <c r="D78" s="113">
        <v>426841</v>
      </c>
      <c r="E78" s="113">
        <f t="shared" si="9"/>
        <v>-37896</v>
      </c>
      <c r="F78" s="114">
        <f t="shared" si="10"/>
        <v>-8.1542894153037088E-2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522404</v>
      </c>
      <c r="D80" s="113">
        <v>565931</v>
      </c>
      <c r="E80" s="113">
        <f t="shared" si="9"/>
        <v>43527</v>
      </c>
      <c r="F80" s="114">
        <f t="shared" si="10"/>
        <v>8.3320571817979958E-2</v>
      </c>
    </row>
    <row r="81" spans="1:6" ht="15.75" x14ac:dyDescent="0.25">
      <c r="A81" s="117"/>
      <c r="B81" s="118" t="s">
        <v>133</v>
      </c>
      <c r="C81" s="119">
        <f>SUM(C70:C80)</f>
        <v>27327651</v>
      </c>
      <c r="D81" s="119">
        <f>SUM(D70:D80)</f>
        <v>25885051</v>
      </c>
      <c r="E81" s="119">
        <f t="shared" si="9"/>
        <v>-1442600</v>
      </c>
      <c r="F81" s="120">
        <f t="shared" si="10"/>
        <v>-5.2789023103376138E-2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23136813</v>
      </c>
      <c r="D84" s="119">
        <f t="shared" si="11"/>
        <v>23992615</v>
      </c>
      <c r="E84" s="119">
        <f t="shared" ref="E84:E95" si="12">D84-C84</f>
        <v>855802</v>
      </c>
      <c r="F84" s="120">
        <f t="shared" ref="F84:F95" si="13">IF(C84=0,0,E84/C84)</f>
        <v>3.6988758996323305E-2</v>
      </c>
    </row>
    <row r="85" spans="1:6" ht="15.75" x14ac:dyDescent="0.25">
      <c r="A85" s="130">
        <v>2</v>
      </c>
      <c r="B85" s="122" t="s">
        <v>114</v>
      </c>
      <c r="C85" s="119">
        <f t="shared" si="11"/>
        <v>1336725</v>
      </c>
      <c r="D85" s="119">
        <f t="shared" si="11"/>
        <v>1505927</v>
      </c>
      <c r="E85" s="119">
        <f t="shared" si="12"/>
        <v>169202</v>
      </c>
      <c r="F85" s="120">
        <f t="shared" si="13"/>
        <v>0.12657951336288317</v>
      </c>
    </row>
    <row r="86" spans="1:6" ht="15.75" x14ac:dyDescent="0.25">
      <c r="A86" s="130">
        <v>3</v>
      </c>
      <c r="B86" s="122" t="s">
        <v>115</v>
      </c>
      <c r="C86" s="119">
        <f t="shared" si="11"/>
        <v>1766866</v>
      </c>
      <c r="D86" s="119">
        <f t="shared" si="11"/>
        <v>2090929</v>
      </c>
      <c r="E86" s="119">
        <f t="shared" si="12"/>
        <v>324063</v>
      </c>
      <c r="F86" s="120">
        <f t="shared" si="13"/>
        <v>0.18341119247300022</v>
      </c>
    </row>
    <row r="87" spans="1:6" ht="15.75" x14ac:dyDescent="0.25">
      <c r="A87" s="130">
        <v>4</v>
      </c>
      <c r="B87" s="122" t="s">
        <v>116</v>
      </c>
      <c r="C87" s="119">
        <f t="shared" si="11"/>
        <v>236041</v>
      </c>
      <c r="D87" s="119">
        <f t="shared" si="11"/>
        <v>0</v>
      </c>
      <c r="E87" s="119">
        <f t="shared" si="12"/>
        <v>-236041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216741</v>
      </c>
      <c r="D88" s="119">
        <f t="shared" si="11"/>
        <v>119495</v>
      </c>
      <c r="E88" s="119">
        <f t="shared" si="12"/>
        <v>-97246</v>
      </c>
      <c r="F88" s="120">
        <f t="shared" si="13"/>
        <v>-0.448673762693722</v>
      </c>
    </row>
    <row r="89" spans="1:6" ht="15.75" x14ac:dyDescent="0.25">
      <c r="A89" s="130">
        <v>6</v>
      </c>
      <c r="B89" s="122" t="s">
        <v>118</v>
      </c>
      <c r="C89" s="119">
        <f t="shared" si="11"/>
        <v>1876477</v>
      </c>
      <c r="D89" s="119">
        <f t="shared" si="11"/>
        <v>1870538</v>
      </c>
      <c r="E89" s="119">
        <f t="shared" si="12"/>
        <v>-5939</v>
      </c>
      <c r="F89" s="120">
        <f t="shared" si="13"/>
        <v>-3.1649735115325153E-3</v>
      </c>
    </row>
    <row r="90" spans="1:6" ht="15.75" x14ac:dyDescent="0.25">
      <c r="A90" s="130">
        <v>7</v>
      </c>
      <c r="B90" s="122" t="s">
        <v>119</v>
      </c>
      <c r="C90" s="119">
        <f t="shared" si="11"/>
        <v>19995314</v>
      </c>
      <c r="D90" s="119">
        <f t="shared" si="11"/>
        <v>19898217</v>
      </c>
      <c r="E90" s="119">
        <f t="shared" si="12"/>
        <v>-97097</v>
      </c>
      <c r="F90" s="120">
        <f t="shared" si="13"/>
        <v>-4.8559877579316835E-3</v>
      </c>
    </row>
    <row r="91" spans="1:6" ht="15.75" x14ac:dyDescent="0.25">
      <c r="A91" s="130">
        <v>8</v>
      </c>
      <c r="B91" s="122" t="s">
        <v>120</v>
      </c>
      <c r="C91" s="119">
        <f t="shared" si="11"/>
        <v>789887</v>
      </c>
      <c r="D91" s="119">
        <f t="shared" si="11"/>
        <v>735669</v>
      </c>
      <c r="E91" s="119">
        <f t="shared" si="12"/>
        <v>-54218</v>
      </c>
      <c r="F91" s="120">
        <f t="shared" si="13"/>
        <v>-6.8640197901725181E-2</v>
      </c>
    </row>
    <row r="92" spans="1:6" ht="15.75" x14ac:dyDescent="0.25">
      <c r="A92" s="130">
        <v>9</v>
      </c>
      <c r="B92" s="122" t="s">
        <v>121</v>
      </c>
      <c r="C92" s="119">
        <f t="shared" si="11"/>
        <v>680119</v>
      </c>
      <c r="D92" s="119">
        <f t="shared" si="11"/>
        <v>651124</v>
      </c>
      <c r="E92" s="119">
        <f t="shared" si="12"/>
        <v>-28995</v>
      </c>
      <c r="F92" s="120">
        <f t="shared" si="13"/>
        <v>-4.263224523943604E-2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1266299</v>
      </c>
      <c r="D94" s="119">
        <f t="shared" si="11"/>
        <v>1762147</v>
      </c>
      <c r="E94" s="119">
        <f t="shared" si="12"/>
        <v>495848</v>
      </c>
      <c r="F94" s="120">
        <f t="shared" si="13"/>
        <v>0.39157260646972003</v>
      </c>
    </row>
    <row r="95" spans="1:6" ht="18.75" customHeight="1" thickBot="1" x14ac:dyDescent="0.3">
      <c r="A95" s="131"/>
      <c r="B95" s="132" t="s">
        <v>134</v>
      </c>
      <c r="C95" s="128">
        <f>SUM(C84:C94)</f>
        <v>51301282</v>
      </c>
      <c r="D95" s="128">
        <f>SUM(D84:D94)</f>
        <v>52626661</v>
      </c>
      <c r="E95" s="128">
        <f t="shared" si="12"/>
        <v>1325379</v>
      </c>
      <c r="F95" s="129">
        <f t="shared" si="13"/>
        <v>2.5835202324963343E-2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1473</v>
      </c>
      <c r="D100" s="133">
        <v>1515</v>
      </c>
      <c r="E100" s="133">
        <f t="shared" ref="E100:E111" si="14">D100-C100</f>
        <v>42</v>
      </c>
      <c r="F100" s="114">
        <f t="shared" ref="F100:F111" si="15">IF(C100=0,0,E100/C100)</f>
        <v>2.8513238289205704E-2</v>
      </c>
    </row>
    <row r="101" spans="1:6" x14ac:dyDescent="0.2">
      <c r="A101" s="115">
        <v>2</v>
      </c>
      <c r="B101" s="116" t="s">
        <v>114</v>
      </c>
      <c r="C101" s="133">
        <v>81</v>
      </c>
      <c r="D101" s="133">
        <v>99</v>
      </c>
      <c r="E101" s="133">
        <f t="shared" si="14"/>
        <v>18</v>
      </c>
      <c r="F101" s="114">
        <f t="shared" si="15"/>
        <v>0.22222222222222221</v>
      </c>
    </row>
    <row r="102" spans="1:6" x14ac:dyDescent="0.2">
      <c r="A102" s="115">
        <v>3</v>
      </c>
      <c r="B102" s="116" t="s">
        <v>115</v>
      </c>
      <c r="C102" s="133">
        <v>161</v>
      </c>
      <c r="D102" s="133">
        <v>217</v>
      </c>
      <c r="E102" s="133">
        <f t="shared" si="14"/>
        <v>56</v>
      </c>
      <c r="F102" s="114">
        <f t="shared" si="15"/>
        <v>0.34782608695652173</v>
      </c>
    </row>
    <row r="103" spans="1:6" x14ac:dyDescent="0.2">
      <c r="A103" s="115">
        <v>4</v>
      </c>
      <c r="B103" s="116" t="s">
        <v>116</v>
      </c>
      <c r="C103" s="133">
        <v>33</v>
      </c>
      <c r="D103" s="133">
        <v>0</v>
      </c>
      <c r="E103" s="133">
        <f t="shared" si="14"/>
        <v>-33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11</v>
      </c>
      <c r="D104" s="133">
        <v>9</v>
      </c>
      <c r="E104" s="133">
        <f t="shared" si="14"/>
        <v>-2</v>
      </c>
      <c r="F104" s="114">
        <f t="shared" si="15"/>
        <v>-0.18181818181818182</v>
      </c>
    </row>
    <row r="105" spans="1:6" x14ac:dyDescent="0.2">
      <c r="A105" s="115">
        <v>6</v>
      </c>
      <c r="B105" s="116" t="s">
        <v>118</v>
      </c>
      <c r="C105" s="133">
        <v>41</v>
      </c>
      <c r="D105" s="133">
        <v>39</v>
      </c>
      <c r="E105" s="133">
        <f t="shared" si="14"/>
        <v>-2</v>
      </c>
      <c r="F105" s="114">
        <f t="shared" si="15"/>
        <v>-4.878048780487805E-2</v>
      </c>
    </row>
    <row r="106" spans="1:6" x14ac:dyDescent="0.2">
      <c r="A106" s="115">
        <v>7</v>
      </c>
      <c r="B106" s="116" t="s">
        <v>119</v>
      </c>
      <c r="C106" s="133">
        <v>614</v>
      </c>
      <c r="D106" s="133">
        <v>680</v>
      </c>
      <c r="E106" s="133">
        <f t="shared" si="14"/>
        <v>66</v>
      </c>
      <c r="F106" s="114">
        <f t="shared" si="15"/>
        <v>0.10749185667752444</v>
      </c>
    </row>
    <row r="107" spans="1:6" x14ac:dyDescent="0.2">
      <c r="A107" s="115">
        <v>8</v>
      </c>
      <c r="B107" s="116" t="s">
        <v>120</v>
      </c>
      <c r="C107" s="133">
        <v>15</v>
      </c>
      <c r="D107" s="133">
        <v>18</v>
      </c>
      <c r="E107" s="133">
        <f t="shared" si="14"/>
        <v>3</v>
      </c>
      <c r="F107" s="114">
        <f t="shared" si="15"/>
        <v>0.2</v>
      </c>
    </row>
    <row r="108" spans="1:6" x14ac:dyDescent="0.2">
      <c r="A108" s="115">
        <v>9</v>
      </c>
      <c r="B108" s="116" t="s">
        <v>121</v>
      </c>
      <c r="C108" s="133">
        <v>73</v>
      </c>
      <c r="D108" s="133">
        <v>93</v>
      </c>
      <c r="E108" s="133">
        <f t="shared" si="14"/>
        <v>20</v>
      </c>
      <c r="F108" s="114">
        <f t="shared" si="15"/>
        <v>0.27397260273972601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183</v>
      </c>
      <c r="D110" s="133">
        <v>208</v>
      </c>
      <c r="E110" s="133">
        <f t="shared" si="14"/>
        <v>25</v>
      </c>
      <c r="F110" s="114">
        <f t="shared" si="15"/>
        <v>0.13661202185792351</v>
      </c>
    </row>
    <row r="111" spans="1:6" ht="15.75" x14ac:dyDescent="0.25">
      <c r="A111" s="117"/>
      <c r="B111" s="118" t="s">
        <v>138</v>
      </c>
      <c r="C111" s="134">
        <f>SUM(C100:C110)</f>
        <v>2685</v>
      </c>
      <c r="D111" s="134">
        <f>SUM(D100:D110)</f>
        <v>2878</v>
      </c>
      <c r="E111" s="134">
        <f t="shared" si="14"/>
        <v>193</v>
      </c>
      <c r="F111" s="120">
        <f t="shared" si="15"/>
        <v>7.188081936685288E-2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7988</v>
      </c>
      <c r="D113" s="133">
        <v>7871</v>
      </c>
      <c r="E113" s="133">
        <f t="shared" ref="E113:E124" si="16">D113-C113</f>
        <v>-117</v>
      </c>
      <c r="F113" s="114">
        <f t="shared" ref="F113:F124" si="17">IF(C113=0,0,E113/C113)</f>
        <v>-1.4646970455683526E-2</v>
      </c>
    </row>
    <row r="114" spans="1:6" x14ac:dyDescent="0.2">
      <c r="A114" s="115">
        <v>2</v>
      </c>
      <c r="B114" s="116" t="s">
        <v>114</v>
      </c>
      <c r="C114" s="133">
        <v>481</v>
      </c>
      <c r="D114" s="133">
        <v>620</v>
      </c>
      <c r="E114" s="133">
        <f t="shared" si="16"/>
        <v>139</v>
      </c>
      <c r="F114" s="114">
        <f t="shared" si="17"/>
        <v>0.288981288981289</v>
      </c>
    </row>
    <row r="115" spans="1:6" x14ac:dyDescent="0.2">
      <c r="A115" s="115">
        <v>3</v>
      </c>
      <c r="B115" s="116" t="s">
        <v>115</v>
      </c>
      <c r="C115" s="133">
        <v>516</v>
      </c>
      <c r="D115" s="133">
        <v>615</v>
      </c>
      <c r="E115" s="133">
        <f t="shared" si="16"/>
        <v>99</v>
      </c>
      <c r="F115" s="114">
        <f t="shared" si="17"/>
        <v>0.19186046511627908</v>
      </c>
    </row>
    <row r="116" spans="1:6" x14ac:dyDescent="0.2">
      <c r="A116" s="115">
        <v>4</v>
      </c>
      <c r="B116" s="116" t="s">
        <v>116</v>
      </c>
      <c r="C116" s="133">
        <v>86</v>
      </c>
      <c r="D116" s="133">
        <v>0</v>
      </c>
      <c r="E116" s="133">
        <f t="shared" si="16"/>
        <v>-86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29</v>
      </c>
      <c r="D117" s="133">
        <v>21</v>
      </c>
      <c r="E117" s="133">
        <f t="shared" si="16"/>
        <v>-8</v>
      </c>
      <c r="F117" s="114">
        <f t="shared" si="17"/>
        <v>-0.27586206896551724</v>
      </c>
    </row>
    <row r="118" spans="1:6" x14ac:dyDescent="0.2">
      <c r="A118" s="115">
        <v>6</v>
      </c>
      <c r="B118" s="116" t="s">
        <v>118</v>
      </c>
      <c r="C118" s="133">
        <v>147</v>
      </c>
      <c r="D118" s="133">
        <v>114</v>
      </c>
      <c r="E118" s="133">
        <f t="shared" si="16"/>
        <v>-33</v>
      </c>
      <c r="F118" s="114">
        <f t="shared" si="17"/>
        <v>-0.22448979591836735</v>
      </c>
    </row>
    <row r="119" spans="1:6" x14ac:dyDescent="0.2">
      <c r="A119" s="115">
        <v>7</v>
      </c>
      <c r="B119" s="116" t="s">
        <v>119</v>
      </c>
      <c r="C119" s="133">
        <v>1806</v>
      </c>
      <c r="D119" s="133">
        <v>2155</v>
      </c>
      <c r="E119" s="133">
        <f t="shared" si="16"/>
        <v>349</v>
      </c>
      <c r="F119" s="114">
        <f t="shared" si="17"/>
        <v>0.19324473975636766</v>
      </c>
    </row>
    <row r="120" spans="1:6" x14ac:dyDescent="0.2">
      <c r="A120" s="115">
        <v>8</v>
      </c>
      <c r="B120" s="116" t="s">
        <v>120</v>
      </c>
      <c r="C120" s="133">
        <v>36</v>
      </c>
      <c r="D120" s="133">
        <v>48</v>
      </c>
      <c r="E120" s="133">
        <f t="shared" si="16"/>
        <v>12</v>
      </c>
      <c r="F120" s="114">
        <f t="shared" si="17"/>
        <v>0.33333333333333331</v>
      </c>
    </row>
    <row r="121" spans="1:6" x14ac:dyDescent="0.2">
      <c r="A121" s="115">
        <v>9</v>
      </c>
      <c r="B121" s="116" t="s">
        <v>121</v>
      </c>
      <c r="C121" s="133">
        <v>273</v>
      </c>
      <c r="D121" s="133">
        <v>241</v>
      </c>
      <c r="E121" s="133">
        <f t="shared" si="16"/>
        <v>-32</v>
      </c>
      <c r="F121" s="114">
        <f t="shared" si="17"/>
        <v>-0.11721611721611722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552</v>
      </c>
      <c r="D123" s="133">
        <v>653</v>
      </c>
      <c r="E123" s="133">
        <f t="shared" si="16"/>
        <v>101</v>
      </c>
      <c r="F123" s="114">
        <f t="shared" si="17"/>
        <v>0.18297101449275363</v>
      </c>
    </row>
    <row r="124" spans="1:6" ht="15.75" x14ac:dyDescent="0.25">
      <c r="A124" s="117"/>
      <c r="B124" s="118" t="s">
        <v>140</v>
      </c>
      <c r="C124" s="134">
        <f>SUM(C113:C123)</f>
        <v>11914</v>
      </c>
      <c r="D124" s="134">
        <f>SUM(D113:D123)</f>
        <v>12338</v>
      </c>
      <c r="E124" s="134">
        <f t="shared" si="16"/>
        <v>424</v>
      </c>
      <c r="F124" s="120">
        <f t="shared" si="17"/>
        <v>3.5588383414470369E-2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40771</v>
      </c>
      <c r="D126" s="133">
        <v>40407</v>
      </c>
      <c r="E126" s="133">
        <f t="shared" ref="E126:E137" si="18">D126-C126</f>
        <v>-364</v>
      </c>
      <c r="F126" s="114">
        <f t="shared" ref="F126:F137" si="19">IF(C126=0,0,E126/C126)</f>
        <v>-8.9279144489956101E-3</v>
      </c>
    </row>
    <row r="127" spans="1:6" x14ac:dyDescent="0.2">
      <c r="A127" s="115">
        <v>2</v>
      </c>
      <c r="B127" s="116" t="s">
        <v>114</v>
      </c>
      <c r="C127" s="133">
        <v>1699</v>
      </c>
      <c r="D127" s="133">
        <v>2294</v>
      </c>
      <c r="E127" s="133">
        <f t="shared" si="18"/>
        <v>595</v>
      </c>
      <c r="F127" s="114">
        <f t="shared" si="19"/>
        <v>0.35020600353148912</v>
      </c>
    </row>
    <row r="128" spans="1:6" x14ac:dyDescent="0.2">
      <c r="A128" s="115">
        <v>3</v>
      </c>
      <c r="B128" s="116" t="s">
        <v>115</v>
      </c>
      <c r="C128" s="133">
        <v>3629</v>
      </c>
      <c r="D128" s="133">
        <v>4040</v>
      </c>
      <c r="E128" s="133">
        <f t="shared" si="18"/>
        <v>411</v>
      </c>
      <c r="F128" s="114">
        <f t="shared" si="19"/>
        <v>0.11325434003857812</v>
      </c>
    </row>
    <row r="129" spans="1:6" x14ac:dyDescent="0.2">
      <c r="A129" s="115">
        <v>4</v>
      </c>
      <c r="B129" s="116" t="s">
        <v>116</v>
      </c>
      <c r="C129" s="133">
        <v>649</v>
      </c>
      <c r="D129" s="133">
        <v>0</v>
      </c>
      <c r="E129" s="133">
        <f t="shared" si="18"/>
        <v>-649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191</v>
      </c>
      <c r="D130" s="133">
        <v>157</v>
      </c>
      <c r="E130" s="133">
        <f t="shared" si="18"/>
        <v>-34</v>
      </c>
      <c r="F130" s="114">
        <f t="shared" si="19"/>
        <v>-0.17801047120418848</v>
      </c>
    </row>
    <row r="131" spans="1:6" x14ac:dyDescent="0.2">
      <c r="A131" s="115">
        <v>6</v>
      </c>
      <c r="B131" s="116" t="s">
        <v>118</v>
      </c>
      <c r="C131" s="133">
        <v>5508</v>
      </c>
      <c r="D131" s="133">
        <v>4244</v>
      </c>
      <c r="E131" s="133">
        <f t="shared" si="18"/>
        <v>-1264</v>
      </c>
      <c r="F131" s="114">
        <f t="shared" si="19"/>
        <v>-0.22948438634713145</v>
      </c>
    </row>
    <row r="132" spans="1:6" x14ac:dyDescent="0.2">
      <c r="A132" s="115">
        <v>7</v>
      </c>
      <c r="B132" s="116" t="s">
        <v>119</v>
      </c>
      <c r="C132" s="133">
        <v>34509</v>
      </c>
      <c r="D132" s="133">
        <v>31600</v>
      </c>
      <c r="E132" s="133">
        <f t="shared" si="18"/>
        <v>-2909</v>
      </c>
      <c r="F132" s="114">
        <f t="shared" si="19"/>
        <v>-8.4296850097076131E-2</v>
      </c>
    </row>
    <row r="133" spans="1:6" x14ac:dyDescent="0.2">
      <c r="A133" s="115">
        <v>8</v>
      </c>
      <c r="B133" s="116" t="s">
        <v>120</v>
      </c>
      <c r="C133" s="133">
        <v>1225</v>
      </c>
      <c r="D133" s="133">
        <v>1011</v>
      </c>
      <c r="E133" s="133">
        <f t="shared" si="18"/>
        <v>-214</v>
      </c>
      <c r="F133" s="114">
        <f t="shared" si="19"/>
        <v>-0.17469387755102042</v>
      </c>
    </row>
    <row r="134" spans="1:6" x14ac:dyDescent="0.2">
      <c r="A134" s="115">
        <v>9</v>
      </c>
      <c r="B134" s="116" t="s">
        <v>121</v>
      </c>
      <c r="C134" s="133">
        <v>3972</v>
      </c>
      <c r="D134" s="133">
        <v>3824</v>
      </c>
      <c r="E134" s="133">
        <f t="shared" si="18"/>
        <v>-148</v>
      </c>
      <c r="F134" s="114">
        <f t="shared" si="19"/>
        <v>-3.726082578046324E-2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4882</v>
      </c>
      <c r="D136" s="133">
        <v>5321</v>
      </c>
      <c r="E136" s="133">
        <f t="shared" si="18"/>
        <v>439</v>
      </c>
      <c r="F136" s="114">
        <f t="shared" si="19"/>
        <v>8.9922163047931172E-2</v>
      </c>
    </row>
    <row r="137" spans="1:6" ht="15.75" x14ac:dyDescent="0.25">
      <c r="A137" s="117"/>
      <c r="B137" s="118" t="s">
        <v>142</v>
      </c>
      <c r="C137" s="134">
        <f>SUM(C126:C136)</f>
        <v>97035</v>
      </c>
      <c r="D137" s="134">
        <f>SUM(D126:D136)</f>
        <v>92898</v>
      </c>
      <c r="E137" s="134">
        <f t="shared" si="18"/>
        <v>-4137</v>
      </c>
      <c r="F137" s="120">
        <f t="shared" si="19"/>
        <v>-4.2634101097542121E-2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4215716</v>
      </c>
      <c r="D142" s="113">
        <v>4525067</v>
      </c>
      <c r="E142" s="113">
        <f t="shared" ref="E142:E153" si="20">D142-C142</f>
        <v>309351</v>
      </c>
      <c r="F142" s="114">
        <f t="shared" ref="F142:F153" si="21">IF(C142=0,0,E142/C142)</f>
        <v>7.3380417466451728E-2</v>
      </c>
    </row>
    <row r="143" spans="1:6" x14ac:dyDescent="0.2">
      <c r="A143" s="115">
        <v>2</v>
      </c>
      <c r="B143" s="116" t="s">
        <v>114</v>
      </c>
      <c r="C143" s="113">
        <v>187907</v>
      </c>
      <c r="D143" s="113">
        <v>353840</v>
      </c>
      <c r="E143" s="113">
        <f t="shared" si="20"/>
        <v>165933</v>
      </c>
      <c r="F143" s="114">
        <f t="shared" si="21"/>
        <v>0.88305917288871627</v>
      </c>
    </row>
    <row r="144" spans="1:6" x14ac:dyDescent="0.2">
      <c r="A144" s="115">
        <v>3</v>
      </c>
      <c r="B144" s="116" t="s">
        <v>115</v>
      </c>
      <c r="C144" s="113">
        <v>1186753</v>
      </c>
      <c r="D144" s="113">
        <v>1600124</v>
      </c>
      <c r="E144" s="113">
        <f t="shared" si="20"/>
        <v>413371</v>
      </c>
      <c r="F144" s="114">
        <f t="shared" si="21"/>
        <v>0.34832100698291896</v>
      </c>
    </row>
    <row r="145" spans="1:6" x14ac:dyDescent="0.2">
      <c r="A145" s="115">
        <v>4</v>
      </c>
      <c r="B145" s="116" t="s">
        <v>116</v>
      </c>
      <c r="C145" s="113">
        <v>212686</v>
      </c>
      <c r="D145" s="113">
        <v>0</v>
      </c>
      <c r="E145" s="113">
        <f t="shared" si="20"/>
        <v>-212686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88578</v>
      </c>
      <c r="D146" s="113">
        <v>74257</v>
      </c>
      <c r="E146" s="113">
        <f t="shared" si="20"/>
        <v>-14321</v>
      </c>
      <c r="F146" s="114">
        <f t="shared" si="21"/>
        <v>-0.16167671430829325</v>
      </c>
    </row>
    <row r="147" spans="1:6" x14ac:dyDescent="0.2">
      <c r="A147" s="115">
        <v>6</v>
      </c>
      <c r="B147" s="116" t="s">
        <v>118</v>
      </c>
      <c r="C147" s="113">
        <v>1098789</v>
      </c>
      <c r="D147" s="113">
        <v>869695</v>
      </c>
      <c r="E147" s="113">
        <f t="shared" si="20"/>
        <v>-229094</v>
      </c>
      <c r="F147" s="114">
        <f t="shared" si="21"/>
        <v>-0.20849680875946155</v>
      </c>
    </row>
    <row r="148" spans="1:6" x14ac:dyDescent="0.2">
      <c r="A148" s="115">
        <v>7</v>
      </c>
      <c r="B148" s="116" t="s">
        <v>119</v>
      </c>
      <c r="C148" s="113">
        <v>6204282</v>
      </c>
      <c r="D148" s="113">
        <v>6479973</v>
      </c>
      <c r="E148" s="113">
        <f t="shared" si="20"/>
        <v>275691</v>
      </c>
      <c r="F148" s="114">
        <f t="shared" si="21"/>
        <v>4.4435601089699017E-2</v>
      </c>
    </row>
    <row r="149" spans="1:6" x14ac:dyDescent="0.2">
      <c r="A149" s="115">
        <v>8</v>
      </c>
      <c r="B149" s="116" t="s">
        <v>120</v>
      </c>
      <c r="C149" s="113">
        <v>360409</v>
      </c>
      <c r="D149" s="113">
        <v>419636</v>
      </c>
      <c r="E149" s="113">
        <f t="shared" si="20"/>
        <v>59227</v>
      </c>
      <c r="F149" s="114">
        <f t="shared" si="21"/>
        <v>0.16433274418785324</v>
      </c>
    </row>
    <row r="150" spans="1:6" x14ac:dyDescent="0.2">
      <c r="A150" s="115">
        <v>9</v>
      </c>
      <c r="B150" s="116" t="s">
        <v>121</v>
      </c>
      <c r="C150" s="113">
        <v>1454532</v>
      </c>
      <c r="D150" s="113">
        <v>1785744</v>
      </c>
      <c r="E150" s="113">
        <f t="shared" si="20"/>
        <v>331212</v>
      </c>
      <c r="F150" s="114">
        <f t="shared" si="21"/>
        <v>0.22771035632079598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1625696</v>
      </c>
      <c r="D152" s="113">
        <v>2153882</v>
      </c>
      <c r="E152" s="113">
        <f t="shared" si="20"/>
        <v>528186</v>
      </c>
      <c r="F152" s="114">
        <f t="shared" si="21"/>
        <v>0.32489838198531584</v>
      </c>
    </row>
    <row r="153" spans="1:6" ht="33.75" customHeight="1" x14ac:dyDescent="0.25">
      <c r="A153" s="117"/>
      <c r="B153" s="118" t="s">
        <v>146</v>
      </c>
      <c r="C153" s="119">
        <f>SUM(C142:C152)</f>
        <v>16635348</v>
      </c>
      <c r="D153" s="119">
        <f>SUM(D142:D152)</f>
        <v>18262218</v>
      </c>
      <c r="E153" s="119">
        <f t="shared" si="20"/>
        <v>1626870</v>
      </c>
      <c r="F153" s="120">
        <f t="shared" si="21"/>
        <v>9.7795970363830087E-2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735669</v>
      </c>
      <c r="D155" s="113">
        <v>830096</v>
      </c>
      <c r="E155" s="113">
        <f t="shared" ref="E155:E166" si="22">D155-C155</f>
        <v>94427</v>
      </c>
      <c r="F155" s="114">
        <f t="shared" ref="F155:F166" si="23">IF(C155=0,0,E155/C155)</f>
        <v>0.12835527934437907</v>
      </c>
    </row>
    <row r="156" spans="1:6" x14ac:dyDescent="0.2">
      <c r="A156" s="115">
        <v>2</v>
      </c>
      <c r="B156" s="116" t="s">
        <v>114</v>
      </c>
      <c r="C156" s="113">
        <v>31694</v>
      </c>
      <c r="D156" s="113">
        <v>55177</v>
      </c>
      <c r="E156" s="113">
        <f t="shared" si="22"/>
        <v>23483</v>
      </c>
      <c r="F156" s="114">
        <f t="shared" si="23"/>
        <v>0.74092888243831645</v>
      </c>
    </row>
    <row r="157" spans="1:6" x14ac:dyDescent="0.2">
      <c r="A157" s="115">
        <v>3</v>
      </c>
      <c r="B157" s="116" t="s">
        <v>115</v>
      </c>
      <c r="C157" s="113">
        <v>275408</v>
      </c>
      <c r="D157" s="113">
        <v>377800</v>
      </c>
      <c r="E157" s="113">
        <f t="shared" si="22"/>
        <v>102392</v>
      </c>
      <c r="F157" s="114">
        <f t="shared" si="23"/>
        <v>0.37178295474350781</v>
      </c>
    </row>
    <row r="158" spans="1:6" x14ac:dyDescent="0.2">
      <c r="A158" s="115">
        <v>4</v>
      </c>
      <c r="B158" s="116" t="s">
        <v>116</v>
      </c>
      <c r="C158" s="113">
        <v>5761</v>
      </c>
      <c r="D158" s="113">
        <v>0</v>
      </c>
      <c r="E158" s="113">
        <f t="shared" si="22"/>
        <v>-5761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17559</v>
      </c>
      <c r="D159" s="113">
        <v>11958</v>
      </c>
      <c r="E159" s="113">
        <f t="shared" si="22"/>
        <v>-5601</v>
      </c>
      <c r="F159" s="114">
        <f t="shared" si="23"/>
        <v>-0.31898171877669573</v>
      </c>
    </row>
    <row r="160" spans="1:6" x14ac:dyDescent="0.2">
      <c r="A160" s="115">
        <v>6</v>
      </c>
      <c r="B160" s="116" t="s">
        <v>118</v>
      </c>
      <c r="C160" s="113">
        <v>148091</v>
      </c>
      <c r="D160" s="113">
        <v>186302</v>
      </c>
      <c r="E160" s="113">
        <f t="shared" si="22"/>
        <v>38211</v>
      </c>
      <c r="F160" s="114">
        <f t="shared" si="23"/>
        <v>0.25802378267416654</v>
      </c>
    </row>
    <row r="161" spans="1:6" x14ac:dyDescent="0.2">
      <c r="A161" s="115">
        <v>7</v>
      </c>
      <c r="B161" s="116" t="s">
        <v>119</v>
      </c>
      <c r="C161" s="113">
        <v>1669213</v>
      </c>
      <c r="D161" s="113">
        <v>1799157</v>
      </c>
      <c r="E161" s="113">
        <f t="shared" si="22"/>
        <v>129944</v>
      </c>
      <c r="F161" s="114">
        <f t="shared" si="23"/>
        <v>7.7847464643517633E-2</v>
      </c>
    </row>
    <row r="162" spans="1:6" x14ac:dyDescent="0.2">
      <c r="A162" s="115">
        <v>8</v>
      </c>
      <c r="B162" s="116" t="s">
        <v>120</v>
      </c>
      <c r="C162" s="113">
        <v>26610</v>
      </c>
      <c r="D162" s="113">
        <v>8616</v>
      </c>
      <c r="E162" s="113">
        <f t="shared" si="22"/>
        <v>-17994</v>
      </c>
      <c r="F162" s="114">
        <f t="shared" si="23"/>
        <v>-0.67621195039458848</v>
      </c>
    </row>
    <row r="163" spans="1:6" x14ac:dyDescent="0.2">
      <c r="A163" s="115">
        <v>9</v>
      </c>
      <c r="B163" s="116" t="s">
        <v>121</v>
      </c>
      <c r="C163" s="113">
        <v>51682</v>
      </c>
      <c r="D163" s="113">
        <v>39257</v>
      </c>
      <c r="E163" s="113">
        <f t="shared" si="22"/>
        <v>-12425</v>
      </c>
      <c r="F163" s="114">
        <f t="shared" si="23"/>
        <v>-0.24041252273518826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119516</v>
      </c>
      <c r="D165" s="113">
        <v>176222</v>
      </c>
      <c r="E165" s="113">
        <f t="shared" si="22"/>
        <v>56706</v>
      </c>
      <c r="F165" s="114">
        <f t="shared" si="23"/>
        <v>0.4744636701362161</v>
      </c>
    </row>
    <row r="166" spans="1:6" ht="33.75" customHeight="1" x14ac:dyDescent="0.25">
      <c r="A166" s="117"/>
      <c r="B166" s="118" t="s">
        <v>148</v>
      </c>
      <c r="C166" s="119">
        <f>SUM(C155:C165)</f>
        <v>3081203</v>
      </c>
      <c r="D166" s="119">
        <f>SUM(D155:D165)</f>
        <v>3484585</v>
      </c>
      <c r="E166" s="119">
        <f t="shared" si="22"/>
        <v>403382</v>
      </c>
      <c r="F166" s="120">
        <f t="shared" si="23"/>
        <v>0.13091704765963164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3389</v>
      </c>
      <c r="D168" s="133">
        <v>3233</v>
      </c>
      <c r="E168" s="133">
        <f t="shared" ref="E168:E179" si="24">D168-C168</f>
        <v>-156</v>
      </c>
      <c r="F168" s="114">
        <f t="shared" ref="F168:F179" si="25">IF(C168=0,0,E168/C168)</f>
        <v>-4.6031277663027441E-2</v>
      </c>
    </row>
    <row r="169" spans="1:6" x14ac:dyDescent="0.2">
      <c r="A169" s="115">
        <v>2</v>
      </c>
      <c r="B169" s="116" t="s">
        <v>114</v>
      </c>
      <c r="C169" s="133">
        <v>149</v>
      </c>
      <c r="D169" s="133">
        <v>228</v>
      </c>
      <c r="E169" s="133">
        <f t="shared" si="24"/>
        <v>79</v>
      </c>
      <c r="F169" s="114">
        <f t="shared" si="25"/>
        <v>0.53020134228187921</v>
      </c>
    </row>
    <row r="170" spans="1:6" x14ac:dyDescent="0.2">
      <c r="A170" s="115">
        <v>3</v>
      </c>
      <c r="B170" s="116" t="s">
        <v>115</v>
      </c>
      <c r="C170" s="133">
        <v>1043</v>
      </c>
      <c r="D170" s="133">
        <v>1240</v>
      </c>
      <c r="E170" s="133">
        <f t="shared" si="24"/>
        <v>197</v>
      </c>
      <c r="F170" s="114">
        <f t="shared" si="25"/>
        <v>0.18887823585810162</v>
      </c>
    </row>
    <row r="171" spans="1:6" x14ac:dyDescent="0.2">
      <c r="A171" s="115">
        <v>4</v>
      </c>
      <c r="B171" s="116" t="s">
        <v>116</v>
      </c>
      <c r="C171" s="133">
        <v>209</v>
      </c>
      <c r="D171" s="133">
        <v>0</v>
      </c>
      <c r="E171" s="133">
        <f t="shared" si="24"/>
        <v>-209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72</v>
      </c>
      <c r="D172" s="133">
        <v>76</v>
      </c>
      <c r="E172" s="133">
        <f t="shared" si="24"/>
        <v>4</v>
      </c>
      <c r="F172" s="114">
        <f t="shared" si="25"/>
        <v>5.5555555555555552E-2</v>
      </c>
    </row>
    <row r="173" spans="1:6" x14ac:dyDescent="0.2">
      <c r="A173" s="115">
        <v>6</v>
      </c>
      <c r="B173" s="116" t="s">
        <v>118</v>
      </c>
      <c r="C173" s="133">
        <v>781</v>
      </c>
      <c r="D173" s="133">
        <v>696</v>
      </c>
      <c r="E173" s="133">
        <f t="shared" si="24"/>
        <v>-85</v>
      </c>
      <c r="F173" s="114">
        <f t="shared" si="25"/>
        <v>-0.1088348271446863</v>
      </c>
    </row>
    <row r="174" spans="1:6" x14ac:dyDescent="0.2">
      <c r="A174" s="115">
        <v>7</v>
      </c>
      <c r="B174" s="116" t="s">
        <v>119</v>
      </c>
      <c r="C174" s="133">
        <v>6427</v>
      </c>
      <c r="D174" s="133">
        <v>6092</v>
      </c>
      <c r="E174" s="133">
        <f t="shared" si="24"/>
        <v>-335</v>
      </c>
      <c r="F174" s="114">
        <f t="shared" si="25"/>
        <v>-5.2123852497277114E-2</v>
      </c>
    </row>
    <row r="175" spans="1:6" x14ac:dyDescent="0.2">
      <c r="A175" s="115">
        <v>8</v>
      </c>
      <c r="B175" s="116" t="s">
        <v>120</v>
      </c>
      <c r="C175" s="133">
        <v>543</v>
      </c>
      <c r="D175" s="133">
        <v>522</v>
      </c>
      <c r="E175" s="133">
        <f t="shared" si="24"/>
        <v>-21</v>
      </c>
      <c r="F175" s="114">
        <f t="shared" si="25"/>
        <v>-3.8674033149171269E-2</v>
      </c>
    </row>
    <row r="176" spans="1:6" x14ac:dyDescent="0.2">
      <c r="A176" s="115">
        <v>9</v>
      </c>
      <c r="B176" s="116" t="s">
        <v>121</v>
      </c>
      <c r="C176" s="133">
        <v>1502</v>
      </c>
      <c r="D176" s="133">
        <v>1664</v>
      </c>
      <c r="E176" s="133">
        <f t="shared" si="24"/>
        <v>162</v>
      </c>
      <c r="F176" s="114">
        <f t="shared" si="25"/>
        <v>0.10785619174434088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1741</v>
      </c>
      <c r="D178" s="133">
        <v>1995</v>
      </c>
      <c r="E178" s="133">
        <f t="shared" si="24"/>
        <v>254</v>
      </c>
      <c r="F178" s="114">
        <f t="shared" si="25"/>
        <v>0.14589316484778864</v>
      </c>
    </row>
    <row r="179" spans="1:6" ht="33.75" customHeight="1" x14ac:dyDescent="0.25">
      <c r="A179" s="117"/>
      <c r="B179" s="118" t="s">
        <v>150</v>
      </c>
      <c r="C179" s="134">
        <f>SUM(C168:C178)</f>
        <v>15856</v>
      </c>
      <c r="D179" s="134">
        <f>SUM(D168:D178)</f>
        <v>15746</v>
      </c>
      <c r="E179" s="134">
        <f t="shared" si="24"/>
        <v>-110</v>
      </c>
      <c r="F179" s="120">
        <f t="shared" si="25"/>
        <v>-6.9374369323915233E-3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7016561</v>
      </c>
      <c r="D15" s="157">
        <v>6922138</v>
      </c>
      <c r="E15" s="157">
        <f>+D15-C15</f>
        <v>-94423</v>
      </c>
      <c r="F15" s="161">
        <f>IF(C15=0,0,E15/C15)</f>
        <v>-1.3457162276505542E-2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10390256</v>
      </c>
      <c r="D17" s="157">
        <v>10327838</v>
      </c>
      <c r="E17" s="157">
        <f>+D17-C17</f>
        <v>-62418</v>
      </c>
      <c r="F17" s="161">
        <f>IF(C17=0,0,E17/C17)</f>
        <v>-6.0073592026991442E-3</v>
      </c>
    </row>
    <row r="18" spans="1:6" ht="15.75" customHeight="1" x14ac:dyDescent="0.25">
      <c r="A18" s="147"/>
      <c r="B18" s="162" t="s">
        <v>159</v>
      </c>
      <c r="C18" s="158">
        <f>SUM(C15:C17)</f>
        <v>17406817</v>
      </c>
      <c r="D18" s="158">
        <f>SUM(D15:D17)</f>
        <v>17249976</v>
      </c>
      <c r="E18" s="158">
        <f>+D18-C18</f>
        <v>-156841</v>
      </c>
      <c r="F18" s="159">
        <f>IF(C18=0,0,E18/C18)</f>
        <v>-9.0103204968490225E-3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1687424</v>
      </c>
      <c r="D21" s="157">
        <v>1697890</v>
      </c>
      <c r="E21" s="157">
        <f>+D21-C21</f>
        <v>10466</v>
      </c>
      <c r="F21" s="161">
        <f>IF(C21=0,0,E21/C21)</f>
        <v>6.2023534096943035E-3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2354664</v>
      </c>
      <c r="D23" s="157">
        <v>2533292</v>
      </c>
      <c r="E23" s="157">
        <f>+D23-C23</f>
        <v>178628</v>
      </c>
      <c r="F23" s="161">
        <f>IF(C23=0,0,E23/C23)</f>
        <v>7.5861354316369548E-2</v>
      </c>
    </row>
    <row r="24" spans="1:6" ht="15.75" customHeight="1" x14ac:dyDescent="0.25">
      <c r="A24" s="147"/>
      <c r="B24" s="162" t="s">
        <v>164</v>
      </c>
      <c r="C24" s="158">
        <f>SUM(C21:C23)</f>
        <v>4042088</v>
      </c>
      <c r="D24" s="158">
        <f>SUM(D21:D23)</f>
        <v>4231182</v>
      </c>
      <c r="E24" s="158">
        <f>+D24-C24</f>
        <v>189094</v>
      </c>
      <c r="F24" s="159">
        <f>IF(C24=0,0,E24/C24)</f>
        <v>4.6781267503329962E-2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517404</v>
      </c>
      <c r="D27" s="157">
        <v>592835</v>
      </c>
      <c r="E27" s="157">
        <f>+D27-C27</f>
        <v>75431</v>
      </c>
      <c r="F27" s="161">
        <f>IF(C27=0,0,E27/C27)</f>
        <v>0.14578743109832934</v>
      </c>
    </row>
    <row r="28" spans="1:6" ht="15" customHeight="1" x14ac:dyDescent="0.2">
      <c r="A28" s="147">
        <v>2</v>
      </c>
      <c r="B28" s="160" t="s">
        <v>167</v>
      </c>
      <c r="C28" s="157">
        <v>1399248</v>
      </c>
      <c r="D28" s="157">
        <v>1670355</v>
      </c>
      <c r="E28" s="157">
        <f>+D28-C28</f>
        <v>271107</v>
      </c>
      <c r="F28" s="161">
        <f>IF(C28=0,0,E28/C28)</f>
        <v>0.19375192960790366</v>
      </c>
    </row>
    <row r="29" spans="1:6" ht="15" customHeight="1" x14ac:dyDescent="0.2">
      <c r="A29" s="147">
        <v>3</v>
      </c>
      <c r="B29" s="160" t="s">
        <v>168</v>
      </c>
      <c r="C29" s="157">
        <v>59042</v>
      </c>
      <c r="D29" s="157">
        <v>6051</v>
      </c>
      <c r="E29" s="157">
        <f>+D29-C29</f>
        <v>-52991</v>
      </c>
      <c r="F29" s="161">
        <f>IF(C29=0,0,E29/C29)</f>
        <v>-0.89751363436197962</v>
      </c>
    </row>
    <row r="30" spans="1:6" ht="15.75" customHeight="1" x14ac:dyDescent="0.25">
      <c r="A30" s="147"/>
      <c r="B30" s="162" t="s">
        <v>169</v>
      </c>
      <c r="C30" s="158">
        <f>SUM(C27:C29)</f>
        <v>1975694</v>
      </c>
      <c r="D30" s="158">
        <f>SUM(D27:D29)</f>
        <v>2269241</v>
      </c>
      <c r="E30" s="158">
        <f>+D30-C30</f>
        <v>293547</v>
      </c>
      <c r="F30" s="159">
        <f>IF(C30=0,0,E30/C30)</f>
        <v>0.14857918280867383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4953467</v>
      </c>
      <c r="D33" s="157">
        <v>4626181</v>
      </c>
      <c r="E33" s="157">
        <f>+D33-C33</f>
        <v>-327286</v>
      </c>
      <c r="F33" s="161">
        <f>IF(C33=0,0,E33/C33)</f>
        <v>-6.6072106667915617E-2</v>
      </c>
    </row>
    <row r="34" spans="1:6" ht="15" customHeight="1" x14ac:dyDescent="0.2">
      <c r="A34" s="147">
        <v>2</v>
      </c>
      <c r="B34" s="160" t="s">
        <v>173</v>
      </c>
      <c r="C34" s="157">
        <v>1654157</v>
      </c>
      <c r="D34" s="157">
        <v>2002255</v>
      </c>
      <c r="E34" s="157">
        <f>+D34-C34</f>
        <v>348098</v>
      </c>
      <c r="F34" s="161">
        <f>IF(C34=0,0,E34/C34)</f>
        <v>0.21043830785106854</v>
      </c>
    </row>
    <row r="35" spans="1:6" ht="15.75" customHeight="1" x14ac:dyDescent="0.25">
      <c r="A35" s="147"/>
      <c r="B35" s="162" t="s">
        <v>174</v>
      </c>
      <c r="C35" s="158">
        <f>SUM(C33:C34)</f>
        <v>6607624</v>
      </c>
      <c r="D35" s="158">
        <f>SUM(D33:D34)</f>
        <v>6628436</v>
      </c>
      <c r="E35" s="158">
        <f>+D35-C35</f>
        <v>20812</v>
      </c>
      <c r="F35" s="159">
        <f>IF(C35=0,0,E35/C35)</f>
        <v>3.1496949584298379E-3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1602667</v>
      </c>
      <c r="D38" s="157">
        <v>1612648</v>
      </c>
      <c r="E38" s="157">
        <f>+D38-C38</f>
        <v>9981</v>
      </c>
      <c r="F38" s="161">
        <f>IF(C38=0,0,E38/C38)</f>
        <v>6.227744129004965E-3</v>
      </c>
    </row>
    <row r="39" spans="1:6" ht="15" customHeight="1" x14ac:dyDescent="0.2">
      <c r="A39" s="147">
        <v>2</v>
      </c>
      <c r="B39" s="160" t="s">
        <v>178</v>
      </c>
      <c r="C39" s="157">
        <v>1449106</v>
      </c>
      <c r="D39" s="157">
        <v>1391493</v>
      </c>
      <c r="E39" s="157">
        <f>+D39-C39</f>
        <v>-57613</v>
      </c>
      <c r="F39" s="161">
        <f>IF(C39=0,0,E39/C39)</f>
        <v>-3.9757616075014525E-2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3051773</v>
      </c>
      <c r="D41" s="158">
        <f>SUM(D38:D40)</f>
        <v>3004141</v>
      </c>
      <c r="E41" s="158">
        <f>+D41-C41</f>
        <v>-47632</v>
      </c>
      <c r="F41" s="159">
        <f>IF(C41=0,0,E41/C41)</f>
        <v>-1.5607976084721897E-2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2999367</v>
      </c>
      <c r="D44" s="157">
        <v>0</v>
      </c>
      <c r="E44" s="157">
        <f>+D44-C44</f>
        <v>-2999367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136325</v>
      </c>
      <c r="D47" s="157">
        <v>0</v>
      </c>
      <c r="E47" s="157">
        <f>+D47-C47</f>
        <v>-136325</v>
      </c>
      <c r="F47" s="161">
        <f>IF(C47=0,0,E47/C47)</f>
        <v>-1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1113805</v>
      </c>
      <c r="D50" s="157">
        <v>1146180</v>
      </c>
      <c r="E50" s="157">
        <f>+D50-C50</f>
        <v>32375</v>
      </c>
      <c r="F50" s="161">
        <f>IF(C50=0,0,E50/C50)</f>
        <v>2.9067026993055339E-2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123901</v>
      </c>
      <c r="D53" s="157">
        <v>110227</v>
      </c>
      <c r="E53" s="157">
        <f t="shared" ref="E53:E59" si="0">+D53-C53</f>
        <v>-13674</v>
      </c>
      <c r="F53" s="161">
        <f t="shared" ref="F53:F59" si="1">IF(C53=0,0,E53/C53)</f>
        <v>-0.11036230538897991</v>
      </c>
    </row>
    <row r="54" spans="1:6" ht="15" customHeight="1" x14ac:dyDescent="0.2">
      <c r="A54" s="147">
        <v>2</v>
      </c>
      <c r="B54" s="160" t="s">
        <v>189</v>
      </c>
      <c r="C54" s="157">
        <v>22310</v>
      </c>
      <c r="D54" s="157">
        <v>21393</v>
      </c>
      <c r="E54" s="157">
        <f t="shared" si="0"/>
        <v>-917</v>
      </c>
      <c r="F54" s="161">
        <f t="shared" si="1"/>
        <v>-4.1102644554011657E-2</v>
      </c>
    </row>
    <row r="55" spans="1:6" ht="15" customHeight="1" x14ac:dyDescent="0.2">
      <c r="A55" s="147">
        <v>3</v>
      </c>
      <c r="B55" s="160" t="s">
        <v>190</v>
      </c>
      <c r="C55" s="157">
        <v>735871</v>
      </c>
      <c r="D55" s="157">
        <v>683588</v>
      </c>
      <c r="E55" s="157">
        <f t="shared" si="0"/>
        <v>-52283</v>
      </c>
      <c r="F55" s="161">
        <f t="shared" si="1"/>
        <v>-7.1049137688535088E-2</v>
      </c>
    </row>
    <row r="56" spans="1:6" ht="15" customHeight="1" x14ac:dyDescent="0.2">
      <c r="A56" s="147">
        <v>4</v>
      </c>
      <c r="B56" s="160" t="s">
        <v>191</v>
      </c>
      <c r="C56" s="157">
        <v>695948</v>
      </c>
      <c r="D56" s="157">
        <v>696690</v>
      </c>
      <c r="E56" s="157">
        <f t="shared" si="0"/>
        <v>742</v>
      </c>
      <c r="F56" s="161">
        <f t="shared" si="1"/>
        <v>1.0661716105226252E-3</v>
      </c>
    </row>
    <row r="57" spans="1:6" ht="15" customHeight="1" x14ac:dyDescent="0.2">
      <c r="A57" s="147">
        <v>5</v>
      </c>
      <c r="B57" s="160" t="s">
        <v>192</v>
      </c>
      <c r="C57" s="157">
        <v>102873</v>
      </c>
      <c r="D57" s="157">
        <v>72905</v>
      </c>
      <c r="E57" s="157">
        <f t="shared" si="0"/>
        <v>-29968</v>
      </c>
      <c r="F57" s="161">
        <f t="shared" si="1"/>
        <v>-0.29131064516442606</v>
      </c>
    </row>
    <row r="58" spans="1:6" ht="15" customHeight="1" x14ac:dyDescent="0.2">
      <c r="A58" s="147">
        <v>6</v>
      </c>
      <c r="B58" s="160" t="s">
        <v>193</v>
      </c>
      <c r="C58" s="157">
        <v>54572</v>
      </c>
      <c r="D58" s="157">
        <v>51568</v>
      </c>
      <c r="E58" s="157">
        <f t="shared" si="0"/>
        <v>-3004</v>
      </c>
      <c r="F58" s="161">
        <f t="shared" si="1"/>
        <v>-5.5046544015245912E-2</v>
      </c>
    </row>
    <row r="59" spans="1:6" ht="15.75" customHeight="1" x14ac:dyDescent="0.25">
      <c r="A59" s="147"/>
      <c r="B59" s="162" t="s">
        <v>194</v>
      </c>
      <c r="C59" s="158">
        <f>SUM(C53:C58)</f>
        <v>1735475</v>
      </c>
      <c r="D59" s="158">
        <f>SUM(D53:D58)</f>
        <v>1636371</v>
      </c>
      <c r="E59" s="158">
        <f t="shared" si="0"/>
        <v>-99104</v>
      </c>
      <c r="F59" s="159">
        <f t="shared" si="1"/>
        <v>-5.7104827208689264E-2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79827</v>
      </c>
      <c r="D62" s="157">
        <v>94619</v>
      </c>
      <c r="E62" s="157">
        <f t="shared" ref="E62:E90" si="2">+D62-C62</f>
        <v>14792</v>
      </c>
      <c r="F62" s="161">
        <f t="shared" ref="F62:F90" si="3">IF(C62=0,0,E62/C62)</f>
        <v>0.18530071279141141</v>
      </c>
    </row>
    <row r="63" spans="1:6" ht="15" customHeight="1" x14ac:dyDescent="0.2">
      <c r="A63" s="147">
        <v>2</v>
      </c>
      <c r="B63" s="160" t="s">
        <v>198</v>
      </c>
      <c r="C63" s="157">
        <v>92633</v>
      </c>
      <c r="D63" s="157">
        <v>41121</v>
      </c>
      <c r="E63" s="157">
        <f t="shared" si="2"/>
        <v>-51512</v>
      </c>
      <c r="F63" s="161">
        <f t="shared" si="3"/>
        <v>-0.55608692366651191</v>
      </c>
    </row>
    <row r="64" spans="1:6" ht="15" customHeight="1" x14ac:dyDescent="0.2">
      <c r="A64" s="147">
        <v>3</v>
      </c>
      <c r="B64" s="160" t="s">
        <v>199</v>
      </c>
      <c r="C64" s="157">
        <v>146377</v>
      </c>
      <c r="D64" s="157">
        <v>359516</v>
      </c>
      <c r="E64" s="157">
        <f t="shared" si="2"/>
        <v>213139</v>
      </c>
      <c r="F64" s="161">
        <f t="shared" si="3"/>
        <v>1.4560962446285961</v>
      </c>
    </row>
    <row r="65" spans="1:6" ht="15" customHeight="1" x14ac:dyDescent="0.2">
      <c r="A65" s="147">
        <v>4</v>
      </c>
      <c r="B65" s="160" t="s">
        <v>200</v>
      </c>
      <c r="C65" s="157">
        <v>0</v>
      </c>
      <c r="D65" s="157">
        <v>0</v>
      </c>
      <c r="E65" s="157">
        <f t="shared" si="2"/>
        <v>0</v>
      </c>
      <c r="F65" s="161">
        <f t="shared" si="3"/>
        <v>0</v>
      </c>
    </row>
    <row r="66" spans="1:6" ht="15" customHeight="1" x14ac:dyDescent="0.2">
      <c r="A66" s="147">
        <v>5</v>
      </c>
      <c r="B66" s="160" t="s">
        <v>201</v>
      </c>
      <c r="C66" s="157">
        <v>207177</v>
      </c>
      <c r="D66" s="157">
        <v>169458</v>
      </c>
      <c r="E66" s="157">
        <f t="shared" si="2"/>
        <v>-37719</v>
      </c>
      <c r="F66" s="161">
        <f t="shared" si="3"/>
        <v>-0.18206171534485005</v>
      </c>
    </row>
    <row r="67" spans="1:6" ht="15" customHeight="1" x14ac:dyDescent="0.2">
      <c r="A67" s="147">
        <v>6</v>
      </c>
      <c r="B67" s="160" t="s">
        <v>202</v>
      </c>
      <c r="C67" s="157">
        <v>103302</v>
      </c>
      <c r="D67" s="157">
        <v>91850</v>
      </c>
      <c r="E67" s="157">
        <f t="shared" si="2"/>
        <v>-11452</v>
      </c>
      <c r="F67" s="161">
        <f t="shared" si="3"/>
        <v>-0.11085942188921802</v>
      </c>
    </row>
    <row r="68" spans="1:6" ht="15" customHeight="1" x14ac:dyDescent="0.2">
      <c r="A68" s="147">
        <v>7</v>
      </c>
      <c r="B68" s="160" t="s">
        <v>203</v>
      </c>
      <c r="C68" s="157">
        <v>1715096</v>
      </c>
      <c r="D68" s="157">
        <v>1478859</v>
      </c>
      <c r="E68" s="157">
        <f t="shared" si="2"/>
        <v>-236237</v>
      </c>
      <c r="F68" s="161">
        <f t="shared" si="3"/>
        <v>-0.13773981164902724</v>
      </c>
    </row>
    <row r="69" spans="1:6" ht="15" customHeight="1" x14ac:dyDescent="0.2">
      <c r="A69" s="147">
        <v>8</v>
      </c>
      <c r="B69" s="160" t="s">
        <v>204</v>
      </c>
      <c r="C69" s="157">
        <v>145698</v>
      </c>
      <c r="D69" s="157">
        <v>96993</v>
      </c>
      <c r="E69" s="157">
        <f t="shared" si="2"/>
        <v>-48705</v>
      </c>
      <c r="F69" s="161">
        <f t="shared" si="3"/>
        <v>-0.33428736152864141</v>
      </c>
    </row>
    <row r="70" spans="1:6" ht="15" customHeight="1" x14ac:dyDescent="0.2">
      <c r="A70" s="147">
        <v>9</v>
      </c>
      <c r="B70" s="160" t="s">
        <v>205</v>
      </c>
      <c r="C70" s="157">
        <v>90106</v>
      </c>
      <c r="D70" s="157">
        <v>95370</v>
      </c>
      <c r="E70" s="157">
        <f t="shared" si="2"/>
        <v>5264</v>
      </c>
      <c r="F70" s="161">
        <f t="shared" si="3"/>
        <v>5.8420083013339841E-2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294613</v>
      </c>
      <c r="D72" s="157">
        <v>298358</v>
      </c>
      <c r="E72" s="157">
        <f t="shared" si="2"/>
        <v>3745</v>
      </c>
      <c r="F72" s="161">
        <f t="shared" si="3"/>
        <v>1.2711591138205035E-2</v>
      </c>
    </row>
    <row r="73" spans="1:6" ht="15" customHeight="1" x14ac:dyDescent="0.2">
      <c r="A73" s="147">
        <v>12</v>
      </c>
      <c r="B73" s="160" t="s">
        <v>208</v>
      </c>
      <c r="C73" s="157">
        <v>271048</v>
      </c>
      <c r="D73" s="157">
        <v>251146</v>
      </c>
      <c r="E73" s="157">
        <f t="shared" si="2"/>
        <v>-19902</v>
      </c>
      <c r="F73" s="161">
        <f t="shared" si="3"/>
        <v>-7.3426109028659134E-2</v>
      </c>
    </row>
    <row r="74" spans="1:6" ht="15" customHeight="1" x14ac:dyDescent="0.2">
      <c r="A74" s="147">
        <v>13</v>
      </c>
      <c r="B74" s="160" t="s">
        <v>209</v>
      </c>
      <c r="C74" s="157">
        <v>66193</v>
      </c>
      <c r="D74" s="157">
        <v>71480</v>
      </c>
      <c r="E74" s="157">
        <f t="shared" si="2"/>
        <v>5287</v>
      </c>
      <c r="F74" s="161">
        <f t="shared" si="3"/>
        <v>7.9872494070369976E-2</v>
      </c>
    </row>
    <row r="75" spans="1:6" ht="15" customHeight="1" x14ac:dyDescent="0.2">
      <c r="A75" s="147">
        <v>14</v>
      </c>
      <c r="B75" s="160" t="s">
        <v>210</v>
      </c>
      <c r="C75" s="157">
        <v>41289</v>
      </c>
      <c r="D75" s="157">
        <v>62690</v>
      </c>
      <c r="E75" s="157">
        <f t="shared" si="2"/>
        <v>21401</v>
      </c>
      <c r="F75" s="161">
        <f t="shared" si="3"/>
        <v>0.51832207125384488</v>
      </c>
    </row>
    <row r="76" spans="1:6" ht="15" customHeight="1" x14ac:dyDescent="0.2">
      <c r="A76" s="147">
        <v>15</v>
      </c>
      <c r="B76" s="160" t="s">
        <v>211</v>
      </c>
      <c r="C76" s="157">
        <v>453111</v>
      </c>
      <c r="D76" s="157">
        <v>605949</v>
      </c>
      <c r="E76" s="157">
        <f t="shared" si="2"/>
        <v>152838</v>
      </c>
      <c r="F76" s="161">
        <f t="shared" si="3"/>
        <v>0.3373080768288565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244019</v>
      </c>
      <c r="D78" s="157">
        <v>318774</v>
      </c>
      <c r="E78" s="157">
        <f t="shared" si="2"/>
        <v>74755</v>
      </c>
      <c r="F78" s="161">
        <f t="shared" si="3"/>
        <v>0.30634909576713287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288851</v>
      </c>
      <c r="D80" s="157">
        <v>296991</v>
      </c>
      <c r="E80" s="157">
        <f t="shared" si="2"/>
        <v>8140</v>
      </c>
      <c r="F80" s="161">
        <f t="shared" si="3"/>
        <v>2.8180619073501563E-2</v>
      </c>
    </row>
    <row r="81" spans="1:6" ht="15" customHeight="1" x14ac:dyDescent="0.2">
      <c r="A81" s="147">
        <v>20</v>
      </c>
      <c r="B81" s="160" t="s">
        <v>216</v>
      </c>
      <c r="C81" s="157">
        <v>22195</v>
      </c>
      <c r="D81" s="157">
        <v>29123</v>
      </c>
      <c r="E81" s="157">
        <f t="shared" si="2"/>
        <v>6928</v>
      </c>
      <c r="F81" s="161">
        <f t="shared" si="3"/>
        <v>0.31214237440865061</v>
      </c>
    </row>
    <row r="82" spans="1:6" ht="15" customHeight="1" x14ac:dyDescent="0.2">
      <c r="A82" s="147">
        <v>21</v>
      </c>
      <c r="B82" s="160" t="s">
        <v>217</v>
      </c>
      <c r="C82" s="157">
        <v>29676</v>
      </c>
      <c r="D82" s="157">
        <v>132579</v>
      </c>
      <c r="E82" s="157">
        <f t="shared" si="2"/>
        <v>102903</v>
      </c>
      <c r="F82" s="161">
        <f t="shared" si="3"/>
        <v>3.4675495349777599</v>
      </c>
    </row>
    <row r="83" spans="1:6" ht="15" customHeight="1" x14ac:dyDescent="0.2">
      <c r="A83" s="147">
        <v>22</v>
      </c>
      <c r="B83" s="160" t="s">
        <v>218</v>
      </c>
      <c r="C83" s="157">
        <v>163493</v>
      </c>
      <c r="D83" s="157">
        <v>162597</v>
      </c>
      <c r="E83" s="157">
        <f t="shared" si="2"/>
        <v>-896</v>
      </c>
      <c r="F83" s="161">
        <f t="shared" si="3"/>
        <v>-5.4803569571785947E-3</v>
      </c>
    </row>
    <row r="84" spans="1:6" ht="15" customHeight="1" x14ac:dyDescent="0.2">
      <c r="A84" s="147">
        <v>23</v>
      </c>
      <c r="B84" s="160" t="s">
        <v>219</v>
      </c>
      <c r="C84" s="157">
        <v>27731</v>
      </c>
      <c r="D84" s="157">
        <v>224473</v>
      </c>
      <c r="E84" s="157">
        <f t="shared" si="2"/>
        <v>196742</v>
      </c>
      <c r="F84" s="161">
        <f t="shared" si="3"/>
        <v>7.0946594064404458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2429</v>
      </c>
      <c r="D86" s="157">
        <v>41156</v>
      </c>
      <c r="E86" s="157">
        <f t="shared" si="2"/>
        <v>38727</v>
      </c>
      <c r="F86" s="161">
        <f t="shared" si="3"/>
        <v>15.943598188554962</v>
      </c>
    </row>
    <row r="87" spans="1:6" ht="15" customHeight="1" x14ac:dyDescent="0.2">
      <c r="A87" s="147">
        <v>26</v>
      </c>
      <c r="B87" s="160" t="s">
        <v>222</v>
      </c>
      <c r="C87" s="157">
        <v>2100924</v>
      </c>
      <c r="D87" s="157">
        <v>3148339</v>
      </c>
      <c r="E87" s="157">
        <f t="shared" si="2"/>
        <v>1047415</v>
      </c>
      <c r="F87" s="161">
        <f t="shared" si="3"/>
        <v>0.4985496857573144</v>
      </c>
    </row>
    <row r="88" spans="1:6" ht="15" customHeight="1" x14ac:dyDescent="0.2">
      <c r="A88" s="147">
        <v>27</v>
      </c>
      <c r="B88" s="160" t="s">
        <v>223</v>
      </c>
      <c r="C88" s="157">
        <v>1197347</v>
      </c>
      <c r="D88" s="157">
        <v>1618242</v>
      </c>
      <c r="E88" s="157">
        <f t="shared" si="2"/>
        <v>420895</v>
      </c>
      <c r="F88" s="161">
        <f t="shared" si="3"/>
        <v>0.35152299208166055</v>
      </c>
    </row>
    <row r="89" spans="1:6" ht="15" customHeight="1" x14ac:dyDescent="0.2">
      <c r="A89" s="147">
        <v>28</v>
      </c>
      <c r="B89" s="160" t="s">
        <v>224</v>
      </c>
      <c r="C89" s="157">
        <v>6746688</v>
      </c>
      <c r="D89" s="157">
        <v>4861686</v>
      </c>
      <c r="E89" s="157">
        <f t="shared" si="2"/>
        <v>-1885002</v>
      </c>
      <c r="F89" s="161">
        <f t="shared" si="3"/>
        <v>-0.27939664617661286</v>
      </c>
    </row>
    <row r="90" spans="1:6" ht="15.75" customHeight="1" x14ac:dyDescent="0.25">
      <c r="A90" s="147"/>
      <c r="B90" s="162" t="s">
        <v>225</v>
      </c>
      <c r="C90" s="158">
        <f>SUM(C62:C89)</f>
        <v>14529823</v>
      </c>
      <c r="D90" s="158">
        <f>SUM(D62:D89)</f>
        <v>14551369</v>
      </c>
      <c r="E90" s="158">
        <f t="shared" si="2"/>
        <v>21546</v>
      </c>
      <c r="F90" s="159">
        <f t="shared" si="3"/>
        <v>1.482881105984567E-3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-1853677</v>
      </c>
      <c r="D93" s="157">
        <v>-1315411</v>
      </c>
      <c r="E93" s="157">
        <f>+D93-C93</f>
        <v>538266</v>
      </c>
      <c r="F93" s="161">
        <f>IF(C93=0,0,E93/C93)</f>
        <v>-0.29037744979303298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51745114</v>
      </c>
      <c r="D95" s="158">
        <f>+D93+D90+D59+D50+D47+D44+D41+D35+D30+D24+D18</f>
        <v>49401485</v>
      </c>
      <c r="E95" s="158">
        <f>+D95-C95</f>
        <v>-2343629</v>
      </c>
      <c r="F95" s="159">
        <f>IF(C95=0,0,E95/C95)</f>
        <v>-4.529179315364925E-2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9613215</v>
      </c>
      <c r="D103" s="157">
        <v>9830248</v>
      </c>
      <c r="E103" s="157">
        <f t="shared" ref="E103:E121" si="4">D103-C103</f>
        <v>217033</v>
      </c>
      <c r="F103" s="161">
        <f t="shared" ref="F103:F121" si="5">IF(C103=0,0,E103/C103)</f>
        <v>2.2576526167364403E-2</v>
      </c>
    </row>
    <row r="104" spans="1:6" ht="15" customHeight="1" x14ac:dyDescent="0.2">
      <c r="A104" s="147">
        <v>2</v>
      </c>
      <c r="B104" s="169" t="s">
        <v>234</v>
      </c>
      <c r="C104" s="157">
        <v>0</v>
      </c>
      <c r="D104" s="157">
        <v>0</v>
      </c>
      <c r="E104" s="157">
        <f t="shared" si="4"/>
        <v>0</v>
      </c>
      <c r="F104" s="161">
        <f t="shared" si="5"/>
        <v>0</v>
      </c>
    </row>
    <row r="105" spans="1:6" ht="15" customHeight="1" x14ac:dyDescent="0.2">
      <c r="A105" s="147">
        <v>3</v>
      </c>
      <c r="B105" s="169" t="s">
        <v>235</v>
      </c>
      <c r="C105" s="157">
        <v>0</v>
      </c>
      <c r="D105" s="157">
        <v>0</v>
      </c>
      <c r="E105" s="157">
        <f t="shared" si="4"/>
        <v>0</v>
      </c>
      <c r="F105" s="161">
        <f t="shared" si="5"/>
        <v>0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802351</v>
      </c>
      <c r="D110" s="157">
        <v>859923</v>
      </c>
      <c r="E110" s="157">
        <f t="shared" si="4"/>
        <v>57572</v>
      </c>
      <c r="F110" s="161">
        <f t="shared" si="5"/>
        <v>7.1754132542989291E-2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907996</v>
      </c>
      <c r="D112" s="157">
        <v>946955</v>
      </c>
      <c r="E112" s="157">
        <f t="shared" si="4"/>
        <v>38959</v>
      </c>
      <c r="F112" s="161">
        <f t="shared" si="5"/>
        <v>4.2906576680954545E-2</v>
      </c>
    </row>
    <row r="113" spans="1:6" ht="15" customHeight="1" x14ac:dyDescent="0.2">
      <c r="A113" s="147">
        <v>11</v>
      </c>
      <c r="B113" s="169" t="s">
        <v>243</v>
      </c>
      <c r="C113" s="157">
        <v>489901</v>
      </c>
      <c r="D113" s="157">
        <v>474825</v>
      </c>
      <c r="E113" s="157">
        <f t="shared" si="4"/>
        <v>-15076</v>
      </c>
      <c r="F113" s="161">
        <f t="shared" si="5"/>
        <v>-3.0773564454859247E-2</v>
      </c>
    </row>
    <row r="114" spans="1:6" ht="15" customHeight="1" x14ac:dyDescent="0.2">
      <c r="A114" s="147">
        <v>12</v>
      </c>
      <c r="B114" s="169" t="s">
        <v>244</v>
      </c>
      <c r="C114" s="157">
        <v>233572</v>
      </c>
      <c r="D114" s="157">
        <v>225434</v>
      </c>
      <c r="E114" s="157">
        <f t="shared" si="4"/>
        <v>-8138</v>
      </c>
      <c r="F114" s="161">
        <f t="shared" si="5"/>
        <v>-3.4841504974911376E-2</v>
      </c>
    </row>
    <row r="115" spans="1:6" ht="15" customHeight="1" x14ac:dyDescent="0.2">
      <c r="A115" s="147">
        <v>13</v>
      </c>
      <c r="B115" s="169" t="s">
        <v>245</v>
      </c>
      <c r="C115" s="157">
        <v>2752798</v>
      </c>
      <c r="D115" s="157">
        <v>2585969</v>
      </c>
      <c r="E115" s="157">
        <f t="shared" si="4"/>
        <v>-166829</v>
      </c>
      <c r="F115" s="161">
        <f t="shared" si="5"/>
        <v>-6.060342967409886E-2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2669606</v>
      </c>
      <c r="D119" s="157">
        <v>2965078</v>
      </c>
      <c r="E119" s="157">
        <f t="shared" si="4"/>
        <v>295472</v>
      </c>
      <c r="F119" s="161">
        <f t="shared" si="5"/>
        <v>0.11068000296672992</v>
      </c>
    </row>
    <row r="120" spans="1:6" ht="15" customHeight="1" x14ac:dyDescent="0.2">
      <c r="A120" s="147">
        <v>18</v>
      </c>
      <c r="B120" s="169" t="s">
        <v>249</v>
      </c>
      <c r="C120" s="157">
        <v>11590019</v>
      </c>
      <c r="D120" s="157">
        <v>9960518</v>
      </c>
      <c r="E120" s="157">
        <f t="shared" si="4"/>
        <v>-1629501</v>
      </c>
      <c r="F120" s="161">
        <f t="shared" si="5"/>
        <v>-0.14059519660839209</v>
      </c>
    </row>
    <row r="121" spans="1:6" ht="15.75" customHeight="1" x14ac:dyDescent="0.25">
      <c r="A121" s="147"/>
      <c r="B121" s="165" t="s">
        <v>250</v>
      </c>
      <c r="C121" s="158">
        <f>SUM(C103:C120)</f>
        <v>29059458</v>
      </c>
      <c r="D121" s="158">
        <f>SUM(D103:D120)</f>
        <v>27848950</v>
      </c>
      <c r="E121" s="158">
        <f t="shared" si="4"/>
        <v>-1210508</v>
      </c>
      <c r="F121" s="159">
        <f t="shared" si="5"/>
        <v>-4.1656248371872595E-2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905739</v>
      </c>
      <c r="D124" s="157">
        <v>780928</v>
      </c>
      <c r="E124" s="157">
        <f t="shared" ref="E124:E130" si="6">D124-C124</f>
        <v>-124811</v>
      </c>
      <c r="F124" s="161">
        <f t="shared" ref="F124:F130" si="7">IF(C124=0,0,E124/C124)</f>
        <v>-0.13780018305494188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1073272</v>
      </c>
      <c r="D126" s="157">
        <v>945300</v>
      </c>
      <c r="E126" s="157">
        <f t="shared" si="6"/>
        <v>-127972</v>
      </c>
      <c r="F126" s="161">
        <f t="shared" si="7"/>
        <v>-0.11923538487913594</v>
      </c>
    </row>
    <row r="127" spans="1:6" ht="15" customHeight="1" x14ac:dyDescent="0.2">
      <c r="A127" s="147">
        <v>4</v>
      </c>
      <c r="B127" s="169" t="s">
        <v>255</v>
      </c>
      <c r="C127" s="157">
        <v>0</v>
      </c>
      <c r="D127" s="157">
        <v>0</v>
      </c>
      <c r="E127" s="157">
        <f t="shared" si="6"/>
        <v>0</v>
      </c>
      <c r="F127" s="161">
        <f t="shared" si="7"/>
        <v>0</v>
      </c>
    </row>
    <row r="128" spans="1:6" ht="15" customHeight="1" x14ac:dyDescent="0.2">
      <c r="A128" s="147">
        <v>5</v>
      </c>
      <c r="B128" s="169" t="s">
        <v>256</v>
      </c>
      <c r="C128" s="157">
        <v>421651</v>
      </c>
      <c r="D128" s="157">
        <v>583388</v>
      </c>
      <c r="E128" s="157">
        <f t="shared" si="6"/>
        <v>161737</v>
      </c>
      <c r="F128" s="161">
        <f t="shared" si="7"/>
        <v>0.38358025950371277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2400662</v>
      </c>
      <c r="D130" s="158">
        <f>SUM(D124:D129)</f>
        <v>2309616</v>
      </c>
      <c r="E130" s="158">
        <f t="shared" si="6"/>
        <v>-91046</v>
      </c>
      <c r="F130" s="159">
        <f t="shared" si="7"/>
        <v>-3.7925372251487295E-2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1895658</v>
      </c>
      <c r="D133" s="157">
        <v>1866286</v>
      </c>
      <c r="E133" s="157">
        <f t="shared" ref="E133:E167" si="8">D133-C133</f>
        <v>-29372</v>
      </c>
      <c r="F133" s="161">
        <f t="shared" ref="F133:F167" si="9">IF(C133=0,0,E133/C133)</f>
        <v>-1.5494356049456178E-2</v>
      </c>
    </row>
    <row r="134" spans="1:6" ht="15" customHeight="1" x14ac:dyDescent="0.2">
      <c r="A134" s="147">
        <v>2</v>
      </c>
      <c r="B134" s="169" t="s">
        <v>261</v>
      </c>
      <c r="C134" s="157">
        <v>169754</v>
      </c>
      <c r="D134" s="157">
        <v>165562</v>
      </c>
      <c r="E134" s="157">
        <f t="shared" si="8"/>
        <v>-4192</v>
      </c>
      <c r="F134" s="161">
        <f t="shared" si="9"/>
        <v>-2.4694558007469631E-2</v>
      </c>
    </row>
    <row r="135" spans="1:6" ht="15" customHeight="1" x14ac:dyDescent="0.2">
      <c r="A135" s="147">
        <v>3</v>
      </c>
      <c r="B135" s="169" t="s">
        <v>262</v>
      </c>
      <c r="C135" s="157">
        <v>27676</v>
      </c>
      <c r="D135" s="157">
        <v>28483</v>
      </c>
      <c r="E135" s="157">
        <f t="shared" si="8"/>
        <v>807</v>
      </c>
      <c r="F135" s="161">
        <f t="shared" si="9"/>
        <v>2.9158837982367396E-2</v>
      </c>
    </row>
    <row r="136" spans="1:6" ht="15" customHeight="1" x14ac:dyDescent="0.2">
      <c r="A136" s="147">
        <v>4</v>
      </c>
      <c r="B136" s="169" t="s">
        <v>263</v>
      </c>
      <c r="C136" s="157">
        <v>408531</v>
      </c>
      <c r="D136" s="157">
        <v>479463</v>
      </c>
      <c r="E136" s="157">
        <f t="shared" si="8"/>
        <v>70932</v>
      </c>
      <c r="F136" s="161">
        <f t="shared" si="9"/>
        <v>0.17362697078067515</v>
      </c>
    </row>
    <row r="137" spans="1:6" ht="15" customHeight="1" x14ac:dyDescent="0.2">
      <c r="A137" s="147">
        <v>5</v>
      </c>
      <c r="B137" s="169" t="s">
        <v>264</v>
      </c>
      <c r="C137" s="157">
        <v>1739300</v>
      </c>
      <c r="D137" s="157">
        <v>1623588</v>
      </c>
      <c r="E137" s="157">
        <f t="shared" si="8"/>
        <v>-115712</v>
      </c>
      <c r="F137" s="161">
        <f t="shared" si="9"/>
        <v>-6.6527913528430974E-2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315574</v>
      </c>
      <c r="D140" s="157">
        <v>291512</v>
      </c>
      <c r="E140" s="157">
        <f t="shared" si="8"/>
        <v>-24062</v>
      </c>
      <c r="F140" s="161">
        <f t="shared" si="9"/>
        <v>-7.6248360131062759E-2</v>
      </c>
    </row>
    <row r="141" spans="1:6" ht="15" customHeight="1" x14ac:dyDescent="0.2">
      <c r="A141" s="147">
        <v>9</v>
      </c>
      <c r="B141" s="169" t="s">
        <v>268</v>
      </c>
      <c r="C141" s="157">
        <v>203153</v>
      </c>
      <c r="D141" s="157">
        <v>160547</v>
      </c>
      <c r="E141" s="157">
        <f t="shared" si="8"/>
        <v>-42606</v>
      </c>
      <c r="F141" s="161">
        <f t="shared" si="9"/>
        <v>-0.20972370577840346</v>
      </c>
    </row>
    <row r="142" spans="1:6" ht="15" customHeight="1" x14ac:dyDescent="0.2">
      <c r="A142" s="147">
        <v>10</v>
      </c>
      <c r="B142" s="169" t="s">
        <v>269</v>
      </c>
      <c r="C142" s="157">
        <v>3004598</v>
      </c>
      <c r="D142" s="157">
        <v>2426927</v>
      </c>
      <c r="E142" s="157">
        <f t="shared" si="8"/>
        <v>-577671</v>
      </c>
      <c r="F142" s="161">
        <f t="shared" si="9"/>
        <v>-0.19226232594177325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287278</v>
      </c>
      <c r="D145" s="157">
        <v>266976</v>
      </c>
      <c r="E145" s="157">
        <f t="shared" si="8"/>
        <v>-20302</v>
      </c>
      <c r="F145" s="161">
        <f t="shared" si="9"/>
        <v>-7.0670221875674427E-2</v>
      </c>
    </row>
    <row r="146" spans="1:6" ht="15" customHeight="1" x14ac:dyDescent="0.2">
      <c r="A146" s="147">
        <v>14</v>
      </c>
      <c r="B146" s="169" t="s">
        <v>273</v>
      </c>
      <c r="C146" s="157">
        <v>229192</v>
      </c>
      <c r="D146" s="157">
        <v>205028</v>
      </c>
      <c r="E146" s="157">
        <f t="shared" si="8"/>
        <v>-24164</v>
      </c>
      <c r="F146" s="161">
        <f t="shared" si="9"/>
        <v>-0.10543125414499634</v>
      </c>
    </row>
    <row r="147" spans="1:6" ht="15" customHeight="1" x14ac:dyDescent="0.2">
      <c r="A147" s="147">
        <v>15</v>
      </c>
      <c r="B147" s="169" t="s">
        <v>274</v>
      </c>
      <c r="C147" s="157">
        <v>87300</v>
      </c>
      <c r="D147" s="157">
        <v>95225</v>
      </c>
      <c r="E147" s="157">
        <f t="shared" si="8"/>
        <v>7925</v>
      </c>
      <c r="F147" s="161">
        <f t="shared" si="9"/>
        <v>9.0778923253150054E-2</v>
      </c>
    </row>
    <row r="148" spans="1:6" ht="15" customHeight="1" x14ac:dyDescent="0.2">
      <c r="A148" s="147">
        <v>16</v>
      </c>
      <c r="B148" s="169" t="s">
        <v>275</v>
      </c>
      <c r="C148" s="157">
        <v>81785</v>
      </c>
      <c r="D148" s="157">
        <v>99886</v>
      </c>
      <c r="E148" s="157">
        <f t="shared" si="8"/>
        <v>18101</v>
      </c>
      <c r="F148" s="161">
        <f t="shared" si="9"/>
        <v>0.22132420370483585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426014</v>
      </c>
      <c r="D150" s="157">
        <v>422018</v>
      </c>
      <c r="E150" s="157">
        <f t="shared" si="8"/>
        <v>-3996</v>
      </c>
      <c r="F150" s="161">
        <f t="shared" si="9"/>
        <v>-9.3799734281033026E-3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53255</v>
      </c>
      <c r="D154" s="157">
        <v>0</v>
      </c>
      <c r="E154" s="157">
        <f t="shared" si="8"/>
        <v>-53255</v>
      </c>
      <c r="F154" s="161">
        <f t="shared" si="9"/>
        <v>-1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1753581</v>
      </c>
      <c r="D156" s="157">
        <v>1697929</v>
      </c>
      <c r="E156" s="157">
        <f t="shared" si="8"/>
        <v>-55652</v>
      </c>
      <c r="F156" s="161">
        <f t="shared" si="9"/>
        <v>-3.1736201521344036E-2</v>
      </c>
    </row>
    <row r="157" spans="1:6" ht="15" customHeight="1" x14ac:dyDescent="0.2">
      <c r="A157" s="147">
        <v>25</v>
      </c>
      <c r="B157" s="169" t="s">
        <v>284</v>
      </c>
      <c r="C157" s="157">
        <v>292293</v>
      </c>
      <c r="D157" s="157">
        <v>267549</v>
      </c>
      <c r="E157" s="157">
        <f t="shared" si="8"/>
        <v>-24744</v>
      </c>
      <c r="F157" s="161">
        <f t="shared" si="9"/>
        <v>-8.4654781332430123E-2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67159</v>
      </c>
      <c r="D163" s="157">
        <v>41708</v>
      </c>
      <c r="E163" s="157">
        <f t="shared" si="8"/>
        <v>-25451</v>
      </c>
      <c r="F163" s="161">
        <f t="shared" si="9"/>
        <v>-0.37896633362617071</v>
      </c>
    </row>
    <row r="164" spans="1:6" ht="15" customHeight="1" x14ac:dyDescent="0.2">
      <c r="A164" s="147">
        <v>32</v>
      </c>
      <c r="B164" s="169" t="s">
        <v>291</v>
      </c>
      <c r="C164" s="157">
        <v>772191</v>
      </c>
      <c r="D164" s="157">
        <v>630601</v>
      </c>
      <c r="E164" s="157">
        <f t="shared" si="8"/>
        <v>-141590</v>
      </c>
      <c r="F164" s="161">
        <f t="shared" si="9"/>
        <v>-0.18336137043814291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2140641</v>
      </c>
      <c r="D166" s="157">
        <v>2658318</v>
      </c>
      <c r="E166" s="157">
        <f t="shared" si="8"/>
        <v>517677</v>
      </c>
      <c r="F166" s="161">
        <f t="shared" si="9"/>
        <v>0.24183270338183749</v>
      </c>
    </row>
    <row r="167" spans="1:6" ht="15.75" customHeight="1" x14ac:dyDescent="0.25">
      <c r="A167" s="147"/>
      <c r="B167" s="165" t="s">
        <v>294</v>
      </c>
      <c r="C167" s="158">
        <f>SUM(C133:C166)</f>
        <v>13954933</v>
      </c>
      <c r="D167" s="158">
        <f>SUM(D133:D166)</f>
        <v>13427606</v>
      </c>
      <c r="E167" s="158">
        <f t="shared" si="8"/>
        <v>-527327</v>
      </c>
      <c r="F167" s="159">
        <f t="shared" si="9"/>
        <v>-3.7787856093612203E-2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2484745</v>
      </c>
      <c r="D170" s="157">
        <v>2450044</v>
      </c>
      <c r="E170" s="157">
        <f t="shared" ref="E170:E183" si="10">D170-C170</f>
        <v>-34701</v>
      </c>
      <c r="F170" s="161">
        <f t="shared" ref="F170:F183" si="11">IF(C170=0,0,E170/C170)</f>
        <v>-1.3965618202270253E-2</v>
      </c>
    </row>
    <row r="171" spans="1:6" ht="15" customHeight="1" x14ac:dyDescent="0.2">
      <c r="A171" s="147">
        <v>2</v>
      </c>
      <c r="B171" s="169" t="s">
        <v>297</v>
      </c>
      <c r="C171" s="157">
        <v>1062395</v>
      </c>
      <c r="D171" s="157">
        <v>1001532</v>
      </c>
      <c r="E171" s="157">
        <f t="shared" si="10"/>
        <v>-60863</v>
      </c>
      <c r="F171" s="161">
        <f t="shared" si="11"/>
        <v>-5.7288484979692113E-2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1897857</v>
      </c>
      <c r="D173" s="157">
        <v>1982927</v>
      </c>
      <c r="E173" s="157">
        <f t="shared" si="10"/>
        <v>85070</v>
      </c>
      <c r="F173" s="161">
        <f t="shared" si="11"/>
        <v>4.4824241236299682E-2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317361</v>
      </c>
      <c r="D176" s="157">
        <v>380810</v>
      </c>
      <c r="E176" s="157">
        <f t="shared" si="10"/>
        <v>63449</v>
      </c>
      <c r="F176" s="161">
        <f t="shared" si="11"/>
        <v>0.19992689712976705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567703</v>
      </c>
      <c r="D182" s="157">
        <v>0</v>
      </c>
      <c r="E182" s="157">
        <f t="shared" si="10"/>
        <v>-567703</v>
      </c>
      <c r="F182" s="161">
        <f t="shared" si="11"/>
        <v>-1</v>
      </c>
    </row>
    <row r="183" spans="1:6" ht="15.75" customHeight="1" x14ac:dyDescent="0.25">
      <c r="A183" s="147"/>
      <c r="B183" s="165" t="s">
        <v>309</v>
      </c>
      <c r="C183" s="158">
        <f>SUM(C170:C182)</f>
        <v>6330061</v>
      </c>
      <c r="D183" s="158">
        <f>SUM(D170:D182)</f>
        <v>5815313</v>
      </c>
      <c r="E183" s="158">
        <f t="shared" si="10"/>
        <v>-514748</v>
      </c>
      <c r="F183" s="159">
        <f t="shared" si="11"/>
        <v>-8.1318015734761481E-2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51745114</v>
      </c>
      <c r="D188" s="158">
        <f>+D186+D183+D167+D130+D121</f>
        <v>49401485</v>
      </c>
      <c r="E188" s="158">
        <f>D188-C188</f>
        <v>-2343629</v>
      </c>
      <c r="F188" s="159">
        <f>IF(C188=0,0,E188/C188)</f>
        <v>-4.529179315364925E-2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55537559</v>
      </c>
      <c r="D11" s="183">
        <v>54558825</v>
      </c>
      <c r="E11" s="76">
        <v>53746903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457560</v>
      </c>
      <c r="D12" s="185">
        <v>453530</v>
      </c>
      <c r="E12" s="185">
        <v>429185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55995119</v>
      </c>
      <c r="D13" s="76">
        <f>+D11+D12</f>
        <v>55012355</v>
      </c>
      <c r="E13" s="76">
        <f>+E11+E12</f>
        <v>54176088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53061849</v>
      </c>
      <c r="D14" s="185">
        <v>51745114</v>
      </c>
      <c r="E14" s="185">
        <v>49401485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2933270</v>
      </c>
      <c r="D15" s="76">
        <f>+D13-D14</f>
        <v>3267241</v>
      </c>
      <c r="E15" s="76">
        <f>+E13-E14</f>
        <v>4774603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0</v>
      </c>
      <c r="D16" s="185">
        <v>0</v>
      </c>
      <c r="E16" s="185">
        <v>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2933270</v>
      </c>
      <c r="D17" s="76">
        <f>D15+D16</f>
        <v>3267241</v>
      </c>
      <c r="E17" s="76">
        <f>E15+E16</f>
        <v>4774603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5.2384387289184972E-2</v>
      </c>
      <c r="D20" s="189">
        <f>IF(+D27=0,0,+D24/+D27)</f>
        <v>5.9391040430826859E-2</v>
      </c>
      <c r="E20" s="189">
        <f>IF(+E27=0,0,+E24/+E27)</f>
        <v>8.8131188062157612E-2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0</v>
      </c>
      <c r="D21" s="189">
        <f>IF(D27=0,0,+D26/D27)</f>
        <v>0</v>
      </c>
      <c r="E21" s="189">
        <f>IF(E27=0,0,+E26/E27)</f>
        <v>0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5.2384387289184972E-2</v>
      </c>
      <c r="D22" s="189">
        <f>IF(D27=0,0,+D28/D27)</f>
        <v>5.9391040430826859E-2</v>
      </c>
      <c r="E22" s="189">
        <f>IF(E27=0,0,+E28/E27)</f>
        <v>8.8131188062157612E-2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2933270</v>
      </c>
      <c r="D24" s="76">
        <f>+D15</f>
        <v>3267241</v>
      </c>
      <c r="E24" s="76">
        <f>+E15</f>
        <v>4774603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55995119</v>
      </c>
      <c r="D25" s="76">
        <f>+D13</f>
        <v>55012355</v>
      </c>
      <c r="E25" s="76">
        <f>+E13</f>
        <v>54176088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0</v>
      </c>
      <c r="D26" s="76">
        <f>+D16</f>
        <v>0</v>
      </c>
      <c r="E26" s="76">
        <f>+E16</f>
        <v>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55995119</v>
      </c>
      <c r="D27" s="76">
        <f>+D25+D26</f>
        <v>55012355</v>
      </c>
      <c r="E27" s="76">
        <f>+E25+E26</f>
        <v>54176088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2933270</v>
      </c>
      <c r="D28" s="76">
        <f>+D17</f>
        <v>3267241</v>
      </c>
      <c r="E28" s="76">
        <f>+E17</f>
        <v>4774603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21632914</v>
      </c>
      <c r="D31" s="76">
        <v>24878651</v>
      </c>
      <c r="E31" s="76">
        <v>30054582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21632914</v>
      </c>
      <c r="D32" s="76">
        <v>24878651</v>
      </c>
      <c r="E32" s="76">
        <v>30054582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3365092</v>
      </c>
      <c r="D33" s="76">
        <f>+D32-C32</f>
        <v>3245737</v>
      </c>
      <c r="E33" s="76">
        <f>+E32-D32</f>
        <v>5175931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1.1841999999999999</v>
      </c>
      <c r="D34" s="193">
        <f>IF(C32=0,0,+D33/C32)</f>
        <v>0.15003697606341893</v>
      </c>
      <c r="E34" s="193">
        <f>IF(D32=0,0,+E33/D32)</f>
        <v>0.20804709226396559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0.40753962745063926</v>
      </c>
      <c r="D38" s="195">
        <f>IF((D40+D41)=0,0,+D39/(D40+D41))</f>
        <v>0.37257444812373952</v>
      </c>
      <c r="E38" s="195">
        <f>IF((E40+E41)=0,0,+E39/(E40+E41))</f>
        <v>0.33408675973696855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53061849</v>
      </c>
      <c r="D39" s="76">
        <v>51745114</v>
      </c>
      <c r="E39" s="196">
        <v>49401485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129742905</v>
      </c>
      <c r="D40" s="76">
        <v>138431770</v>
      </c>
      <c r="E40" s="196">
        <v>147441042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457560</v>
      </c>
      <c r="D41" s="76">
        <v>453530</v>
      </c>
      <c r="E41" s="196">
        <v>429185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1.193961017207319</v>
      </c>
      <c r="D43" s="197">
        <f>IF(D38=0,0,IF((D46-D47)=0,0,((+D44-D45)/(D46-D47)/D38)))</f>
        <v>1.2514620663480185</v>
      </c>
      <c r="E43" s="197">
        <f>IF(E38=0,0,IF((E46-E47)=0,0,((+E44-E45)/(E46-E47)/E38)))</f>
        <v>1.3094621361111916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24075381</v>
      </c>
      <c r="D44" s="76">
        <v>23341797</v>
      </c>
      <c r="E44" s="196">
        <v>23155548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250966</v>
      </c>
      <c r="D45" s="76">
        <v>680119</v>
      </c>
      <c r="E45" s="196">
        <v>651124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52184837</v>
      </c>
      <c r="D46" s="76">
        <v>52514475</v>
      </c>
      <c r="E46" s="196">
        <v>55244177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3222487</v>
      </c>
      <c r="D47" s="76">
        <v>3911673</v>
      </c>
      <c r="E47" s="76">
        <v>3802432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0.90593039710403156</v>
      </c>
      <c r="D49" s="198">
        <f>IF(D38=0,0,IF(D51=0,0,(D50/D51)/D38))</f>
        <v>0.92007966185749479</v>
      </c>
      <c r="E49" s="198">
        <f>IF(E38=0,0,IF(E51=0,0,(E50/E51)/E38))</f>
        <v>1.0039727713897144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24162906</v>
      </c>
      <c r="D50" s="199">
        <v>24473538</v>
      </c>
      <c r="E50" s="199">
        <v>25498542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65446208</v>
      </c>
      <c r="D51" s="199">
        <v>71393432</v>
      </c>
      <c r="E51" s="199">
        <v>76021100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0.66869853203115659</v>
      </c>
      <c r="D53" s="198">
        <f>IF(D38=0,0,IF(D55=0,0,(D54/D55)/D38))</f>
        <v>0.66661910607293262</v>
      </c>
      <c r="E53" s="198">
        <f>IF(E38=0,0,IF(E55=0,0,(E54/E55)/E38))</f>
        <v>0.74123078903885731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1938129</v>
      </c>
      <c r="D54" s="199">
        <v>2002907</v>
      </c>
      <c r="E54" s="199">
        <v>2090929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7111848</v>
      </c>
      <c r="D55" s="199">
        <v>8064361</v>
      </c>
      <c r="E55" s="199">
        <v>8443579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1825630.4091733543</v>
      </c>
      <c r="D57" s="88">
        <f>+D60*D38</f>
        <v>1400677.2444454813</v>
      </c>
      <c r="E57" s="88">
        <f>+E60*E38</f>
        <v>1080914.3250557801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942411</v>
      </c>
      <c r="D58" s="199">
        <v>760089</v>
      </c>
      <c r="E58" s="199">
        <v>941923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3537228</v>
      </c>
      <c r="D59" s="199">
        <v>2999367</v>
      </c>
      <c r="E59" s="199">
        <v>2293507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4479639</v>
      </c>
      <c r="D60" s="76">
        <v>3759456</v>
      </c>
      <c r="E60" s="201">
        <v>3235430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3.4405706615563927E-2</v>
      </c>
      <c r="D62" s="202">
        <f>IF(D63=0,0,+D57/D63)</f>
        <v>2.7068782657343866E-2</v>
      </c>
      <c r="E62" s="202">
        <f>IF(E63=0,0,+E57/E63)</f>
        <v>2.1880199047777209E-2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53061849</v>
      </c>
      <c r="D63" s="199">
        <v>51745114</v>
      </c>
      <c r="E63" s="199">
        <v>49401485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1.3738446402001705</v>
      </c>
      <c r="D67" s="203">
        <f>IF(D69=0,0,D68/D69)</f>
        <v>1.7801806406166703</v>
      </c>
      <c r="E67" s="203">
        <f>IF(E69=0,0,E68/E69)</f>
        <v>2.0662173401380346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9594446</v>
      </c>
      <c r="D68" s="204">
        <v>9299993</v>
      </c>
      <c r="E68" s="204">
        <v>11159582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6983647</v>
      </c>
      <c r="D69" s="204">
        <v>5224185</v>
      </c>
      <c r="E69" s="204">
        <v>5400972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</v>
      </c>
      <c r="D71" s="203">
        <f>IF((D77/365)=0,0,+D74/(D77/365))</f>
        <v>0</v>
      </c>
      <c r="E71" s="203">
        <f>IF((E77/365)=0,0,+E74/(E77/365))</f>
        <v>0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0</v>
      </c>
      <c r="D72" s="183">
        <v>0</v>
      </c>
      <c r="E72" s="183">
        <v>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0</v>
      </c>
      <c r="D74" s="204">
        <f>+D72+D73</f>
        <v>0</v>
      </c>
      <c r="E74" s="204">
        <f>+E72+E73</f>
        <v>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53061849</v>
      </c>
      <c r="D75" s="204">
        <f>+D14</f>
        <v>51745114</v>
      </c>
      <c r="E75" s="204">
        <f>+E14</f>
        <v>49401485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3122389</v>
      </c>
      <c r="D76" s="204">
        <v>3051773</v>
      </c>
      <c r="E76" s="204">
        <v>3004141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49939460</v>
      </c>
      <c r="D77" s="204">
        <f>+D75-D76</f>
        <v>48693341</v>
      </c>
      <c r="E77" s="204">
        <f>+E75-E76</f>
        <v>46397344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42.282245155931328</v>
      </c>
      <c r="D79" s="203">
        <f>IF((D84/365)=0,0,+D83/(D84/365))</f>
        <v>46.342022853314745</v>
      </c>
      <c r="E79" s="203">
        <f>IF((E84/365)=0,0,+E83/(E84/365))</f>
        <v>45.688225887173445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6874918</v>
      </c>
      <c r="D80" s="212">
        <v>6927031</v>
      </c>
      <c r="E80" s="212">
        <v>7018848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441349</v>
      </c>
      <c r="D82" s="212">
        <v>0</v>
      </c>
      <c r="E82" s="212">
        <v>291175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6433569</v>
      </c>
      <c r="D83" s="212">
        <f>+D80+D81-D82</f>
        <v>6927031</v>
      </c>
      <c r="E83" s="212">
        <f>+E80+E81-E82</f>
        <v>6727673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55537559</v>
      </c>
      <c r="D84" s="204">
        <f>+D11</f>
        <v>54558825</v>
      </c>
      <c r="E84" s="204">
        <f>+E11</f>
        <v>53746903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51.042425268515117</v>
      </c>
      <c r="D86" s="203">
        <f>IF((D90/365)=0,0,+D87/(D90/365))</f>
        <v>39.159923838456677</v>
      </c>
      <c r="E86" s="203">
        <f>IF((E90/365)=0,0,+E87/(E90/365))</f>
        <v>42.488526498413357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6983647</v>
      </c>
      <c r="D87" s="76">
        <f>+D69</f>
        <v>5224185</v>
      </c>
      <c r="E87" s="76">
        <f>+E69</f>
        <v>5400972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53061849</v>
      </c>
      <c r="D88" s="76">
        <f t="shared" si="0"/>
        <v>51745114</v>
      </c>
      <c r="E88" s="76">
        <f t="shared" si="0"/>
        <v>49401485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3122389</v>
      </c>
      <c r="D89" s="201">
        <f t="shared" si="0"/>
        <v>3051773</v>
      </c>
      <c r="E89" s="201">
        <f t="shared" si="0"/>
        <v>3004141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49939460</v>
      </c>
      <c r="D90" s="76">
        <f>+D88-D89</f>
        <v>48693341</v>
      </c>
      <c r="E90" s="76">
        <f>+E88-E89</f>
        <v>46397344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33.57519062140765</v>
      </c>
      <c r="D94" s="214">
        <f>IF(D96=0,0,(D95/D96)*100)</f>
        <v>52.924117102660162</v>
      </c>
      <c r="E94" s="214">
        <f>IF(E96=0,0,(E95/E96)*100)</f>
        <v>65.187964861126886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21632914</v>
      </c>
      <c r="D95" s="76">
        <f>+D32</f>
        <v>24878651</v>
      </c>
      <c r="E95" s="76">
        <f>+E32</f>
        <v>30054582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64431247</v>
      </c>
      <c r="D96" s="76">
        <v>47008155</v>
      </c>
      <c r="E96" s="76">
        <v>46104495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15.018568296184631</v>
      </c>
      <c r="D98" s="214">
        <f>IF(D104=0,0,(D101/D104)*100)</f>
        <v>31.402971741264341</v>
      </c>
      <c r="E98" s="214">
        <f>IF(E104=0,0,(E101/E104)*100)</f>
        <v>54.673585702277869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2933270</v>
      </c>
      <c r="D99" s="76">
        <f>+D28</f>
        <v>3267241</v>
      </c>
      <c r="E99" s="76">
        <f>+E28</f>
        <v>4774603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3122389</v>
      </c>
      <c r="D100" s="201">
        <f>+D76</f>
        <v>3051773</v>
      </c>
      <c r="E100" s="201">
        <f>+E76</f>
        <v>3004141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6055659</v>
      </c>
      <c r="D101" s="76">
        <f>+D99+D100</f>
        <v>6319014</v>
      </c>
      <c r="E101" s="76">
        <f>+E99+E100</f>
        <v>7778744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6983647</v>
      </c>
      <c r="D102" s="204">
        <f>+D69</f>
        <v>5224185</v>
      </c>
      <c r="E102" s="204">
        <f>+E69</f>
        <v>5400972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33337500</v>
      </c>
      <c r="D103" s="216">
        <v>14898159</v>
      </c>
      <c r="E103" s="216">
        <v>8826637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40321147</v>
      </c>
      <c r="D104" s="204">
        <f>+D102+D103</f>
        <v>20122344</v>
      </c>
      <c r="E104" s="204">
        <f>+E102+E103</f>
        <v>14227609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60.646259640685983</v>
      </c>
      <c r="D106" s="214">
        <f>IF(D109=0,0,(D107/D109)*100)</f>
        <v>37.454383596874663</v>
      </c>
      <c r="E106" s="214">
        <f>IF(E109=0,0,(E107/E109)*100)</f>
        <v>22.701543899639567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33337500</v>
      </c>
      <c r="D107" s="204">
        <f>+D103</f>
        <v>14898159</v>
      </c>
      <c r="E107" s="204">
        <f>+E103</f>
        <v>8826637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21632914</v>
      </c>
      <c r="D108" s="204">
        <f>+D32</f>
        <v>24878651</v>
      </c>
      <c r="E108" s="204">
        <f>+E32</f>
        <v>30054582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54970414</v>
      </c>
      <c r="D109" s="204">
        <f>+D107+D108</f>
        <v>39776810</v>
      </c>
      <c r="E109" s="204">
        <f>+E107+E108</f>
        <v>38881219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3.8325062675304689</v>
      </c>
      <c r="D111" s="214">
        <f>IF((+D113+D115)=0,0,((+D112+D113+D114)/(+D113+D115)))</f>
        <v>0.19085183299050298</v>
      </c>
      <c r="E111" s="214">
        <f>IF((+E113+E115)=0,0,((+E112+E113+E114)/(+E113+E115)))</f>
        <v>7778744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2933270</v>
      </c>
      <c r="D112" s="76">
        <f>+D17</f>
        <v>3267241</v>
      </c>
      <c r="E112" s="76">
        <f>+E17</f>
        <v>4774603</v>
      </c>
    </row>
    <row r="113" spans="1:8" ht="24" customHeight="1" x14ac:dyDescent="0.2">
      <c r="A113" s="85">
        <v>17</v>
      </c>
      <c r="B113" s="75" t="s">
        <v>88</v>
      </c>
      <c r="C113" s="218">
        <v>1664350</v>
      </c>
      <c r="D113" s="76">
        <v>136325</v>
      </c>
      <c r="E113" s="76">
        <v>0</v>
      </c>
    </row>
    <row r="114" spans="1:8" ht="24" customHeight="1" x14ac:dyDescent="0.2">
      <c r="A114" s="85">
        <v>18</v>
      </c>
      <c r="B114" s="75" t="s">
        <v>374</v>
      </c>
      <c r="C114" s="218">
        <v>3122389</v>
      </c>
      <c r="D114" s="76">
        <v>3051773</v>
      </c>
      <c r="E114" s="76">
        <v>3004141</v>
      </c>
    </row>
    <row r="115" spans="1:8" ht="24" customHeight="1" x14ac:dyDescent="0.2">
      <c r="A115" s="85">
        <v>19</v>
      </c>
      <c r="B115" s="75" t="s">
        <v>104</v>
      </c>
      <c r="C115" s="218">
        <v>350000</v>
      </c>
      <c r="D115" s="76">
        <v>33687500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7.1916369164764546</v>
      </c>
      <c r="D119" s="214">
        <f>IF(+D121=0,0,(+D120)/(+D121))</f>
        <v>8.5329213542422711</v>
      </c>
      <c r="E119" s="214">
        <f>IF(+E121=0,0,(+E120)/(+E121))</f>
        <v>9.5037792833292443</v>
      </c>
    </row>
    <row r="120" spans="1:8" ht="24" customHeight="1" x14ac:dyDescent="0.2">
      <c r="A120" s="85">
        <v>21</v>
      </c>
      <c r="B120" s="75" t="s">
        <v>378</v>
      </c>
      <c r="C120" s="218">
        <v>22455088</v>
      </c>
      <c r="D120" s="218">
        <v>26040539</v>
      </c>
      <c r="E120" s="218">
        <v>28550693</v>
      </c>
    </row>
    <row r="121" spans="1:8" ht="24" customHeight="1" x14ac:dyDescent="0.2">
      <c r="A121" s="85">
        <v>22</v>
      </c>
      <c r="B121" s="75" t="s">
        <v>374</v>
      </c>
      <c r="C121" s="218">
        <v>3122389</v>
      </c>
      <c r="D121" s="218">
        <v>3051773</v>
      </c>
      <c r="E121" s="218">
        <v>3004141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12355</v>
      </c>
      <c r="D124" s="218">
        <v>11914</v>
      </c>
      <c r="E124" s="218">
        <v>12338</v>
      </c>
    </row>
    <row r="125" spans="1:8" ht="24" customHeight="1" x14ac:dyDescent="0.2">
      <c r="A125" s="85">
        <v>2</v>
      </c>
      <c r="B125" s="75" t="s">
        <v>381</v>
      </c>
      <c r="C125" s="218">
        <v>2703</v>
      </c>
      <c r="D125" s="218">
        <v>2685</v>
      </c>
      <c r="E125" s="218">
        <v>2878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4.570847206807251</v>
      </c>
      <c r="D126" s="219">
        <f>IF(D125=0,0,D124/D125)</f>
        <v>4.4372439478584731</v>
      </c>
      <c r="E126" s="219">
        <f>IF(E125=0,0,E124/E125)</f>
        <v>4.2870048644892282</v>
      </c>
    </row>
    <row r="127" spans="1:8" ht="24" customHeight="1" x14ac:dyDescent="0.2">
      <c r="A127" s="85">
        <v>4</v>
      </c>
      <c r="B127" s="75" t="s">
        <v>383</v>
      </c>
      <c r="C127" s="218">
        <v>49</v>
      </c>
      <c r="D127" s="218">
        <v>49</v>
      </c>
      <c r="E127" s="218">
        <v>49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94</v>
      </c>
      <c r="E128" s="218">
        <v>94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94</v>
      </c>
      <c r="D129" s="218">
        <v>94</v>
      </c>
      <c r="E129" s="218">
        <v>78</v>
      </c>
    </row>
    <row r="130" spans="1:7" ht="24" customHeight="1" x14ac:dyDescent="0.2">
      <c r="A130" s="85">
        <v>7</v>
      </c>
      <c r="B130" s="75" t="s">
        <v>386</v>
      </c>
      <c r="C130" s="193">
        <v>0.69079999999999997</v>
      </c>
      <c r="D130" s="193">
        <v>0.66610000000000003</v>
      </c>
      <c r="E130" s="193">
        <v>0.68979999999999997</v>
      </c>
    </row>
    <row r="131" spans="1:7" ht="24" customHeight="1" x14ac:dyDescent="0.2">
      <c r="A131" s="85">
        <v>8</v>
      </c>
      <c r="B131" s="75" t="s">
        <v>387</v>
      </c>
      <c r="C131" s="193">
        <v>0.36</v>
      </c>
      <c r="D131" s="193">
        <v>0.34720000000000001</v>
      </c>
      <c r="E131" s="193">
        <v>0.35959999999999998</v>
      </c>
    </row>
    <row r="132" spans="1:7" ht="24" customHeight="1" x14ac:dyDescent="0.2">
      <c r="A132" s="85">
        <v>9</v>
      </c>
      <c r="B132" s="75" t="s">
        <v>388</v>
      </c>
      <c r="C132" s="219">
        <v>271.5</v>
      </c>
      <c r="D132" s="219">
        <v>255.6</v>
      </c>
      <c r="E132" s="219">
        <v>247.4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0.37737978812791345</v>
      </c>
      <c r="D135" s="227">
        <f>IF(D149=0,0,D143/D149)</f>
        <v>0.3510957202959985</v>
      </c>
      <c r="E135" s="227">
        <f>IF(E149=0,0,E143/E149)</f>
        <v>0.34889705269445936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0.50442995707549476</v>
      </c>
      <c r="D136" s="227">
        <f>IF(D149=0,0,D144/D149)</f>
        <v>0.5157301102196411</v>
      </c>
      <c r="E136" s="227">
        <f>IF(E149=0,0,E144/E149)</f>
        <v>0.51560338267278383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5.4814928030168589E-2</v>
      </c>
      <c r="D137" s="227">
        <f>IF(D149=0,0,D145/D149)</f>
        <v>5.8255131751909259E-2</v>
      </c>
      <c r="E137" s="227">
        <f>IF(E149=0,0,E145/E149)</f>
        <v>5.7267494080786539E-2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3.6918681603437198E-2</v>
      </c>
      <c r="D138" s="227">
        <f>IF(D149=0,0,D146/D149)</f>
        <v>4.4035881358737233E-2</v>
      </c>
      <c r="E138" s="227">
        <f>IF(E149=0,0,E146/E149)</f>
        <v>5.0573889731462963E-2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2.4837481479237727E-2</v>
      </c>
      <c r="D139" s="227">
        <f>IF(D149=0,0,D147/D149)</f>
        <v>2.8257046774739641E-2</v>
      </c>
      <c r="E139" s="227">
        <f>IF(E149=0,0,E147/E149)</f>
        <v>2.5789508459930714E-2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1.6191636837482558E-3</v>
      </c>
      <c r="D140" s="227">
        <f>IF(D149=0,0,D148/D149)</f>
        <v>2.6261095989742818E-3</v>
      </c>
      <c r="E140" s="227">
        <f>IF(E149=0,0,E148/E149)</f>
        <v>1.8686723605765075E-3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48962350</v>
      </c>
      <c r="D143" s="229">
        <f>+D46-D147</f>
        <v>48602802</v>
      </c>
      <c r="E143" s="229">
        <f>+E46-E147</f>
        <v>51441745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65446208</v>
      </c>
      <c r="D144" s="229">
        <f>+D51</f>
        <v>71393432</v>
      </c>
      <c r="E144" s="229">
        <f>+E51</f>
        <v>76021100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7111848</v>
      </c>
      <c r="D145" s="229">
        <f>+D55</f>
        <v>8064361</v>
      </c>
      <c r="E145" s="229">
        <f>+E55</f>
        <v>8443579</v>
      </c>
    </row>
    <row r="146" spans="1:7" ht="20.100000000000001" customHeight="1" x14ac:dyDescent="0.2">
      <c r="A146" s="226">
        <v>11</v>
      </c>
      <c r="B146" s="224" t="s">
        <v>400</v>
      </c>
      <c r="C146" s="228">
        <v>4789937</v>
      </c>
      <c r="D146" s="229">
        <v>6095965</v>
      </c>
      <c r="E146" s="229">
        <v>7456667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3222487</v>
      </c>
      <c r="D147" s="229">
        <f>+D47</f>
        <v>3911673</v>
      </c>
      <c r="E147" s="229">
        <f>+E47</f>
        <v>3802432</v>
      </c>
    </row>
    <row r="148" spans="1:7" ht="20.100000000000001" customHeight="1" x14ac:dyDescent="0.2">
      <c r="A148" s="226">
        <v>13</v>
      </c>
      <c r="B148" s="224" t="s">
        <v>402</v>
      </c>
      <c r="C148" s="230">
        <v>210075</v>
      </c>
      <c r="D148" s="229">
        <v>363537</v>
      </c>
      <c r="E148" s="229">
        <v>275519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129742905</v>
      </c>
      <c r="D149" s="229">
        <f>SUM(D143:D148)</f>
        <v>138431770</v>
      </c>
      <c r="E149" s="229">
        <f>SUM(E143:E148)</f>
        <v>147441042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0.46358207309692551</v>
      </c>
      <c r="D152" s="227">
        <f>IF(D166=0,0,D160/D166)</f>
        <v>0.44173707004047191</v>
      </c>
      <c r="E152" s="227">
        <f>IF(E166=0,0,E160/E166)</f>
        <v>0.42762401361545627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0.47016852483161242</v>
      </c>
      <c r="D153" s="227">
        <f>IF(D166=0,0,D161/D166)</f>
        <v>0.47705509581612404</v>
      </c>
      <c r="E153" s="227">
        <f>IF(E166=0,0,E161/E166)</f>
        <v>0.48451757180642718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3.7712651485850596E-2</v>
      </c>
      <c r="D154" s="227">
        <f>IF(D166=0,0,D162/D166)</f>
        <v>3.9042045771877594E-2</v>
      </c>
      <c r="E154" s="227">
        <f>IF(E166=0,0,E162/E166)</f>
        <v>3.9731363538340385E-2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2.154965292173525E-2</v>
      </c>
      <c r="D155" s="227">
        <f>IF(D166=0,0,D163/D166)</f>
        <v>2.4683574184364437E-2</v>
      </c>
      <c r="E155" s="227">
        <f>IF(E166=0,0,E163/E166)</f>
        <v>3.3483921771134219E-2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4.8833660157801568E-3</v>
      </c>
      <c r="D156" s="227">
        <f>IF(D166=0,0,D164/D166)</f>
        <v>1.3257349007379581E-2</v>
      </c>
      <c r="E156" s="227">
        <f>IF(E166=0,0,E164/E166)</f>
        <v>1.2372512099903128E-2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2.1037316480960436E-3</v>
      </c>
      <c r="D157" s="227">
        <f>IF(D166=0,0,D165/D166)</f>
        <v>4.2248651797824471E-3</v>
      </c>
      <c r="E157" s="227">
        <f>IF(E166=0,0,E165/E166)</f>
        <v>2.270617168738864E-3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23824415</v>
      </c>
      <c r="D160" s="229">
        <f>+D44-D164</f>
        <v>22661678</v>
      </c>
      <c r="E160" s="229">
        <f>+E44-E164</f>
        <v>22504424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24162906</v>
      </c>
      <c r="D161" s="229">
        <f>+D50</f>
        <v>24473538</v>
      </c>
      <c r="E161" s="229">
        <f>+E50</f>
        <v>25498542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1938129</v>
      </c>
      <c r="D162" s="229">
        <f>+D54</f>
        <v>2002907</v>
      </c>
      <c r="E162" s="229">
        <f>+E54</f>
        <v>2090929</v>
      </c>
    </row>
    <row r="163" spans="1:6" ht="20.100000000000001" customHeight="1" x14ac:dyDescent="0.2">
      <c r="A163" s="226">
        <v>11</v>
      </c>
      <c r="B163" s="224" t="s">
        <v>415</v>
      </c>
      <c r="C163" s="228">
        <v>1107480</v>
      </c>
      <c r="D163" s="229">
        <v>1266299</v>
      </c>
      <c r="E163" s="229">
        <v>1762147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250966</v>
      </c>
      <c r="D164" s="229">
        <f>+D45</f>
        <v>680119</v>
      </c>
      <c r="E164" s="229">
        <f>+E45</f>
        <v>651124</v>
      </c>
    </row>
    <row r="165" spans="1:6" ht="20.100000000000001" customHeight="1" x14ac:dyDescent="0.2">
      <c r="A165" s="226">
        <v>13</v>
      </c>
      <c r="B165" s="224" t="s">
        <v>417</v>
      </c>
      <c r="C165" s="230">
        <v>108115</v>
      </c>
      <c r="D165" s="229">
        <v>216741</v>
      </c>
      <c r="E165" s="229">
        <v>119495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51392011</v>
      </c>
      <c r="D166" s="229">
        <f>SUM(D160:D165)</f>
        <v>51301282</v>
      </c>
      <c r="E166" s="229">
        <f>SUM(E160:E165)</f>
        <v>52626661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794</v>
      </c>
      <c r="D169" s="218">
        <v>743</v>
      </c>
      <c r="E169" s="218">
        <v>830</v>
      </c>
    </row>
    <row r="170" spans="1:6" ht="20.100000000000001" customHeight="1" x14ac:dyDescent="0.2">
      <c r="A170" s="226">
        <v>2</v>
      </c>
      <c r="B170" s="224" t="s">
        <v>420</v>
      </c>
      <c r="C170" s="218">
        <v>1530</v>
      </c>
      <c r="D170" s="218">
        <v>1554</v>
      </c>
      <c r="E170" s="218">
        <v>1614</v>
      </c>
    </row>
    <row r="171" spans="1:6" ht="20.100000000000001" customHeight="1" x14ac:dyDescent="0.2">
      <c r="A171" s="226">
        <v>3</v>
      </c>
      <c r="B171" s="224" t="s">
        <v>421</v>
      </c>
      <c r="C171" s="218">
        <v>371</v>
      </c>
      <c r="D171" s="218">
        <v>377</v>
      </c>
      <c r="E171" s="218">
        <v>425</v>
      </c>
    </row>
    <row r="172" spans="1:6" ht="20.100000000000001" customHeight="1" x14ac:dyDescent="0.2">
      <c r="A172" s="226">
        <v>4</v>
      </c>
      <c r="B172" s="224" t="s">
        <v>422</v>
      </c>
      <c r="C172" s="218">
        <v>223</v>
      </c>
      <c r="D172" s="218">
        <v>194</v>
      </c>
      <c r="E172" s="218">
        <v>217</v>
      </c>
    </row>
    <row r="173" spans="1:6" ht="20.100000000000001" customHeight="1" x14ac:dyDescent="0.2">
      <c r="A173" s="226">
        <v>5</v>
      </c>
      <c r="B173" s="224" t="s">
        <v>423</v>
      </c>
      <c r="C173" s="218">
        <v>148</v>
      </c>
      <c r="D173" s="218">
        <v>183</v>
      </c>
      <c r="E173" s="218">
        <v>208</v>
      </c>
    </row>
    <row r="174" spans="1:6" ht="20.100000000000001" customHeight="1" x14ac:dyDescent="0.2">
      <c r="A174" s="226">
        <v>6</v>
      </c>
      <c r="B174" s="224" t="s">
        <v>424</v>
      </c>
      <c r="C174" s="218">
        <v>8</v>
      </c>
      <c r="D174" s="218">
        <v>11</v>
      </c>
      <c r="E174" s="218">
        <v>9</v>
      </c>
    </row>
    <row r="175" spans="1:6" ht="20.100000000000001" customHeight="1" x14ac:dyDescent="0.2">
      <c r="A175" s="226">
        <v>7</v>
      </c>
      <c r="B175" s="224" t="s">
        <v>425</v>
      </c>
      <c r="C175" s="218">
        <v>57</v>
      </c>
      <c r="D175" s="218">
        <v>73</v>
      </c>
      <c r="E175" s="218">
        <v>93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2703</v>
      </c>
      <c r="D176" s="218">
        <f>+D169+D170+D171+D174</f>
        <v>2685</v>
      </c>
      <c r="E176" s="218">
        <f>+E169+E170+E171+E174</f>
        <v>2878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1.0126999999999999</v>
      </c>
      <c r="D179" s="231">
        <v>0.98760000000000003</v>
      </c>
      <c r="E179" s="231">
        <v>1.0066999999999999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1.2059</v>
      </c>
      <c r="D180" s="231">
        <v>1.1576</v>
      </c>
      <c r="E180" s="231">
        <v>1.1823999999999999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0.89058800000000005</v>
      </c>
      <c r="D181" s="231">
        <v>0.92894299999999996</v>
      </c>
      <c r="E181" s="231">
        <v>0.93545999999999996</v>
      </c>
    </row>
    <row r="182" spans="1:6" ht="20.100000000000001" customHeight="1" x14ac:dyDescent="0.2">
      <c r="A182" s="226">
        <v>4</v>
      </c>
      <c r="B182" s="224" t="s">
        <v>422</v>
      </c>
      <c r="C182" s="231">
        <v>0.84930000000000005</v>
      </c>
      <c r="D182" s="231">
        <v>0.94869999999999999</v>
      </c>
      <c r="E182" s="231">
        <v>0.91049999999999998</v>
      </c>
    </row>
    <row r="183" spans="1:6" ht="20.100000000000001" customHeight="1" x14ac:dyDescent="0.2">
      <c r="A183" s="226">
        <v>5</v>
      </c>
      <c r="B183" s="224" t="s">
        <v>423</v>
      </c>
      <c r="C183" s="231">
        <v>0.95279999999999998</v>
      </c>
      <c r="D183" s="231">
        <v>0.90800000000000003</v>
      </c>
      <c r="E183" s="231">
        <v>0.96150000000000002</v>
      </c>
    </row>
    <row r="184" spans="1:6" ht="20.100000000000001" customHeight="1" x14ac:dyDescent="0.2">
      <c r="A184" s="226">
        <v>6</v>
      </c>
      <c r="B184" s="224" t="s">
        <v>424</v>
      </c>
      <c r="C184" s="231">
        <v>0.66390000000000005</v>
      </c>
      <c r="D184" s="231">
        <v>0.77580000000000005</v>
      </c>
      <c r="E184" s="231">
        <v>1.0219</v>
      </c>
    </row>
    <row r="185" spans="1:6" ht="20.100000000000001" customHeight="1" x14ac:dyDescent="0.2">
      <c r="A185" s="226">
        <v>7</v>
      </c>
      <c r="B185" s="224" t="s">
        <v>425</v>
      </c>
      <c r="C185" s="231">
        <v>1.1084000000000001</v>
      </c>
      <c r="D185" s="231">
        <v>0.9919</v>
      </c>
      <c r="E185" s="231">
        <v>0.89090000000000003</v>
      </c>
    </row>
    <row r="186" spans="1:6" ht="20.100000000000001" customHeight="1" x14ac:dyDescent="0.2">
      <c r="A186" s="226">
        <v>8</v>
      </c>
      <c r="B186" s="224" t="s">
        <v>429</v>
      </c>
      <c r="C186" s="231">
        <v>1.1042650000000001</v>
      </c>
      <c r="D186" s="231">
        <v>1.0768869999999999</v>
      </c>
      <c r="E186" s="231">
        <v>1.0947610000000001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1720</v>
      </c>
      <c r="D189" s="218">
        <v>1766</v>
      </c>
      <c r="E189" s="218">
        <v>1878</v>
      </c>
    </row>
    <row r="190" spans="1:6" ht="20.100000000000001" customHeight="1" x14ac:dyDescent="0.2">
      <c r="A190" s="226">
        <v>2</v>
      </c>
      <c r="B190" s="224" t="s">
        <v>433</v>
      </c>
      <c r="C190" s="218">
        <v>15938</v>
      </c>
      <c r="D190" s="218">
        <v>15856</v>
      </c>
      <c r="E190" s="218">
        <v>15746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17658</v>
      </c>
      <c r="D191" s="218">
        <f>+D190+D189</f>
        <v>17622</v>
      </c>
      <c r="E191" s="218">
        <f>+E190+E189</f>
        <v>17624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638506</v>
      </c>
      <c r="D14" s="258">
        <v>300722</v>
      </c>
      <c r="E14" s="258">
        <f t="shared" ref="E14:E24" si="0">D14-C14</f>
        <v>-337784</v>
      </c>
      <c r="F14" s="259">
        <f t="shared" ref="F14:F24" si="1">IF(C14=0,0,E14/C14)</f>
        <v>-0.52902243675079008</v>
      </c>
    </row>
    <row r="15" spans="1:7" ht="20.25" customHeight="1" x14ac:dyDescent="0.3">
      <c r="A15" s="256">
        <v>2</v>
      </c>
      <c r="B15" s="257" t="s">
        <v>442</v>
      </c>
      <c r="C15" s="258">
        <v>265659</v>
      </c>
      <c r="D15" s="258">
        <v>108190</v>
      </c>
      <c r="E15" s="258">
        <f t="shared" si="0"/>
        <v>-157469</v>
      </c>
      <c r="F15" s="259">
        <f t="shared" si="1"/>
        <v>-0.592748598767593</v>
      </c>
    </row>
    <row r="16" spans="1:7" ht="20.25" customHeight="1" x14ac:dyDescent="0.3">
      <c r="A16" s="256">
        <v>3</v>
      </c>
      <c r="B16" s="257" t="s">
        <v>443</v>
      </c>
      <c r="C16" s="258">
        <v>176330</v>
      </c>
      <c r="D16" s="258">
        <v>177502</v>
      </c>
      <c r="E16" s="258">
        <f t="shared" si="0"/>
        <v>1172</v>
      </c>
      <c r="F16" s="259">
        <f t="shared" si="1"/>
        <v>6.6466284806896165E-3</v>
      </c>
    </row>
    <row r="17" spans="1:6" ht="20.25" customHeight="1" x14ac:dyDescent="0.3">
      <c r="A17" s="256">
        <v>4</v>
      </c>
      <c r="B17" s="257" t="s">
        <v>444</v>
      </c>
      <c r="C17" s="258">
        <v>37661</v>
      </c>
      <c r="D17" s="258">
        <v>46302</v>
      </c>
      <c r="E17" s="258">
        <f t="shared" si="0"/>
        <v>8641</v>
      </c>
      <c r="F17" s="259">
        <f t="shared" si="1"/>
        <v>0.22944159740845968</v>
      </c>
    </row>
    <row r="18" spans="1:6" ht="20.25" customHeight="1" x14ac:dyDescent="0.3">
      <c r="A18" s="256">
        <v>5</v>
      </c>
      <c r="B18" s="257" t="s">
        <v>381</v>
      </c>
      <c r="C18" s="260">
        <v>18</v>
      </c>
      <c r="D18" s="260">
        <v>11</v>
      </c>
      <c r="E18" s="260">
        <f t="shared" si="0"/>
        <v>-7</v>
      </c>
      <c r="F18" s="259">
        <f t="shared" si="1"/>
        <v>-0.3888888888888889</v>
      </c>
    </row>
    <row r="19" spans="1:6" ht="20.25" customHeight="1" x14ac:dyDescent="0.3">
      <c r="A19" s="256">
        <v>6</v>
      </c>
      <c r="B19" s="257" t="s">
        <v>380</v>
      </c>
      <c r="C19" s="260">
        <v>165</v>
      </c>
      <c r="D19" s="260">
        <v>80</v>
      </c>
      <c r="E19" s="260">
        <f t="shared" si="0"/>
        <v>-85</v>
      </c>
      <c r="F19" s="259">
        <f t="shared" si="1"/>
        <v>-0.51515151515151514</v>
      </c>
    </row>
    <row r="20" spans="1:6" ht="20.25" customHeight="1" x14ac:dyDescent="0.3">
      <c r="A20" s="256">
        <v>7</v>
      </c>
      <c r="B20" s="257" t="s">
        <v>445</v>
      </c>
      <c r="C20" s="260">
        <v>126</v>
      </c>
      <c r="D20" s="260">
        <v>157</v>
      </c>
      <c r="E20" s="260">
        <f t="shared" si="0"/>
        <v>31</v>
      </c>
      <c r="F20" s="259">
        <f t="shared" si="1"/>
        <v>0.24603174603174602</v>
      </c>
    </row>
    <row r="21" spans="1:6" ht="20.25" customHeight="1" x14ac:dyDescent="0.3">
      <c r="A21" s="256">
        <v>8</v>
      </c>
      <c r="B21" s="257" t="s">
        <v>446</v>
      </c>
      <c r="C21" s="260">
        <v>19</v>
      </c>
      <c r="D21" s="260">
        <v>17</v>
      </c>
      <c r="E21" s="260">
        <f t="shared" si="0"/>
        <v>-2</v>
      </c>
      <c r="F21" s="259">
        <f t="shared" si="1"/>
        <v>-0.10526315789473684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814836</v>
      </c>
      <c r="D23" s="263">
        <f>+D14+D16</f>
        <v>478224</v>
      </c>
      <c r="E23" s="263">
        <f t="shared" si="0"/>
        <v>-336612</v>
      </c>
      <c r="F23" s="264">
        <f t="shared" si="1"/>
        <v>-0.41310398656907649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303320</v>
      </c>
      <c r="D24" s="263">
        <f>+D15+D17</f>
        <v>154492</v>
      </c>
      <c r="E24" s="263">
        <f t="shared" si="0"/>
        <v>-148828</v>
      </c>
      <c r="F24" s="264">
        <f t="shared" si="1"/>
        <v>-0.4906633258604774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317713</v>
      </c>
      <c r="D40" s="258">
        <v>248934</v>
      </c>
      <c r="E40" s="258">
        <f t="shared" ref="E40:E50" si="4">D40-C40</f>
        <v>-68779</v>
      </c>
      <c r="F40" s="259">
        <f t="shared" ref="F40:F50" si="5">IF(C40=0,0,E40/C40)</f>
        <v>-0.21648154151702953</v>
      </c>
    </row>
    <row r="41" spans="1:6" ht="20.25" customHeight="1" x14ac:dyDescent="0.3">
      <c r="A41" s="256">
        <v>2</v>
      </c>
      <c r="B41" s="257" t="s">
        <v>442</v>
      </c>
      <c r="C41" s="258">
        <v>141461</v>
      </c>
      <c r="D41" s="258">
        <v>108111</v>
      </c>
      <c r="E41" s="258">
        <f t="shared" si="4"/>
        <v>-33350</v>
      </c>
      <c r="F41" s="259">
        <f t="shared" si="5"/>
        <v>-0.23575402407730753</v>
      </c>
    </row>
    <row r="42" spans="1:6" ht="20.25" customHeight="1" x14ac:dyDescent="0.3">
      <c r="A42" s="256">
        <v>3</v>
      </c>
      <c r="B42" s="257" t="s">
        <v>443</v>
      </c>
      <c r="C42" s="258">
        <v>376953</v>
      </c>
      <c r="D42" s="258">
        <v>554628</v>
      </c>
      <c r="E42" s="258">
        <f t="shared" si="4"/>
        <v>177675</v>
      </c>
      <c r="F42" s="259">
        <f t="shared" si="5"/>
        <v>0.47134523402121747</v>
      </c>
    </row>
    <row r="43" spans="1:6" ht="20.25" customHeight="1" x14ac:dyDescent="0.3">
      <c r="A43" s="256">
        <v>4</v>
      </c>
      <c r="B43" s="257" t="s">
        <v>444</v>
      </c>
      <c r="C43" s="258">
        <v>80369</v>
      </c>
      <c r="D43" s="258">
        <v>111368</v>
      </c>
      <c r="E43" s="258">
        <f t="shared" si="4"/>
        <v>30999</v>
      </c>
      <c r="F43" s="259">
        <f t="shared" si="5"/>
        <v>0.38570841991315058</v>
      </c>
    </row>
    <row r="44" spans="1:6" ht="20.25" customHeight="1" x14ac:dyDescent="0.3">
      <c r="A44" s="256">
        <v>5</v>
      </c>
      <c r="B44" s="257" t="s">
        <v>381</v>
      </c>
      <c r="C44" s="260">
        <v>11</v>
      </c>
      <c r="D44" s="260">
        <v>11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6</v>
      </c>
      <c r="B45" s="257" t="s">
        <v>380</v>
      </c>
      <c r="C45" s="260">
        <v>55</v>
      </c>
      <c r="D45" s="260">
        <v>38</v>
      </c>
      <c r="E45" s="260">
        <f t="shared" si="4"/>
        <v>-17</v>
      </c>
      <c r="F45" s="259">
        <f t="shared" si="5"/>
        <v>-0.30909090909090908</v>
      </c>
    </row>
    <row r="46" spans="1:6" ht="20.25" customHeight="1" x14ac:dyDescent="0.3">
      <c r="A46" s="256">
        <v>7</v>
      </c>
      <c r="B46" s="257" t="s">
        <v>445</v>
      </c>
      <c r="C46" s="260">
        <v>446</v>
      </c>
      <c r="D46" s="260">
        <v>456</v>
      </c>
      <c r="E46" s="260">
        <f t="shared" si="4"/>
        <v>10</v>
      </c>
      <c r="F46" s="259">
        <f t="shared" si="5"/>
        <v>2.2421524663677129E-2</v>
      </c>
    </row>
    <row r="47" spans="1:6" ht="20.25" customHeight="1" x14ac:dyDescent="0.3">
      <c r="A47" s="256">
        <v>8</v>
      </c>
      <c r="B47" s="257" t="s">
        <v>446</v>
      </c>
      <c r="C47" s="260">
        <v>24</v>
      </c>
      <c r="D47" s="260">
        <v>24</v>
      </c>
      <c r="E47" s="260">
        <f t="shared" si="4"/>
        <v>0</v>
      </c>
      <c r="F47" s="259">
        <f t="shared" si="5"/>
        <v>0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694666</v>
      </c>
      <c r="D49" s="263">
        <f>+D40+D42</f>
        <v>803562</v>
      </c>
      <c r="E49" s="263">
        <f t="shared" si="4"/>
        <v>108896</v>
      </c>
      <c r="F49" s="264">
        <f t="shared" si="5"/>
        <v>0.15676022721710867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221830</v>
      </c>
      <c r="D50" s="263">
        <f>+D41+D43</f>
        <v>219479</v>
      </c>
      <c r="E50" s="263">
        <f t="shared" si="4"/>
        <v>-2351</v>
      </c>
      <c r="F50" s="264">
        <f t="shared" si="5"/>
        <v>-1.0598205833295767E-2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413889</v>
      </c>
      <c r="D66" s="258">
        <v>327781</v>
      </c>
      <c r="E66" s="258">
        <f t="shared" ref="E66:E76" si="8">D66-C66</f>
        <v>-86108</v>
      </c>
      <c r="F66" s="259">
        <f t="shared" ref="F66:F76" si="9">IF(C66=0,0,E66/C66)</f>
        <v>-0.20804611864533729</v>
      </c>
    </row>
    <row r="67" spans="1:6" ht="20.25" customHeight="1" x14ac:dyDescent="0.3">
      <c r="A67" s="256">
        <v>2</v>
      </c>
      <c r="B67" s="257" t="s">
        <v>442</v>
      </c>
      <c r="C67" s="258">
        <v>205074</v>
      </c>
      <c r="D67" s="258">
        <v>144816</v>
      </c>
      <c r="E67" s="258">
        <f t="shared" si="8"/>
        <v>-60258</v>
      </c>
      <c r="F67" s="259">
        <f t="shared" si="9"/>
        <v>-0.29383539600339392</v>
      </c>
    </row>
    <row r="68" spans="1:6" ht="20.25" customHeight="1" x14ac:dyDescent="0.3">
      <c r="A68" s="256">
        <v>3</v>
      </c>
      <c r="B68" s="257" t="s">
        <v>443</v>
      </c>
      <c r="C68" s="258">
        <v>196186</v>
      </c>
      <c r="D68" s="258">
        <v>395149</v>
      </c>
      <c r="E68" s="258">
        <f t="shared" si="8"/>
        <v>198963</v>
      </c>
      <c r="F68" s="259">
        <f t="shared" si="9"/>
        <v>1.0141549346028769</v>
      </c>
    </row>
    <row r="69" spans="1:6" ht="20.25" customHeight="1" x14ac:dyDescent="0.3">
      <c r="A69" s="256">
        <v>4</v>
      </c>
      <c r="B69" s="257" t="s">
        <v>444</v>
      </c>
      <c r="C69" s="258">
        <v>45126</v>
      </c>
      <c r="D69" s="258">
        <v>77997</v>
      </c>
      <c r="E69" s="258">
        <f t="shared" si="8"/>
        <v>32871</v>
      </c>
      <c r="F69" s="259">
        <f t="shared" si="9"/>
        <v>0.72842707086823566</v>
      </c>
    </row>
    <row r="70" spans="1:6" ht="20.25" customHeight="1" x14ac:dyDescent="0.3">
      <c r="A70" s="256">
        <v>5</v>
      </c>
      <c r="B70" s="257" t="s">
        <v>381</v>
      </c>
      <c r="C70" s="260">
        <v>16</v>
      </c>
      <c r="D70" s="260">
        <v>14</v>
      </c>
      <c r="E70" s="260">
        <f t="shared" si="8"/>
        <v>-2</v>
      </c>
      <c r="F70" s="259">
        <f t="shared" si="9"/>
        <v>-0.125</v>
      </c>
    </row>
    <row r="71" spans="1:6" ht="20.25" customHeight="1" x14ac:dyDescent="0.3">
      <c r="A71" s="256">
        <v>6</v>
      </c>
      <c r="B71" s="257" t="s">
        <v>380</v>
      </c>
      <c r="C71" s="260">
        <v>83</v>
      </c>
      <c r="D71" s="260">
        <v>89</v>
      </c>
      <c r="E71" s="260">
        <f t="shared" si="8"/>
        <v>6</v>
      </c>
      <c r="F71" s="259">
        <f t="shared" si="9"/>
        <v>7.2289156626506021E-2</v>
      </c>
    </row>
    <row r="72" spans="1:6" ht="20.25" customHeight="1" x14ac:dyDescent="0.3">
      <c r="A72" s="256">
        <v>7</v>
      </c>
      <c r="B72" s="257" t="s">
        <v>445</v>
      </c>
      <c r="C72" s="260">
        <v>188</v>
      </c>
      <c r="D72" s="260">
        <v>348</v>
      </c>
      <c r="E72" s="260">
        <f t="shared" si="8"/>
        <v>160</v>
      </c>
      <c r="F72" s="259">
        <f t="shared" si="9"/>
        <v>0.85106382978723405</v>
      </c>
    </row>
    <row r="73" spans="1:6" ht="20.25" customHeight="1" x14ac:dyDescent="0.3">
      <c r="A73" s="256">
        <v>8</v>
      </c>
      <c r="B73" s="257" t="s">
        <v>446</v>
      </c>
      <c r="C73" s="260">
        <v>21</v>
      </c>
      <c r="D73" s="260">
        <v>29</v>
      </c>
      <c r="E73" s="260">
        <f t="shared" si="8"/>
        <v>8</v>
      </c>
      <c r="F73" s="259">
        <f t="shared" si="9"/>
        <v>0.38095238095238093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610075</v>
      </c>
      <c r="D75" s="263">
        <f>+D66+D68</f>
        <v>722930</v>
      </c>
      <c r="E75" s="263">
        <f t="shared" si="8"/>
        <v>112855</v>
      </c>
      <c r="F75" s="264">
        <f t="shared" si="9"/>
        <v>0.18498545260828586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250200</v>
      </c>
      <c r="D76" s="263">
        <f>+D67+D69</f>
        <v>222813</v>
      </c>
      <c r="E76" s="263">
        <f t="shared" si="8"/>
        <v>-27387</v>
      </c>
      <c r="F76" s="264">
        <f t="shared" si="9"/>
        <v>-0.10946043165467625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16230</v>
      </c>
      <c r="D81" s="258">
        <v>23376</v>
      </c>
      <c r="E81" s="258">
        <f t="shared" si="10"/>
        <v>7146</v>
      </c>
      <c r="F81" s="259">
        <f t="shared" si="11"/>
        <v>0.44029574861367837</v>
      </c>
    </row>
    <row r="82" spans="1:6" ht="20.25" customHeight="1" x14ac:dyDescent="0.3">
      <c r="A82" s="256">
        <v>4</v>
      </c>
      <c r="B82" s="257" t="s">
        <v>444</v>
      </c>
      <c r="C82" s="258">
        <v>3602</v>
      </c>
      <c r="D82" s="258">
        <v>6532</v>
      </c>
      <c r="E82" s="258">
        <f t="shared" si="10"/>
        <v>2930</v>
      </c>
      <c r="F82" s="259">
        <f t="shared" si="11"/>
        <v>0.81343697945585791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7</v>
      </c>
      <c r="D85" s="260">
        <v>4</v>
      </c>
      <c r="E85" s="260">
        <f t="shared" si="10"/>
        <v>-3</v>
      </c>
      <c r="F85" s="259">
        <f t="shared" si="11"/>
        <v>-0.42857142857142855</v>
      </c>
    </row>
    <row r="86" spans="1:6" ht="20.25" customHeight="1" x14ac:dyDescent="0.3">
      <c r="A86" s="256">
        <v>8</v>
      </c>
      <c r="B86" s="257" t="s">
        <v>446</v>
      </c>
      <c r="C86" s="260">
        <v>1</v>
      </c>
      <c r="D86" s="260">
        <v>21</v>
      </c>
      <c r="E86" s="260">
        <f t="shared" si="10"/>
        <v>20</v>
      </c>
      <c r="F86" s="259">
        <f t="shared" si="11"/>
        <v>20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16230</v>
      </c>
      <c r="D88" s="263">
        <f>+D79+D81</f>
        <v>23376</v>
      </c>
      <c r="E88" s="263">
        <f t="shared" si="10"/>
        <v>7146</v>
      </c>
      <c r="F88" s="264">
        <f t="shared" si="11"/>
        <v>0.44029574861367837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3602</v>
      </c>
      <c r="D89" s="263">
        <f>+D80+D82</f>
        <v>6532</v>
      </c>
      <c r="E89" s="263">
        <f t="shared" si="10"/>
        <v>2930</v>
      </c>
      <c r="F89" s="264">
        <f t="shared" si="11"/>
        <v>0.81343697945585791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89813</v>
      </c>
      <c r="D105" s="258">
        <v>106846</v>
      </c>
      <c r="E105" s="258">
        <f t="shared" ref="E105:E115" si="14">D105-C105</f>
        <v>17033</v>
      </c>
      <c r="F105" s="259">
        <f t="shared" ref="F105:F115" si="15">IF(C105=0,0,E105/C105)</f>
        <v>0.18964960529099351</v>
      </c>
    </row>
    <row r="106" spans="1:6" ht="20.25" customHeight="1" x14ac:dyDescent="0.3">
      <c r="A106" s="256">
        <v>2</v>
      </c>
      <c r="B106" s="257" t="s">
        <v>442</v>
      </c>
      <c r="C106" s="258">
        <v>57018</v>
      </c>
      <c r="D106" s="258">
        <v>38533</v>
      </c>
      <c r="E106" s="258">
        <f t="shared" si="14"/>
        <v>-18485</v>
      </c>
      <c r="F106" s="259">
        <f t="shared" si="15"/>
        <v>-0.32419586797151778</v>
      </c>
    </row>
    <row r="107" spans="1:6" ht="20.25" customHeight="1" x14ac:dyDescent="0.3">
      <c r="A107" s="256">
        <v>3</v>
      </c>
      <c r="B107" s="257" t="s">
        <v>443</v>
      </c>
      <c r="C107" s="258">
        <v>27823</v>
      </c>
      <c r="D107" s="258">
        <v>42737</v>
      </c>
      <c r="E107" s="258">
        <f t="shared" si="14"/>
        <v>14914</v>
      </c>
      <c r="F107" s="259">
        <f t="shared" si="15"/>
        <v>0.53603134097688965</v>
      </c>
    </row>
    <row r="108" spans="1:6" ht="20.25" customHeight="1" x14ac:dyDescent="0.3">
      <c r="A108" s="256">
        <v>4</v>
      </c>
      <c r="B108" s="257" t="s">
        <v>444</v>
      </c>
      <c r="C108" s="258">
        <v>4959</v>
      </c>
      <c r="D108" s="258">
        <v>9707</v>
      </c>
      <c r="E108" s="258">
        <f t="shared" si="14"/>
        <v>4748</v>
      </c>
      <c r="F108" s="259">
        <f t="shared" si="15"/>
        <v>0.95745109901189751</v>
      </c>
    </row>
    <row r="109" spans="1:6" ht="20.25" customHeight="1" x14ac:dyDescent="0.3">
      <c r="A109" s="256">
        <v>5</v>
      </c>
      <c r="B109" s="257" t="s">
        <v>381</v>
      </c>
      <c r="C109" s="260">
        <v>5</v>
      </c>
      <c r="D109" s="260">
        <v>5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14</v>
      </c>
      <c r="D110" s="260">
        <v>21</v>
      </c>
      <c r="E110" s="260">
        <f t="shared" si="14"/>
        <v>7</v>
      </c>
      <c r="F110" s="259">
        <f t="shared" si="15"/>
        <v>0.5</v>
      </c>
    </row>
    <row r="111" spans="1:6" ht="20.25" customHeight="1" x14ac:dyDescent="0.3">
      <c r="A111" s="256">
        <v>7</v>
      </c>
      <c r="B111" s="257" t="s">
        <v>445</v>
      </c>
      <c r="C111" s="260">
        <v>22</v>
      </c>
      <c r="D111" s="260">
        <v>24</v>
      </c>
      <c r="E111" s="260">
        <f t="shared" si="14"/>
        <v>2</v>
      </c>
      <c r="F111" s="259">
        <f t="shared" si="15"/>
        <v>9.0909090909090912E-2</v>
      </c>
    </row>
    <row r="112" spans="1:6" ht="20.25" customHeight="1" x14ac:dyDescent="0.3">
      <c r="A112" s="256">
        <v>8</v>
      </c>
      <c r="B112" s="257" t="s">
        <v>446</v>
      </c>
      <c r="C112" s="260">
        <v>8</v>
      </c>
      <c r="D112" s="260">
        <v>16</v>
      </c>
      <c r="E112" s="260">
        <f t="shared" si="14"/>
        <v>8</v>
      </c>
      <c r="F112" s="259">
        <f t="shared" si="15"/>
        <v>1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117636</v>
      </c>
      <c r="D114" s="263">
        <f>+D105+D107</f>
        <v>149583</v>
      </c>
      <c r="E114" s="263">
        <f t="shared" si="14"/>
        <v>31947</v>
      </c>
      <c r="F114" s="264">
        <f t="shared" si="15"/>
        <v>0.27157502805263695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61977</v>
      </c>
      <c r="D115" s="263">
        <f>+D106+D108</f>
        <v>48240</v>
      </c>
      <c r="E115" s="263">
        <f t="shared" si="14"/>
        <v>-13737</v>
      </c>
      <c r="F115" s="264">
        <f t="shared" si="15"/>
        <v>-0.22164673991964762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151535</v>
      </c>
      <c r="D118" s="258">
        <v>277981</v>
      </c>
      <c r="E118" s="258">
        <f t="shared" ref="E118:E128" si="16">D118-C118</f>
        <v>126446</v>
      </c>
      <c r="F118" s="259">
        <f t="shared" ref="F118:F128" si="17">IF(C118=0,0,E118/C118)</f>
        <v>0.83443428910812678</v>
      </c>
    </row>
    <row r="119" spans="1:6" ht="20.25" customHeight="1" x14ac:dyDescent="0.3">
      <c r="A119" s="256">
        <v>2</v>
      </c>
      <c r="B119" s="257" t="s">
        <v>442</v>
      </c>
      <c r="C119" s="258">
        <v>57824</v>
      </c>
      <c r="D119" s="258">
        <v>131897</v>
      </c>
      <c r="E119" s="258">
        <f t="shared" si="16"/>
        <v>74073</v>
      </c>
      <c r="F119" s="259">
        <f t="shared" si="17"/>
        <v>1.2810078859988931</v>
      </c>
    </row>
    <row r="120" spans="1:6" ht="20.25" customHeight="1" x14ac:dyDescent="0.3">
      <c r="A120" s="256">
        <v>3</v>
      </c>
      <c r="B120" s="257" t="s">
        <v>443</v>
      </c>
      <c r="C120" s="258">
        <v>100090</v>
      </c>
      <c r="D120" s="258">
        <v>291177</v>
      </c>
      <c r="E120" s="258">
        <f t="shared" si="16"/>
        <v>191087</v>
      </c>
      <c r="F120" s="259">
        <f t="shared" si="17"/>
        <v>1.9091517634129285</v>
      </c>
    </row>
    <row r="121" spans="1:6" ht="20.25" customHeight="1" x14ac:dyDescent="0.3">
      <c r="A121" s="256">
        <v>4</v>
      </c>
      <c r="B121" s="257" t="s">
        <v>444</v>
      </c>
      <c r="C121" s="258">
        <v>25397</v>
      </c>
      <c r="D121" s="258">
        <v>57316</v>
      </c>
      <c r="E121" s="258">
        <f t="shared" si="16"/>
        <v>31919</v>
      </c>
      <c r="F121" s="259">
        <f t="shared" si="17"/>
        <v>1.2568019844863567</v>
      </c>
    </row>
    <row r="122" spans="1:6" ht="20.25" customHeight="1" x14ac:dyDescent="0.3">
      <c r="A122" s="256">
        <v>5</v>
      </c>
      <c r="B122" s="257" t="s">
        <v>381</v>
      </c>
      <c r="C122" s="260">
        <v>3</v>
      </c>
      <c r="D122" s="260">
        <v>14</v>
      </c>
      <c r="E122" s="260">
        <f t="shared" si="16"/>
        <v>11</v>
      </c>
      <c r="F122" s="259">
        <f t="shared" si="17"/>
        <v>3.6666666666666665</v>
      </c>
    </row>
    <row r="123" spans="1:6" ht="20.25" customHeight="1" x14ac:dyDescent="0.3">
      <c r="A123" s="256">
        <v>6</v>
      </c>
      <c r="B123" s="257" t="s">
        <v>380</v>
      </c>
      <c r="C123" s="260">
        <v>38</v>
      </c>
      <c r="D123" s="260">
        <v>75</v>
      </c>
      <c r="E123" s="260">
        <f t="shared" si="16"/>
        <v>37</v>
      </c>
      <c r="F123" s="259">
        <f t="shared" si="17"/>
        <v>0.97368421052631582</v>
      </c>
    </row>
    <row r="124" spans="1:6" ht="20.25" customHeight="1" x14ac:dyDescent="0.3">
      <c r="A124" s="256">
        <v>7</v>
      </c>
      <c r="B124" s="257" t="s">
        <v>445</v>
      </c>
      <c r="C124" s="260">
        <v>98</v>
      </c>
      <c r="D124" s="260">
        <v>296</v>
      </c>
      <c r="E124" s="260">
        <f t="shared" si="16"/>
        <v>198</v>
      </c>
      <c r="F124" s="259">
        <f t="shared" si="17"/>
        <v>2.0204081632653059</v>
      </c>
    </row>
    <row r="125" spans="1:6" ht="20.25" customHeight="1" x14ac:dyDescent="0.3">
      <c r="A125" s="256">
        <v>8</v>
      </c>
      <c r="B125" s="257" t="s">
        <v>446</v>
      </c>
      <c r="C125" s="260">
        <v>13</v>
      </c>
      <c r="D125" s="260">
        <v>24</v>
      </c>
      <c r="E125" s="260">
        <f t="shared" si="16"/>
        <v>11</v>
      </c>
      <c r="F125" s="259">
        <f t="shared" si="17"/>
        <v>0.84615384615384615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251625</v>
      </c>
      <c r="D127" s="263">
        <f>+D118+D120</f>
        <v>569158</v>
      </c>
      <c r="E127" s="263">
        <f t="shared" si="16"/>
        <v>317533</v>
      </c>
      <c r="F127" s="264">
        <f t="shared" si="17"/>
        <v>1.2619294585196223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83221</v>
      </c>
      <c r="D128" s="263">
        <f>+D119+D121</f>
        <v>189213</v>
      </c>
      <c r="E128" s="263">
        <f t="shared" si="16"/>
        <v>105992</v>
      </c>
      <c r="F128" s="264">
        <f t="shared" si="17"/>
        <v>1.2736208408935246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1609</v>
      </c>
      <c r="E133" s="258">
        <f t="shared" si="18"/>
        <v>1609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357</v>
      </c>
      <c r="E134" s="258">
        <f t="shared" si="18"/>
        <v>357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1</v>
      </c>
      <c r="E137" s="260">
        <f t="shared" si="18"/>
        <v>1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1</v>
      </c>
      <c r="E138" s="260">
        <f t="shared" si="18"/>
        <v>1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1609</v>
      </c>
      <c r="E140" s="263">
        <f t="shared" si="18"/>
        <v>1609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357</v>
      </c>
      <c r="E141" s="263">
        <f t="shared" si="18"/>
        <v>357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465129</v>
      </c>
      <c r="D183" s="258">
        <v>1167359</v>
      </c>
      <c r="E183" s="258">
        <f t="shared" ref="E183:E193" si="26">D183-C183</f>
        <v>702230</v>
      </c>
      <c r="F183" s="259">
        <f t="shared" ref="F183:F193" si="27">IF(C183=0,0,E183/C183)</f>
        <v>1.5097532082497545</v>
      </c>
    </row>
    <row r="184" spans="1:6" ht="20.25" customHeight="1" x14ac:dyDescent="0.3">
      <c r="A184" s="256">
        <v>2</v>
      </c>
      <c r="B184" s="257" t="s">
        <v>442</v>
      </c>
      <c r="C184" s="258">
        <v>250937</v>
      </c>
      <c r="D184" s="258">
        <v>454876</v>
      </c>
      <c r="E184" s="258">
        <f t="shared" si="26"/>
        <v>203939</v>
      </c>
      <c r="F184" s="259">
        <f t="shared" si="27"/>
        <v>0.81270996305845689</v>
      </c>
    </row>
    <row r="185" spans="1:6" ht="20.25" customHeight="1" x14ac:dyDescent="0.3">
      <c r="A185" s="256">
        <v>3</v>
      </c>
      <c r="B185" s="257" t="s">
        <v>443</v>
      </c>
      <c r="C185" s="258">
        <v>645343</v>
      </c>
      <c r="D185" s="258">
        <v>858808</v>
      </c>
      <c r="E185" s="258">
        <f t="shared" si="26"/>
        <v>213465</v>
      </c>
      <c r="F185" s="259">
        <f t="shared" si="27"/>
        <v>0.33077758649276429</v>
      </c>
    </row>
    <row r="186" spans="1:6" ht="20.25" customHeight="1" x14ac:dyDescent="0.3">
      <c r="A186" s="256">
        <v>4</v>
      </c>
      <c r="B186" s="257" t="s">
        <v>444</v>
      </c>
      <c r="C186" s="258">
        <v>161638</v>
      </c>
      <c r="D186" s="258">
        <v>209925</v>
      </c>
      <c r="E186" s="258">
        <f t="shared" si="26"/>
        <v>48287</v>
      </c>
      <c r="F186" s="259">
        <f t="shared" si="27"/>
        <v>0.29873544587287643</v>
      </c>
    </row>
    <row r="187" spans="1:6" ht="20.25" customHeight="1" x14ac:dyDescent="0.3">
      <c r="A187" s="256">
        <v>5</v>
      </c>
      <c r="B187" s="257" t="s">
        <v>381</v>
      </c>
      <c r="C187" s="260">
        <v>28</v>
      </c>
      <c r="D187" s="260">
        <v>44</v>
      </c>
      <c r="E187" s="260">
        <f t="shared" si="26"/>
        <v>16</v>
      </c>
      <c r="F187" s="259">
        <f t="shared" si="27"/>
        <v>0.5714285714285714</v>
      </c>
    </row>
    <row r="188" spans="1:6" ht="20.25" customHeight="1" x14ac:dyDescent="0.3">
      <c r="A188" s="256">
        <v>6</v>
      </c>
      <c r="B188" s="257" t="s">
        <v>380</v>
      </c>
      <c r="C188" s="260">
        <v>126</v>
      </c>
      <c r="D188" s="260">
        <v>317</v>
      </c>
      <c r="E188" s="260">
        <f t="shared" si="26"/>
        <v>191</v>
      </c>
      <c r="F188" s="259">
        <f t="shared" si="27"/>
        <v>1.5158730158730158</v>
      </c>
    </row>
    <row r="189" spans="1:6" ht="20.25" customHeight="1" x14ac:dyDescent="0.3">
      <c r="A189" s="256">
        <v>7</v>
      </c>
      <c r="B189" s="257" t="s">
        <v>445</v>
      </c>
      <c r="C189" s="260">
        <v>663</v>
      </c>
      <c r="D189" s="260">
        <v>780</v>
      </c>
      <c r="E189" s="260">
        <f t="shared" si="26"/>
        <v>117</v>
      </c>
      <c r="F189" s="259">
        <f t="shared" si="27"/>
        <v>0.17647058823529413</v>
      </c>
    </row>
    <row r="190" spans="1:6" ht="20.25" customHeight="1" x14ac:dyDescent="0.3">
      <c r="A190" s="256">
        <v>8</v>
      </c>
      <c r="B190" s="257" t="s">
        <v>446</v>
      </c>
      <c r="C190" s="260">
        <v>63</v>
      </c>
      <c r="D190" s="260">
        <v>96</v>
      </c>
      <c r="E190" s="260">
        <f t="shared" si="26"/>
        <v>33</v>
      </c>
      <c r="F190" s="259">
        <f t="shared" si="27"/>
        <v>0.52380952380952384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1110472</v>
      </c>
      <c r="D192" s="263">
        <f>+D183+D185</f>
        <v>2026167</v>
      </c>
      <c r="E192" s="263">
        <f t="shared" si="26"/>
        <v>915695</v>
      </c>
      <c r="F192" s="264">
        <f t="shared" si="27"/>
        <v>0.8245998098106031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412575</v>
      </c>
      <c r="D193" s="263">
        <f>+D184+D186</f>
        <v>664801</v>
      </c>
      <c r="E193" s="263">
        <f t="shared" si="26"/>
        <v>252226</v>
      </c>
      <c r="F193" s="264">
        <f t="shared" si="27"/>
        <v>0.61134581591225834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2076585</v>
      </c>
      <c r="D198" s="263">
        <f t="shared" si="28"/>
        <v>2429623</v>
      </c>
      <c r="E198" s="263">
        <f t="shared" ref="E198:E208" si="29">D198-C198</f>
        <v>353038</v>
      </c>
      <c r="F198" s="273">
        <f t="shared" ref="F198:F208" si="30">IF(C198=0,0,E198/C198)</f>
        <v>0.17000893293556488</v>
      </c>
    </row>
    <row r="199" spans="1:9" ht="20.25" customHeight="1" x14ac:dyDescent="0.3">
      <c r="A199" s="271"/>
      <c r="B199" s="272" t="s">
        <v>466</v>
      </c>
      <c r="C199" s="263">
        <f t="shared" si="28"/>
        <v>977973</v>
      </c>
      <c r="D199" s="263">
        <f t="shared" si="28"/>
        <v>986423</v>
      </c>
      <c r="E199" s="263">
        <f t="shared" si="29"/>
        <v>8450</v>
      </c>
      <c r="F199" s="273">
        <f t="shared" si="30"/>
        <v>8.6403203360419963E-3</v>
      </c>
    </row>
    <row r="200" spans="1:9" ht="20.25" customHeight="1" x14ac:dyDescent="0.3">
      <c r="A200" s="271"/>
      <c r="B200" s="272" t="s">
        <v>467</v>
      </c>
      <c r="C200" s="263">
        <f t="shared" si="28"/>
        <v>1538955</v>
      </c>
      <c r="D200" s="263">
        <f t="shared" si="28"/>
        <v>2344986</v>
      </c>
      <c r="E200" s="263">
        <f t="shared" si="29"/>
        <v>806031</v>
      </c>
      <c r="F200" s="273">
        <f t="shared" si="30"/>
        <v>0.52375215649580398</v>
      </c>
    </row>
    <row r="201" spans="1:9" ht="20.25" customHeight="1" x14ac:dyDescent="0.3">
      <c r="A201" s="271"/>
      <c r="B201" s="272" t="s">
        <v>468</v>
      </c>
      <c r="C201" s="263">
        <f t="shared" si="28"/>
        <v>358752</v>
      </c>
      <c r="D201" s="263">
        <f t="shared" si="28"/>
        <v>519504</v>
      </c>
      <c r="E201" s="263">
        <f t="shared" si="29"/>
        <v>160752</v>
      </c>
      <c r="F201" s="273">
        <f t="shared" si="30"/>
        <v>0.4480867005619481</v>
      </c>
    </row>
    <row r="202" spans="1:9" ht="20.25" customHeight="1" x14ac:dyDescent="0.3">
      <c r="A202" s="271"/>
      <c r="B202" s="272" t="s">
        <v>138</v>
      </c>
      <c r="C202" s="274">
        <f t="shared" si="28"/>
        <v>81</v>
      </c>
      <c r="D202" s="274">
        <f t="shared" si="28"/>
        <v>99</v>
      </c>
      <c r="E202" s="274">
        <f t="shared" si="29"/>
        <v>18</v>
      </c>
      <c r="F202" s="273">
        <f t="shared" si="30"/>
        <v>0.22222222222222221</v>
      </c>
    </row>
    <row r="203" spans="1:9" ht="20.25" customHeight="1" x14ac:dyDescent="0.3">
      <c r="A203" s="271"/>
      <c r="B203" s="272" t="s">
        <v>140</v>
      </c>
      <c r="C203" s="274">
        <f t="shared" si="28"/>
        <v>481</v>
      </c>
      <c r="D203" s="274">
        <f t="shared" si="28"/>
        <v>620</v>
      </c>
      <c r="E203" s="274">
        <f t="shared" si="29"/>
        <v>139</v>
      </c>
      <c r="F203" s="273">
        <f t="shared" si="30"/>
        <v>0.288981288981289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1550</v>
      </c>
      <c r="D204" s="274">
        <f t="shared" si="28"/>
        <v>2066</v>
      </c>
      <c r="E204" s="274">
        <f t="shared" si="29"/>
        <v>516</v>
      </c>
      <c r="F204" s="273">
        <f t="shared" si="30"/>
        <v>0.3329032258064516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149</v>
      </c>
      <c r="D205" s="274">
        <f t="shared" si="28"/>
        <v>228</v>
      </c>
      <c r="E205" s="274">
        <f t="shared" si="29"/>
        <v>79</v>
      </c>
      <c r="F205" s="273">
        <f t="shared" si="30"/>
        <v>0.53020134228187921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3615540</v>
      </c>
      <c r="D207" s="263">
        <f>+D198+D200</f>
        <v>4774609</v>
      </c>
      <c r="E207" s="263">
        <f t="shared" si="29"/>
        <v>1159069</v>
      </c>
      <c r="F207" s="273">
        <f t="shared" si="30"/>
        <v>0.32057977508200713</v>
      </c>
    </row>
    <row r="208" spans="1:9" ht="20.25" customHeight="1" x14ac:dyDescent="0.3">
      <c r="A208" s="271"/>
      <c r="B208" s="262" t="s">
        <v>472</v>
      </c>
      <c r="C208" s="263">
        <f>+C199+C201</f>
        <v>1336725</v>
      </c>
      <c r="D208" s="263">
        <f>+D199+D201</f>
        <v>1505927</v>
      </c>
      <c r="E208" s="263">
        <f t="shared" si="29"/>
        <v>169202</v>
      </c>
      <c r="F208" s="273">
        <f t="shared" si="30"/>
        <v>0.12657951336288317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373099</v>
      </c>
      <c r="D26" s="258">
        <v>0</v>
      </c>
      <c r="E26" s="258">
        <f t="shared" ref="E26:E36" si="2">D26-C26</f>
        <v>-373099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77810</v>
      </c>
      <c r="D27" s="258">
        <v>0</v>
      </c>
      <c r="E27" s="258">
        <f t="shared" si="2"/>
        <v>-77810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368221</v>
      </c>
      <c r="D28" s="258">
        <v>0</v>
      </c>
      <c r="E28" s="258">
        <f t="shared" si="2"/>
        <v>-368221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88023</v>
      </c>
      <c r="D29" s="258">
        <v>0</v>
      </c>
      <c r="E29" s="258">
        <f t="shared" si="2"/>
        <v>-88023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21</v>
      </c>
      <c r="D30" s="260">
        <v>0</v>
      </c>
      <c r="E30" s="260">
        <f t="shared" si="2"/>
        <v>-21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60</v>
      </c>
      <c r="D31" s="260">
        <v>0</v>
      </c>
      <c r="E31" s="260">
        <f t="shared" si="2"/>
        <v>-60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333</v>
      </c>
      <c r="D32" s="260">
        <v>0</v>
      </c>
      <c r="E32" s="260">
        <f t="shared" si="2"/>
        <v>-333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146</v>
      </c>
      <c r="D33" s="260">
        <v>0</v>
      </c>
      <c r="E33" s="260">
        <f t="shared" si="2"/>
        <v>-146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741320</v>
      </c>
      <c r="D35" s="263">
        <f>+D26+D28</f>
        <v>0</v>
      </c>
      <c r="E35" s="263">
        <f t="shared" si="2"/>
        <v>-741320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165833</v>
      </c>
      <c r="D36" s="263">
        <f>+D27+D29</f>
        <v>0</v>
      </c>
      <c r="E36" s="263">
        <f t="shared" si="2"/>
        <v>-165833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20243</v>
      </c>
      <c r="D50" s="258">
        <v>0</v>
      </c>
      <c r="E50" s="258">
        <f t="shared" ref="E50:E60" si="6">D50-C50</f>
        <v>-20243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8629</v>
      </c>
      <c r="D51" s="258">
        <v>0</v>
      </c>
      <c r="E51" s="258">
        <f t="shared" si="6"/>
        <v>-8629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80760</v>
      </c>
      <c r="D52" s="258">
        <v>0</v>
      </c>
      <c r="E52" s="258">
        <f t="shared" si="6"/>
        <v>-80760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9293</v>
      </c>
      <c r="D53" s="258">
        <v>0</v>
      </c>
      <c r="E53" s="258">
        <f t="shared" si="6"/>
        <v>-9293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2</v>
      </c>
      <c r="D54" s="260">
        <v>0</v>
      </c>
      <c r="E54" s="260">
        <f t="shared" si="6"/>
        <v>-2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6</v>
      </c>
      <c r="D55" s="260">
        <v>0</v>
      </c>
      <c r="E55" s="260">
        <f t="shared" si="6"/>
        <v>-6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29</v>
      </c>
      <c r="D57" s="260">
        <v>0</v>
      </c>
      <c r="E57" s="260">
        <f t="shared" si="6"/>
        <v>-29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101003</v>
      </c>
      <c r="D59" s="263">
        <f>+D50+D52</f>
        <v>0</v>
      </c>
      <c r="E59" s="263">
        <f t="shared" si="6"/>
        <v>-101003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17922</v>
      </c>
      <c r="D60" s="263">
        <f>+D51+D53</f>
        <v>0</v>
      </c>
      <c r="E60" s="263">
        <f t="shared" si="6"/>
        <v>-17922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8328</v>
      </c>
      <c r="D88" s="258">
        <v>0</v>
      </c>
      <c r="E88" s="258">
        <f t="shared" si="12"/>
        <v>-8328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1671</v>
      </c>
      <c r="D89" s="258">
        <v>0</v>
      </c>
      <c r="E89" s="258">
        <f t="shared" si="12"/>
        <v>-1671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15</v>
      </c>
      <c r="D92" s="260">
        <v>0</v>
      </c>
      <c r="E92" s="260">
        <f t="shared" si="12"/>
        <v>-15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9</v>
      </c>
      <c r="D93" s="260">
        <v>0</v>
      </c>
      <c r="E93" s="260">
        <f t="shared" si="12"/>
        <v>-9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8328</v>
      </c>
      <c r="D95" s="263">
        <f>+D86+D88</f>
        <v>0</v>
      </c>
      <c r="E95" s="263">
        <f t="shared" si="12"/>
        <v>-8328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1671</v>
      </c>
      <c r="D96" s="263">
        <f>+D87+D89</f>
        <v>0</v>
      </c>
      <c r="E96" s="263">
        <f t="shared" si="12"/>
        <v>-1671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126205</v>
      </c>
      <c r="D98" s="258">
        <v>0</v>
      </c>
      <c r="E98" s="258">
        <f t="shared" ref="E98:E108" si="14">D98-C98</f>
        <v>-126205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31192</v>
      </c>
      <c r="D99" s="258">
        <v>0</v>
      </c>
      <c r="E99" s="258">
        <f t="shared" si="14"/>
        <v>-31192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72216</v>
      </c>
      <c r="D100" s="258">
        <v>0</v>
      </c>
      <c r="E100" s="258">
        <f t="shared" si="14"/>
        <v>-72216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19423</v>
      </c>
      <c r="D101" s="258">
        <v>0</v>
      </c>
      <c r="E101" s="258">
        <f t="shared" si="14"/>
        <v>-19423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10</v>
      </c>
      <c r="D102" s="260">
        <v>0</v>
      </c>
      <c r="E102" s="260">
        <f t="shared" si="14"/>
        <v>-10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20</v>
      </c>
      <c r="D103" s="260">
        <v>0</v>
      </c>
      <c r="E103" s="260">
        <f t="shared" si="14"/>
        <v>-20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92</v>
      </c>
      <c r="D104" s="260">
        <v>0</v>
      </c>
      <c r="E104" s="260">
        <f t="shared" si="14"/>
        <v>-92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25</v>
      </c>
      <c r="D105" s="260">
        <v>0</v>
      </c>
      <c r="E105" s="260">
        <f t="shared" si="14"/>
        <v>-25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198421</v>
      </c>
      <c r="D107" s="263">
        <f>+D98+D100</f>
        <v>0</v>
      </c>
      <c r="E107" s="263">
        <f t="shared" si="14"/>
        <v>-198421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50615</v>
      </c>
      <c r="D108" s="263">
        <f>+D99+D101</f>
        <v>0</v>
      </c>
      <c r="E108" s="263">
        <f t="shared" si="14"/>
        <v>-50615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519547</v>
      </c>
      <c r="D112" s="263">
        <f t="shared" si="16"/>
        <v>0</v>
      </c>
      <c r="E112" s="263">
        <f t="shared" ref="E112:E122" si="17">D112-C112</f>
        <v>-519547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117631</v>
      </c>
      <c r="D113" s="263">
        <f t="shared" si="16"/>
        <v>0</v>
      </c>
      <c r="E113" s="263">
        <f t="shared" si="17"/>
        <v>-117631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529525</v>
      </c>
      <c r="D114" s="263">
        <f t="shared" si="16"/>
        <v>0</v>
      </c>
      <c r="E114" s="263">
        <f t="shared" si="17"/>
        <v>-529525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118410</v>
      </c>
      <c r="D115" s="263">
        <f t="shared" si="16"/>
        <v>0</v>
      </c>
      <c r="E115" s="263">
        <f t="shared" si="17"/>
        <v>-118410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33</v>
      </c>
      <c r="D116" s="287">
        <f t="shared" si="16"/>
        <v>0</v>
      </c>
      <c r="E116" s="287">
        <f t="shared" si="17"/>
        <v>-33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86</v>
      </c>
      <c r="D117" s="287">
        <f t="shared" si="16"/>
        <v>0</v>
      </c>
      <c r="E117" s="287">
        <f t="shared" si="17"/>
        <v>-86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440</v>
      </c>
      <c r="D118" s="287">
        <f t="shared" si="16"/>
        <v>0</v>
      </c>
      <c r="E118" s="287">
        <f t="shared" si="17"/>
        <v>-440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209</v>
      </c>
      <c r="D119" s="287">
        <f t="shared" si="16"/>
        <v>0</v>
      </c>
      <c r="E119" s="287">
        <f t="shared" si="17"/>
        <v>-209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1049072</v>
      </c>
      <c r="D121" s="263">
        <f>+D112+D114</f>
        <v>0</v>
      </c>
      <c r="E121" s="263">
        <f t="shared" si="17"/>
        <v>-1049072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236041</v>
      </c>
      <c r="D122" s="263">
        <f>+D113+D115</f>
        <v>0</v>
      </c>
      <c r="E122" s="263">
        <f t="shared" si="17"/>
        <v>-236041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0</v>
      </c>
      <c r="D13" s="22">
        <v>117062</v>
      </c>
      <c r="E13" s="22">
        <f t="shared" ref="E13:E22" si="0">D13-C13</f>
        <v>117062</v>
      </c>
      <c r="F13" s="306">
        <f t="shared" ref="F13:F22" si="1">IF(C13=0,0,E13/C13)</f>
        <v>0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7516850</v>
      </c>
      <c r="D15" s="22">
        <v>7934530</v>
      </c>
      <c r="E15" s="22">
        <f t="shared" si="0"/>
        <v>417680</v>
      </c>
      <c r="F15" s="306">
        <f t="shared" si="1"/>
        <v>5.5565828771360341E-2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1143076</v>
      </c>
      <c r="D19" s="22">
        <v>1271046</v>
      </c>
      <c r="E19" s="22">
        <f t="shared" si="0"/>
        <v>127970</v>
      </c>
      <c r="F19" s="306">
        <f t="shared" si="1"/>
        <v>0.11195231113241814</v>
      </c>
    </row>
    <row r="20" spans="1:11" ht="24" customHeight="1" x14ac:dyDescent="0.2">
      <c r="A20" s="304">
        <v>8</v>
      </c>
      <c r="B20" s="305" t="s">
        <v>23</v>
      </c>
      <c r="C20" s="22">
        <v>552202</v>
      </c>
      <c r="D20" s="22">
        <v>1848189</v>
      </c>
      <c r="E20" s="22">
        <f t="shared" si="0"/>
        <v>1295987</v>
      </c>
      <c r="F20" s="306">
        <f t="shared" si="1"/>
        <v>2.3469436908957229</v>
      </c>
    </row>
    <row r="21" spans="1:11" ht="24" customHeight="1" x14ac:dyDescent="0.2">
      <c r="A21" s="304">
        <v>9</v>
      </c>
      <c r="B21" s="305" t="s">
        <v>24</v>
      </c>
      <c r="C21" s="22">
        <v>730076</v>
      </c>
      <c r="D21" s="22">
        <v>1179591</v>
      </c>
      <c r="E21" s="22">
        <f t="shared" si="0"/>
        <v>449515</v>
      </c>
      <c r="F21" s="306">
        <f t="shared" si="1"/>
        <v>0.61570987130107002</v>
      </c>
    </row>
    <row r="22" spans="1:11" ht="24" customHeight="1" x14ac:dyDescent="0.25">
      <c r="A22" s="307"/>
      <c r="B22" s="308" t="s">
        <v>25</v>
      </c>
      <c r="C22" s="309">
        <f>SUM(C13:C21)</f>
        <v>9942204</v>
      </c>
      <c r="D22" s="309">
        <f>SUM(D13:D21)</f>
        <v>12350418</v>
      </c>
      <c r="E22" s="309">
        <f t="shared" si="0"/>
        <v>2408214</v>
      </c>
      <c r="F22" s="310">
        <f t="shared" si="1"/>
        <v>0.24222134247094507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1942091</v>
      </c>
      <c r="D33" s="22">
        <v>667672</v>
      </c>
      <c r="E33" s="22">
        <f>D33-C33</f>
        <v>-1274419</v>
      </c>
      <c r="F33" s="306">
        <f>IF(C33=0,0,E33/C33)</f>
        <v>-0.65620972446708214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62033192</v>
      </c>
      <c r="D36" s="22">
        <v>63297105</v>
      </c>
      <c r="E36" s="22">
        <f>D36-C36</f>
        <v>1263913</v>
      </c>
      <c r="F36" s="306">
        <f>IF(C36=0,0,E36/C36)</f>
        <v>2.0374785808216996E-2</v>
      </c>
    </row>
    <row r="37" spans="1:8" ht="24" customHeight="1" x14ac:dyDescent="0.2">
      <c r="A37" s="304">
        <v>2</v>
      </c>
      <c r="B37" s="305" t="s">
        <v>39</v>
      </c>
      <c r="C37" s="22">
        <v>26189685</v>
      </c>
      <c r="D37" s="22">
        <v>28688271</v>
      </c>
      <c r="E37" s="22">
        <f>D37-C37</f>
        <v>2498586</v>
      </c>
      <c r="F37" s="22">
        <f>IF(C37=0,0,E37/C37)</f>
        <v>9.5403438414780481E-2</v>
      </c>
    </row>
    <row r="38" spans="1:8" ht="24" customHeight="1" x14ac:dyDescent="0.25">
      <c r="A38" s="307"/>
      <c r="B38" s="308" t="s">
        <v>40</v>
      </c>
      <c r="C38" s="309">
        <f>C36-C37</f>
        <v>35843507</v>
      </c>
      <c r="D38" s="309">
        <f>D36-D37</f>
        <v>34608834</v>
      </c>
      <c r="E38" s="309">
        <f>D38-C38</f>
        <v>-1234673</v>
      </c>
      <c r="F38" s="310">
        <f>IF(C38=0,0,E38/C38)</f>
        <v>-3.4446210857659657E-2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429573</v>
      </c>
      <c r="D40" s="22">
        <v>0</v>
      </c>
      <c r="E40" s="22">
        <f>D40-C40</f>
        <v>-429573</v>
      </c>
      <c r="F40" s="306">
        <f>IF(C40=0,0,E40/C40)</f>
        <v>-1</v>
      </c>
    </row>
    <row r="41" spans="1:8" ht="24" customHeight="1" x14ac:dyDescent="0.25">
      <c r="A41" s="307"/>
      <c r="B41" s="308" t="s">
        <v>42</v>
      </c>
      <c r="C41" s="309">
        <f>+C38+C40</f>
        <v>36273080</v>
      </c>
      <c r="D41" s="309">
        <f>+D38+D40</f>
        <v>34608834</v>
      </c>
      <c r="E41" s="309">
        <f>D41-C41</f>
        <v>-1664246</v>
      </c>
      <c r="F41" s="310">
        <f>IF(C41=0,0,E41/C41)</f>
        <v>-4.5881022510357541E-2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48157375</v>
      </c>
      <c r="D43" s="309">
        <f>D22+D29+D31+D32+D33+D41</f>
        <v>47626924</v>
      </c>
      <c r="E43" s="309">
        <f>D43-C43</f>
        <v>-530451</v>
      </c>
      <c r="F43" s="310">
        <f>IF(C43=0,0,E43/C43)</f>
        <v>-1.1014948385371919E-2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1836580</v>
      </c>
      <c r="D49" s="22">
        <v>1739478</v>
      </c>
      <c r="E49" s="22">
        <f t="shared" ref="E49:E56" si="2">D49-C49</f>
        <v>-97102</v>
      </c>
      <c r="F49" s="306">
        <f t="shared" ref="F49:F56" si="3">IF(C49=0,0,E49/C49)</f>
        <v>-5.2871097365755917E-2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4114911</v>
      </c>
      <c r="D50" s="22">
        <v>4264163</v>
      </c>
      <c r="E50" s="22">
        <f t="shared" si="2"/>
        <v>149252</v>
      </c>
      <c r="F50" s="306">
        <f t="shared" si="3"/>
        <v>3.627101533909239E-2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9120</v>
      </c>
      <c r="D51" s="22">
        <v>345766</v>
      </c>
      <c r="E51" s="22">
        <f t="shared" si="2"/>
        <v>336646</v>
      </c>
      <c r="F51" s="306">
        <f t="shared" si="3"/>
        <v>36.91293859649123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5960611</v>
      </c>
      <c r="D56" s="309">
        <f>SUM(D49:D55)</f>
        <v>6349407</v>
      </c>
      <c r="E56" s="309">
        <f t="shared" si="2"/>
        <v>388796</v>
      </c>
      <c r="F56" s="310">
        <f t="shared" si="3"/>
        <v>6.52275412705174E-2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24196785</v>
      </c>
      <c r="D60" s="22">
        <v>21600220</v>
      </c>
      <c r="E60" s="22">
        <f>D60-C60</f>
        <v>-2596565</v>
      </c>
      <c r="F60" s="306">
        <f>IF(C60=0,0,E60/C60)</f>
        <v>-0.10731033069062687</v>
      </c>
    </row>
    <row r="61" spans="1:6" ht="24" customHeight="1" x14ac:dyDescent="0.25">
      <c r="A61" s="307"/>
      <c r="B61" s="308" t="s">
        <v>58</v>
      </c>
      <c r="C61" s="309">
        <f>SUM(C59:C60)</f>
        <v>24196785</v>
      </c>
      <c r="D61" s="309">
        <f>SUM(D59:D60)</f>
        <v>21600220</v>
      </c>
      <c r="E61" s="309">
        <f>D61-C61</f>
        <v>-2596565</v>
      </c>
      <c r="F61" s="310">
        <f>IF(C61=0,0,E61/C61)</f>
        <v>-0.10731033069062687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1403000</v>
      </c>
      <c r="D63" s="22">
        <v>1268000</v>
      </c>
      <c r="E63" s="22">
        <f>D63-C63</f>
        <v>-135000</v>
      </c>
      <c r="F63" s="306">
        <f>IF(C63=0,0,E63/C63)</f>
        <v>-9.6222380612972197E-2</v>
      </c>
    </row>
    <row r="64" spans="1:6" ht="24" customHeight="1" x14ac:dyDescent="0.2">
      <c r="A64" s="304">
        <v>4</v>
      </c>
      <c r="B64" s="305" t="s">
        <v>60</v>
      </c>
      <c r="C64" s="22">
        <v>354160</v>
      </c>
      <c r="D64" s="22">
        <v>554304</v>
      </c>
      <c r="E64" s="22">
        <f>D64-C64</f>
        <v>200144</v>
      </c>
      <c r="F64" s="306">
        <f>IF(C64=0,0,E64/C64)</f>
        <v>0.56512310819968381</v>
      </c>
    </row>
    <row r="65" spans="1:6" ht="24" customHeight="1" x14ac:dyDescent="0.25">
      <c r="A65" s="307"/>
      <c r="B65" s="308" t="s">
        <v>61</v>
      </c>
      <c r="C65" s="309">
        <f>SUM(C61:C64)</f>
        <v>25953945</v>
      </c>
      <c r="D65" s="309">
        <f>SUM(D61:D64)</f>
        <v>23422524</v>
      </c>
      <c r="E65" s="309">
        <f>D65-C65</f>
        <v>-2531421</v>
      </c>
      <c r="F65" s="310">
        <f>IF(C65=0,0,E65/C65)</f>
        <v>-9.7535114603964829E-2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250000</v>
      </c>
      <c r="D67" s="22">
        <v>250000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15992819</v>
      </c>
      <c r="D70" s="22">
        <v>17604993</v>
      </c>
      <c r="E70" s="22">
        <f>D70-C70</f>
        <v>1612174</v>
      </c>
      <c r="F70" s="306">
        <f>IF(C70=0,0,E70/C70)</f>
        <v>0.10080611804585546</v>
      </c>
    </row>
    <row r="71" spans="1:6" ht="24" customHeight="1" x14ac:dyDescent="0.2">
      <c r="A71" s="304">
        <v>2</v>
      </c>
      <c r="B71" s="305" t="s">
        <v>65</v>
      </c>
      <c r="C71" s="22">
        <v>0</v>
      </c>
      <c r="D71" s="22">
        <v>0</v>
      </c>
      <c r="E71" s="22">
        <f>D71-C71</f>
        <v>0</v>
      </c>
      <c r="F71" s="306">
        <f>IF(C71=0,0,E71/C71)</f>
        <v>0</v>
      </c>
    </row>
    <row r="72" spans="1:6" ht="24" customHeight="1" x14ac:dyDescent="0.2">
      <c r="A72" s="304">
        <v>3</v>
      </c>
      <c r="B72" s="305" t="s">
        <v>66</v>
      </c>
      <c r="C72" s="22">
        <v>0</v>
      </c>
      <c r="D72" s="22">
        <v>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15992819</v>
      </c>
      <c r="D73" s="309">
        <f>SUM(D70:D72)</f>
        <v>17604993</v>
      </c>
      <c r="E73" s="309">
        <f>D73-C73</f>
        <v>1612174</v>
      </c>
      <c r="F73" s="310">
        <f>IF(C73=0,0,E73/C73)</f>
        <v>0.10080611804585546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48157375</v>
      </c>
      <c r="D75" s="309">
        <f>D56+D65+D67+D73</f>
        <v>47626924</v>
      </c>
      <c r="E75" s="309">
        <f>D75-C75</f>
        <v>-530451</v>
      </c>
      <c r="F75" s="310">
        <f>IF(C75=0,0,E75/C75)</f>
        <v>-1.1014948385371919E-2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146615022</v>
      </c>
      <c r="D11" s="76">
        <v>161643985</v>
      </c>
      <c r="E11" s="76">
        <f t="shared" ref="E11:E20" si="0">D11-C11</f>
        <v>15028963</v>
      </c>
      <c r="F11" s="77">
        <f t="shared" ref="F11:F20" si="1">IF(C11=0,0,E11/C11)</f>
        <v>0.10250629706961405</v>
      </c>
    </row>
    <row r="12" spans="1:7" ht="23.1" customHeight="1" x14ac:dyDescent="0.2">
      <c r="A12" s="74">
        <v>2</v>
      </c>
      <c r="B12" s="75" t="s">
        <v>72</v>
      </c>
      <c r="C12" s="76">
        <v>85945146</v>
      </c>
      <c r="D12" s="76">
        <v>97303651</v>
      </c>
      <c r="E12" s="76">
        <f t="shared" si="0"/>
        <v>11358505</v>
      </c>
      <c r="F12" s="77">
        <f t="shared" si="1"/>
        <v>0.1321599360596816</v>
      </c>
    </row>
    <row r="13" spans="1:7" ht="23.1" customHeight="1" x14ac:dyDescent="0.2">
      <c r="A13" s="74">
        <v>3</v>
      </c>
      <c r="B13" s="75" t="s">
        <v>73</v>
      </c>
      <c r="C13" s="76">
        <v>760089</v>
      </c>
      <c r="D13" s="76">
        <v>941923</v>
      </c>
      <c r="E13" s="76">
        <f t="shared" si="0"/>
        <v>181834</v>
      </c>
      <c r="F13" s="77">
        <f t="shared" si="1"/>
        <v>0.23922724838801773</v>
      </c>
    </row>
    <row r="14" spans="1:7" ht="23.1" customHeight="1" x14ac:dyDescent="0.2">
      <c r="A14" s="74">
        <v>4</v>
      </c>
      <c r="B14" s="75" t="s">
        <v>74</v>
      </c>
      <c r="C14" s="76">
        <v>530703</v>
      </c>
      <c r="D14" s="76">
        <v>682983</v>
      </c>
      <c r="E14" s="76">
        <f t="shared" si="0"/>
        <v>152280</v>
      </c>
      <c r="F14" s="77">
        <f t="shared" si="1"/>
        <v>0.28694015296691372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59379084</v>
      </c>
      <c r="D15" s="79">
        <f>D11-D12-D13-D14</f>
        <v>62715428</v>
      </c>
      <c r="E15" s="79">
        <f t="shared" si="0"/>
        <v>3336344</v>
      </c>
      <c r="F15" s="80">
        <f t="shared" si="1"/>
        <v>5.618719210959873E-2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2466684</v>
      </c>
      <c r="E16" s="76">
        <f t="shared" si="0"/>
        <v>2466684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59379084</v>
      </c>
      <c r="D17" s="79">
        <f>D15-D16</f>
        <v>60248744</v>
      </c>
      <c r="E17" s="79">
        <f t="shared" si="0"/>
        <v>869660</v>
      </c>
      <c r="F17" s="80">
        <f t="shared" si="1"/>
        <v>1.4645897872052052E-2</v>
      </c>
    </row>
    <row r="18" spans="1:7" ht="23.1" customHeight="1" x14ac:dyDescent="0.2">
      <c r="A18" s="74">
        <v>6</v>
      </c>
      <c r="B18" s="75" t="s">
        <v>78</v>
      </c>
      <c r="C18" s="76">
        <v>482704</v>
      </c>
      <c r="D18" s="76">
        <v>429185</v>
      </c>
      <c r="E18" s="76">
        <f t="shared" si="0"/>
        <v>-53519</v>
      </c>
      <c r="F18" s="77">
        <f t="shared" si="1"/>
        <v>-0.11087333023964997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59861788</v>
      </c>
      <c r="D20" s="79">
        <f>SUM(D17:D19)</f>
        <v>60677929</v>
      </c>
      <c r="E20" s="79">
        <f t="shared" si="0"/>
        <v>816141</v>
      </c>
      <c r="F20" s="80">
        <f t="shared" si="1"/>
        <v>1.3633755810969095E-2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20311872</v>
      </c>
      <c r="D23" s="76">
        <v>22702349</v>
      </c>
      <c r="E23" s="76">
        <f t="shared" ref="E23:E32" si="2">D23-C23</f>
        <v>2390477</v>
      </c>
      <c r="F23" s="77">
        <f t="shared" ref="F23:F32" si="3">IF(C23=0,0,E23/C23)</f>
        <v>0.11768866010971318</v>
      </c>
    </row>
    <row r="24" spans="1:7" ht="23.1" customHeight="1" x14ac:dyDescent="0.2">
      <c r="A24" s="74">
        <v>2</v>
      </c>
      <c r="B24" s="75" t="s">
        <v>83</v>
      </c>
      <c r="C24" s="76">
        <v>4776447</v>
      </c>
      <c r="D24" s="76">
        <v>4568997</v>
      </c>
      <c r="E24" s="76">
        <f t="shared" si="2"/>
        <v>-207450</v>
      </c>
      <c r="F24" s="77">
        <f t="shared" si="3"/>
        <v>-4.343186473125317E-2</v>
      </c>
    </row>
    <row r="25" spans="1:7" ht="23.1" customHeight="1" x14ac:dyDescent="0.2">
      <c r="A25" s="74">
        <v>3</v>
      </c>
      <c r="B25" s="75" t="s">
        <v>84</v>
      </c>
      <c r="C25" s="76">
        <v>1399248</v>
      </c>
      <c r="D25" s="76">
        <v>2260982</v>
      </c>
      <c r="E25" s="76">
        <f t="shared" si="2"/>
        <v>861734</v>
      </c>
      <c r="F25" s="77">
        <f t="shared" si="3"/>
        <v>0.61585508787577325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6837410</v>
      </c>
      <c r="D26" s="76">
        <v>6890427</v>
      </c>
      <c r="E26" s="76">
        <f t="shared" si="2"/>
        <v>53017</v>
      </c>
      <c r="F26" s="77">
        <f t="shared" si="3"/>
        <v>7.7539594671081589E-3</v>
      </c>
    </row>
    <row r="27" spans="1:7" ht="23.1" customHeight="1" x14ac:dyDescent="0.2">
      <c r="A27" s="74">
        <v>5</v>
      </c>
      <c r="B27" s="75" t="s">
        <v>86</v>
      </c>
      <c r="C27" s="76">
        <v>3213579</v>
      </c>
      <c r="D27" s="76">
        <v>2992573</v>
      </c>
      <c r="E27" s="76">
        <f t="shared" si="2"/>
        <v>-221006</v>
      </c>
      <c r="F27" s="77">
        <f t="shared" si="3"/>
        <v>-6.8772543012012466E-2</v>
      </c>
    </row>
    <row r="28" spans="1:7" ht="23.1" customHeight="1" x14ac:dyDescent="0.2">
      <c r="A28" s="74">
        <v>6</v>
      </c>
      <c r="B28" s="75" t="s">
        <v>87</v>
      </c>
      <c r="C28" s="76">
        <v>3224489</v>
      </c>
      <c r="D28" s="76">
        <v>0</v>
      </c>
      <c r="E28" s="76">
        <f t="shared" si="2"/>
        <v>-3224489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136325</v>
      </c>
      <c r="D29" s="76">
        <v>-5555</v>
      </c>
      <c r="E29" s="76">
        <f t="shared" si="2"/>
        <v>-141880</v>
      </c>
      <c r="F29" s="77">
        <f t="shared" si="3"/>
        <v>-1.0407482119933982</v>
      </c>
    </row>
    <row r="30" spans="1:7" ht="23.1" customHeight="1" x14ac:dyDescent="0.2">
      <c r="A30" s="74">
        <v>8</v>
      </c>
      <c r="B30" s="75" t="s">
        <v>89</v>
      </c>
      <c r="C30" s="76">
        <v>1113805</v>
      </c>
      <c r="D30" s="76">
        <v>1146183</v>
      </c>
      <c r="E30" s="76">
        <f t="shared" si="2"/>
        <v>32378</v>
      </c>
      <c r="F30" s="77">
        <f t="shared" si="3"/>
        <v>2.9069720462738091E-2</v>
      </c>
    </row>
    <row r="31" spans="1:7" ht="23.1" customHeight="1" x14ac:dyDescent="0.2">
      <c r="A31" s="74">
        <v>9</v>
      </c>
      <c r="B31" s="75" t="s">
        <v>90</v>
      </c>
      <c r="C31" s="76">
        <v>18869214</v>
      </c>
      <c r="D31" s="76">
        <v>18597746</v>
      </c>
      <c r="E31" s="76">
        <f t="shared" si="2"/>
        <v>-271468</v>
      </c>
      <c r="F31" s="77">
        <f t="shared" si="3"/>
        <v>-1.4386820775894534E-2</v>
      </c>
    </row>
    <row r="32" spans="1:7" ht="23.1" customHeight="1" x14ac:dyDescent="0.25">
      <c r="A32" s="71"/>
      <c r="B32" s="78" t="s">
        <v>91</v>
      </c>
      <c r="C32" s="79">
        <f>SUM(C23:C31)</f>
        <v>59882389</v>
      </c>
      <c r="D32" s="79">
        <f>SUM(D23:D31)</f>
        <v>59153702</v>
      </c>
      <c r="E32" s="79">
        <f t="shared" si="2"/>
        <v>-728687</v>
      </c>
      <c r="F32" s="80">
        <f t="shared" si="3"/>
        <v>-1.2168636090988286E-2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-20601</v>
      </c>
      <c r="D34" s="79">
        <f>+D20-D32</f>
        <v>1524227</v>
      </c>
      <c r="E34" s="79">
        <f>D34-C34</f>
        <v>1544828</v>
      </c>
      <c r="F34" s="80">
        <f>IF(C34=0,0,E34/C34)</f>
        <v>-74.988010290762588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0</v>
      </c>
      <c r="E37" s="76">
        <f>D37-C37</f>
        <v>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0</v>
      </c>
      <c r="D40" s="79">
        <f>SUM(D37:D39)</f>
        <v>0</v>
      </c>
      <c r="E40" s="79">
        <f>D40-C40</f>
        <v>0</v>
      </c>
      <c r="F40" s="80">
        <f>IF(C40=0,0,E40/C40)</f>
        <v>0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-20601</v>
      </c>
      <c r="D42" s="79">
        <f>D34+D40</f>
        <v>1524227</v>
      </c>
      <c r="E42" s="79">
        <f>D42-C42</f>
        <v>1544828</v>
      </c>
      <c r="F42" s="80">
        <f>IF(C42=0,0,E42/C42)</f>
        <v>-74.988010290762588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-20601</v>
      </c>
      <c r="D49" s="79">
        <f>D42+D47</f>
        <v>1524227</v>
      </c>
      <c r="E49" s="79">
        <f>D49-C49</f>
        <v>1544828</v>
      </c>
      <c r="F49" s="80">
        <f>IF(C49=0,0,E49/C49)</f>
        <v>-74.988010290762588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FILING&amp;RESSENT-SHARON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2014-10-06T20:14:47Z</cp:lastPrinted>
  <dcterms:created xsi:type="dcterms:W3CDTF">2014-10-06T18:19:48Z</dcterms:created>
  <dcterms:modified xsi:type="dcterms:W3CDTF">2014-10-09T17:40:57Z</dcterms:modified>
</cp:coreProperties>
</file>