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9" i="14" s="1"/>
  <c r="D230" i="14"/>
  <c r="D229" i="14"/>
  <c r="D226" i="14"/>
  <c r="D227" i="14" s="1"/>
  <c r="D223" i="14"/>
  <c r="D204" i="14"/>
  <c r="D269" i="14" s="1"/>
  <c r="D203" i="14"/>
  <c r="D267" i="14" s="1"/>
  <c r="D270" i="14" s="1"/>
  <c r="D198" i="14"/>
  <c r="D290" i="14" s="1"/>
  <c r="D191" i="14"/>
  <c r="D264" i="14" s="1"/>
  <c r="D189" i="14"/>
  <c r="D215" i="14" s="1"/>
  <c r="D255" i="14" s="1"/>
  <c r="D188" i="14"/>
  <c r="D180" i="14"/>
  <c r="D179" i="14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207" i="14" s="1"/>
  <c r="D208" i="14" s="1"/>
  <c r="D135" i="14"/>
  <c r="D130" i="14"/>
  <c r="D129" i="14"/>
  <c r="D123" i="14"/>
  <c r="D124" i="14" s="1"/>
  <c r="D120" i="14"/>
  <c r="D110" i="14"/>
  <c r="D109" i="14"/>
  <c r="D101" i="14"/>
  <c r="D102" i="14" s="1"/>
  <c r="D103" i="14" s="1"/>
  <c r="D100" i="14"/>
  <c r="D95" i="14"/>
  <c r="D94" i="14"/>
  <c r="D88" i="14"/>
  <c r="D89" i="14"/>
  <c r="D85" i="14"/>
  <c r="D76" i="14"/>
  <c r="D77" i="14" s="1"/>
  <c r="D67" i="14"/>
  <c r="D66" i="14"/>
  <c r="D68" i="14" s="1"/>
  <c r="D59" i="14"/>
  <c r="D60" i="14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 s="1"/>
  <c r="D32" i="14" s="1"/>
  <c r="D29" i="14"/>
  <c r="D24" i="14"/>
  <c r="D23" i="14"/>
  <c r="D20" i="14"/>
  <c r="D21" i="14" s="1"/>
  <c r="D17" i="14"/>
  <c r="E97" i="19"/>
  <c r="D97" i="19"/>
  <c r="C97" i="19"/>
  <c r="E96" i="19"/>
  <c r="E98" i="19" s="1"/>
  <c r="D96" i="19"/>
  <c r="D98" i="19" s="1"/>
  <c r="C96" i="19"/>
  <c r="C98" i="19" s="1"/>
  <c r="E92" i="19"/>
  <c r="D92" i="19"/>
  <c r="C92" i="19"/>
  <c r="E91" i="19"/>
  <c r="E93" i="19" s="1"/>
  <c r="D91" i="19"/>
  <c r="D93" i="19" s="1"/>
  <c r="C91" i="19"/>
  <c r="C93" i="19" s="1"/>
  <c r="E87" i="19"/>
  <c r="D87" i="19"/>
  <c r="C87" i="19"/>
  <c r="E86" i="19"/>
  <c r="E88" i="19" s="1"/>
  <c r="D86" i="19"/>
  <c r="D88" i="19" s="1"/>
  <c r="C86" i="19"/>
  <c r="C88" i="19" s="1"/>
  <c r="E83" i="19"/>
  <c r="D83" i="19"/>
  <c r="C83" i="19"/>
  <c r="E76" i="19"/>
  <c r="E102" i="19" s="1"/>
  <c r="D76" i="19"/>
  <c r="C76" i="19"/>
  <c r="C102" i="19" s="1"/>
  <c r="E75" i="19"/>
  <c r="E77" i="19"/>
  <c r="D75" i="19"/>
  <c r="D101" i="19" s="1"/>
  <c r="D77" i="19"/>
  <c r="C75" i="19"/>
  <c r="C77" i="19" s="1"/>
  <c r="C108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23" i="19" s="1"/>
  <c r="D46" i="19" s="1"/>
  <c r="D33" i="19"/>
  <c r="C12" i="19"/>
  <c r="C23" i="19" s="1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E45" i="17" s="1"/>
  <c r="C45" i="17"/>
  <c r="D44" i="17"/>
  <c r="E44" i="17" s="1"/>
  <c r="C44" i="17"/>
  <c r="D43" i="17"/>
  <c r="D46" i="17" s="1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F33" i="17" s="1"/>
  <c r="E36" i="17"/>
  <c r="F36" i="17" s="1"/>
  <c r="E30" i="17"/>
  <c r="F30" i="17" s="1"/>
  <c r="E29" i="17"/>
  <c r="F29" i="17" s="1"/>
  <c r="E28" i="17"/>
  <c r="F28" i="17" s="1"/>
  <c r="E27" i="17"/>
  <c r="F27" i="17" s="1"/>
  <c r="D25" i="17"/>
  <c r="D39" i="17" s="1"/>
  <c r="C25" i="17"/>
  <c r="E24" i="17"/>
  <c r="F24" i="17" s="1"/>
  <c r="E23" i="17"/>
  <c r="F23" i="17" s="1"/>
  <c r="E22" i="17"/>
  <c r="F22" i="17" s="1"/>
  <c r="D19" i="17"/>
  <c r="C19" i="17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36" i="16"/>
  <c r="C32" i="16"/>
  <c r="C33" i="16" s="1"/>
  <c r="C21" i="16"/>
  <c r="E328" i="15"/>
  <c r="E325" i="15"/>
  <c r="D324" i="15"/>
  <c r="E324" i="15" s="1"/>
  <c r="C324" i="15"/>
  <c r="C326" i="15" s="1"/>
  <c r="C330" i="15" s="1"/>
  <c r="E318" i="15"/>
  <c r="E315" i="15"/>
  <c r="D314" i="15"/>
  <c r="E314" i="15" s="1"/>
  <c r="C314" i="15"/>
  <c r="C316" i="15" s="1"/>
  <c r="C320" i="15" s="1"/>
  <c r="E308" i="15"/>
  <c r="E305" i="15"/>
  <c r="D301" i="15"/>
  <c r="E301" i="15" s="1"/>
  <c r="C301" i="15"/>
  <c r="D293" i="15"/>
  <c r="C293" i="15"/>
  <c r="E293" i="15"/>
  <c r="D292" i="15"/>
  <c r="C292" i="15"/>
  <c r="D291" i="15"/>
  <c r="C291" i="15"/>
  <c r="D290" i="15"/>
  <c r="E290" i="15" s="1"/>
  <c r="C290" i="15"/>
  <c r="D288" i="15"/>
  <c r="C288" i="15"/>
  <c r="E288" i="15" s="1"/>
  <c r="D287" i="15"/>
  <c r="C287" i="15"/>
  <c r="D282" i="15"/>
  <c r="C282" i="15"/>
  <c r="E282" i="15" s="1"/>
  <c r="D281" i="15"/>
  <c r="C281" i="15"/>
  <c r="E281" i="15" s="1"/>
  <c r="D280" i="15"/>
  <c r="E280" i="15" s="1"/>
  <c r="C280" i="15"/>
  <c r="D279" i="15"/>
  <c r="C279" i="15"/>
  <c r="D278" i="15"/>
  <c r="C278" i="15"/>
  <c r="E278" i="15" s="1"/>
  <c r="D277" i="15"/>
  <c r="C277" i="15"/>
  <c r="E277" i="15" s="1"/>
  <c r="D276" i="15"/>
  <c r="E276" i="15" s="1"/>
  <c r="C276" i="15"/>
  <c r="E270" i="15"/>
  <c r="D265" i="15"/>
  <c r="D302" i="15" s="1"/>
  <c r="C265" i="15"/>
  <c r="C302" i="15" s="1"/>
  <c r="D262" i="15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D228" i="15"/>
  <c r="C228" i="15"/>
  <c r="E228" i="15" s="1"/>
  <c r="D227" i="15"/>
  <c r="C227" i="15"/>
  <c r="E227" i="15" s="1"/>
  <c r="D221" i="15"/>
  <c r="D245" i="15" s="1"/>
  <c r="C221" i="15"/>
  <c r="D220" i="15"/>
  <c r="D244" i="15" s="1"/>
  <c r="C220" i="15"/>
  <c r="C244" i="15" s="1"/>
  <c r="D219" i="15"/>
  <c r="D243" i="15" s="1"/>
  <c r="E243" i="15" s="1"/>
  <c r="C219" i="15"/>
  <c r="C243" i="15" s="1"/>
  <c r="D218" i="15"/>
  <c r="C218" i="15"/>
  <c r="C242" i="15"/>
  <c r="C217" i="15"/>
  <c r="D216" i="15"/>
  <c r="D240" i="15" s="1"/>
  <c r="C216" i="15"/>
  <c r="C240" i="15" s="1"/>
  <c r="D215" i="15"/>
  <c r="D239" i="15" s="1"/>
  <c r="C215" i="15"/>
  <c r="E215" i="15" s="1"/>
  <c r="E209" i="15"/>
  <c r="E208" i="15"/>
  <c r="E207" i="15"/>
  <c r="E206" i="15"/>
  <c r="D205" i="15"/>
  <c r="D229" i="15" s="1"/>
  <c r="D210" i="15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D189" i="15" s="1"/>
  <c r="C188" i="15"/>
  <c r="C189" i="15"/>
  <c r="E186" i="15"/>
  <c r="E185" i="15"/>
  <c r="D179" i="15"/>
  <c r="C179" i="15"/>
  <c r="E179" i="15" s="1"/>
  <c r="D178" i="15"/>
  <c r="C178" i="15"/>
  <c r="E178" i="15" s="1"/>
  <c r="D177" i="15"/>
  <c r="C177" i="15"/>
  <c r="D176" i="15"/>
  <c r="C176" i="15"/>
  <c r="D174" i="15"/>
  <c r="C174" i="15"/>
  <c r="E174" i="15" s="1"/>
  <c r="D173" i="15"/>
  <c r="E173" i="15"/>
  <c r="C173" i="15"/>
  <c r="D167" i="15"/>
  <c r="C167" i="15"/>
  <c r="D166" i="15"/>
  <c r="E166" i="15" s="1"/>
  <c r="C166" i="15"/>
  <c r="D165" i="15"/>
  <c r="C165" i="15"/>
  <c r="D164" i="15"/>
  <c r="C164" i="15"/>
  <c r="E164" i="15"/>
  <c r="D162" i="15"/>
  <c r="C162" i="15"/>
  <c r="D161" i="15"/>
  <c r="C161" i="15"/>
  <c r="E155" i="15"/>
  <c r="E154" i="15"/>
  <c r="E153" i="15"/>
  <c r="E152" i="15"/>
  <c r="D151" i="15"/>
  <c r="D156" i="15" s="1"/>
  <c r="D157" i="15" s="1"/>
  <c r="C151" i="15"/>
  <c r="C156" i="15" s="1"/>
  <c r="C157" i="15" s="1"/>
  <c r="E150" i="15"/>
  <c r="E149" i="15"/>
  <c r="E143" i="15"/>
  <c r="E142" i="15"/>
  <c r="E141" i="15"/>
  <c r="E140" i="15"/>
  <c r="D139" i="15"/>
  <c r="D144" i="15" s="1"/>
  <c r="C139" i="15"/>
  <c r="E138" i="15"/>
  <c r="E137" i="15"/>
  <c r="D75" i="15"/>
  <c r="E75" i="15"/>
  <c r="C75" i="15"/>
  <c r="D74" i="15"/>
  <c r="E74" i="15" s="1"/>
  <c r="C74" i="15"/>
  <c r="D73" i="15"/>
  <c r="C73" i="15"/>
  <c r="D72" i="15"/>
  <c r="C72" i="15"/>
  <c r="D70" i="15"/>
  <c r="C70" i="15"/>
  <c r="D69" i="15"/>
  <c r="C69" i="15"/>
  <c r="E64" i="15"/>
  <c r="E63" i="15"/>
  <c r="E62" i="15"/>
  <c r="E61" i="15"/>
  <c r="D60" i="15"/>
  <c r="D65" i="15" s="1"/>
  <c r="C60" i="15"/>
  <c r="C241" i="15" s="1"/>
  <c r="E59" i="15"/>
  <c r="E58" i="15"/>
  <c r="D54" i="15"/>
  <c r="E54" i="15" s="1"/>
  <c r="C54" i="15"/>
  <c r="C55" i="15" s="1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C40" i="15"/>
  <c r="D39" i="15"/>
  <c r="C39" i="15"/>
  <c r="D38" i="15"/>
  <c r="C38" i="15"/>
  <c r="E38" i="15" s="1"/>
  <c r="D37" i="15"/>
  <c r="C37" i="15"/>
  <c r="D36" i="15"/>
  <c r="C36" i="15"/>
  <c r="D32" i="15"/>
  <c r="D33" i="15" s="1"/>
  <c r="C32" i="15"/>
  <c r="C33" i="15"/>
  <c r="E31" i="15"/>
  <c r="E30" i="15"/>
  <c r="E29" i="15"/>
  <c r="E28" i="15"/>
  <c r="E27" i="15"/>
  <c r="E26" i="15"/>
  <c r="E25" i="15"/>
  <c r="D21" i="15"/>
  <c r="E21" i="15" s="1"/>
  <c r="C21" i="15"/>
  <c r="C22" i="15" s="1"/>
  <c r="C284" i="15" s="1"/>
  <c r="E20" i="15"/>
  <c r="E19" i="15"/>
  <c r="E18" i="15"/>
  <c r="E17" i="15"/>
  <c r="E16" i="15"/>
  <c r="E15" i="15"/>
  <c r="E14" i="15"/>
  <c r="E335" i="14"/>
  <c r="F335" i="14" s="1"/>
  <c r="F334" i="14"/>
  <c r="E334" i="14"/>
  <c r="F333" i="14"/>
  <c r="E333" i="14"/>
  <c r="F332" i="14"/>
  <c r="E332" i="14"/>
  <c r="F331" i="14"/>
  <c r="E331" i="14"/>
  <c r="E330" i="14"/>
  <c r="F330" i="14" s="1"/>
  <c r="E329" i="14"/>
  <c r="F329" i="14" s="1"/>
  <c r="F316" i="14"/>
  <c r="E316" i="14"/>
  <c r="C311" i="14"/>
  <c r="E308" i="14"/>
  <c r="F308" i="14"/>
  <c r="C307" i="14"/>
  <c r="C299" i="14"/>
  <c r="E299" i="14" s="1"/>
  <c r="C298" i="14"/>
  <c r="C297" i="14"/>
  <c r="E297" i="14" s="1"/>
  <c r="F297" i="14" s="1"/>
  <c r="C296" i="14"/>
  <c r="E296" i="14" s="1"/>
  <c r="C295" i="14"/>
  <c r="E295" i="14" s="1"/>
  <c r="C294" i="14"/>
  <c r="C250" i="14"/>
  <c r="E249" i="14"/>
  <c r="F249" i="14" s="1"/>
  <c r="E248" i="14"/>
  <c r="F248" i="14" s="1"/>
  <c r="E245" i="14"/>
  <c r="F245" i="14" s="1"/>
  <c r="E244" i="14"/>
  <c r="F244" i="14"/>
  <c r="E243" i="14"/>
  <c r="F243" i="14" s="1"/>
  <c r="C238" i="14"/>
  <c r="C237" i="14"/>
  <c r="E234" i="14"/>
  <c r="F234" i="14" s="1"/>
  <c r="E233" i="14"/>
  <c r="F233" i="14"/>
  <c r="C230" i="14"/>
  <c r="E230" i="14" s="1"/>
  <c r="F230" i="14" s="1"/>
  <c r="C229" i="14"/>
  <c r="E228" i="14"/>
  <c r="F228" i="14" s="1"/>
  <c r="C226" i="14"/>
  <c r="E226" i="14" s="1"/>
  <c r="F226" i="14" s="1"/>
  <c r="E225" i="14"/>
  <c r="F225" i="14" s="1"/>
  <c r="E224" i="14"/>
  <c r="F224" i="14" s="1"/>
  <c r="C223" i="14"/>
  <c r="E222" i="14"/>
  <c r="F222" i="14" s="1"/>
  <c r="E221" i="14"/>
  <c r="F221" i="14" s="1"/>
  <c r="C204" i="14"/>
  <c r="E204" i="14" s="1"/>
  <c r="F204" i="14" s="1"/>
  <c r="C203" i="14"/>
  <c r="C198" i="14"/>
  <c r="C191" i="14"/>
  <c r="C280" i="14" s="1"/>
  <c r="C189" i="14"/>
  <c r="C188" i="14"/>
  <c r="C206" i="14" s="1"/>
  <c r="C180" i="14"/>
  <c r="E180" i="14"/>
  <c r="C179" i="14"/>
  <c r="E179" i="14"/>
  <c r="C171" i="14"/>
  <c r="C172" i="14"/>
  <c r="C170" i="14"/>
  <c r="F169" i="14"/>
  <c r="E169" i="14"/>
  <c r="E168" i="14"/>
  <c r="F168" i="14" s="1"/>
  <c r="C165" i="14"/>
  <c r="C164" i="14"/>
  <c r="E164" i="14" s="1"/>
  <c r="F164" i="14" s="1"/>
  <c r="E163" i="14"/>
  <c r="F163" i="14" s="1"/>
  <c r="C158" i="14"/>
  <c r="E158" i="14" s="1"/>
  <c r="E157" i="14"/>
  <c r="F157" i="14" s="1"/>
  <c r="E156" i="14"/>
  <c r="F156" i="14" s="1"/>
  <c r="C155" i="14"/>
  <c r="E155" i="14" s="1"/>
  <c r="E154" i="14"/>
  <c r="F154" i="14"/>
  <c r="E153" i="14"/>
  <c r="F153" i="14"/>
  <c r="C145" i="14"/>
  <c r="E145" i="14" s="1"/>
  <c r="F145" i="14" s="1"/>
  <c r="C144" i="14"/>
  <c r="C146" i="14" s="1"/>
  <c r="C136" i="14"/>
  <c r="C135" i="14"/>
  <c r="E135" i="14" s="1"/>
  <c r="E134" i="14"/>
  <c r="F134" i="14" s="1"/>
  <c r="E133" i="14"/>
  <c r="F133" i="14" s="1"/>
  <c r="C130" i="14"/>
  <c r="C129" i="14"/>
  <c r="E129" i="14" s="1"/>
  <c r="E128" i="14"/>
  <c r="F128" i="14" s="1"/>
  <c r="C123" i="14"/>
  <c r="C124" i="14" s="1"/>
  <c r="E122" i="14"/>
  <c r="F122" i="14"/>
  <c r="E121" i="14"/>
  <c r="F121" i="14" s="1"/>
  <c r="C120" i="14"/>
  <c r="E119" i="14"/>
  <c r="F119" i="14" s="1"/>
  <c r="E118" i="14"/>
  <c r="F118" i="14" s="1"/>
  <c r="C110" i="14"/>
  <c r="E110" i="14" s="1"/>
  <c r="C109" i="14"/>
  <c r="E109" i="14" s="1"/>
  <c r="C101" i="14"/>
  <c r="E101" i="14" s="1"/>
  <c r="F101" i="14" s="1"/>
  <c r="C100" i="14"/>
  <c r="E100" i="14" s="1"/>
  <c r="E99" i="14"/>
  <c r="F99" i="14"/>
  <c r="E98" i="14"/>
  <c r="F98" i="14"/>
  <c r="C95" i="14"/>
  <c r="E95" i="14" s="1"/>
  <c r="F95" i="14" s="1"/>
  <c r="E94" i="14"/>
  <c r="C94" i="14"/>
  <c r="E93" i="14"/>
  <c r="F93" i="14" s="1"/>
  <c r="E88" i="14"/>
  <c r="C88" i="14"/>
  <c r="C89" i="14" s="1"/>
  <c r="E89" i="14" s="1"/>
  <c r="F87" i="14"/>
  <c r="E87" i="14"/>
  <c r="F86" i="14"/>
  <c r="E86" i="14"/>
  <c r="C85" i="14"/>
  <c r="E84" i="14"/>
  <c r="F84" i="14"/>
  <c r="E83" i="14"/>
  <c r="F83" i="14"/>
  <c r="C76" i="14"/>
  <c r="C77" i="14" s="1"/>
  <c r="E74" i="14"/>
  <c r="F74" i="14" s="1"/>
  <c r="E73" i="14"/>
  <c r="F73" i="14" s="1"/>
  <c r="C67" i="14"/>
  <c r="E67" i="14" s="1"/>
  <c r="E66" i="14"/>
  <c r="C66" i="14"/>
  <c r="C68" i="14"/>
  <c r="C59" i="14"/>
  <c r="E59" i="14"/>
  <c r="C58" i="14"/>
  <c r="E58" i="14" s="1"/>
  <c r="F58" i="14" s="1"/>
  <c r="F57" i="14"/>
  <c r="E57" i="14"/>
  <c r="F56" i="14"/>
  <c r="E56" i="14"/>
  <c r="C53" i="14"/>
  <c r="C52" i="14"/>
  <c r="E52" i="14" s="1"/>
  <c r="E51" i="14"/>
  <c r="F51" i="14" s="1"/>
  <c r="C47" i="14"/>
  <c r="E47" i="14" s="1"/>
  <c r="F47" i="14" s="1"/>
  <c r="E46" i="14"/>
  <c r="F46" i="14" s="1"/>
  <c r="E45" i="14"/>
  <c r="F45" i="14" s="1"/>
  <c r="C44" i="14"/>
  <c r="E44" i="14"/>
  <c r="F44" i="14" s="1"/>
  <c r="E43" i="14"/>
  <c r="F43" i="14"/>
  <c r="E42" i="14"/>
  <c r="F42" i="14"/>
  <c r="C36" i="14"/>
  <c r="C35" i="14"/>
  <c r="C30" i="14"/>
  <c r="C29" i="14"/>
  <c r="E29" i="14" s="1"/>
  <c r="E28" i="14"/>
  <c r="F28" i="14" s="1"/>
  <c r="E27" i="14"/>
  <c r="F27" i="14" s="1"/>
  <c r="C24" i="14"/>
  <c r="E23" i="14"/>
  <c r="C23" i="14"/>
  <c r="F22" i="14"/>
  <c r="E22" i="14"/>
  <c r="C20" i="14"/>
  <c r="C21" i="14" s="1"/>
  <c r="E19" i="14"/>
  <c r="F19" i="14"/>
  <c r="E18" i="14"/>
  <c r="F18" i="14"/>
  <c r="C17" i="14"/>
  <c r="E16" i="14"/>
  <c r="F16" i="14" s="1"/>
  <c r="E15" i="14"/>
  <c r="F15" i="14" s="1"/>
  <c r="D21" i="13"/>
  <c r="C21" i="13"/>
  <c r="E21" i="13"/>
  <c r="E20" i="13"/>
  <c r="F20" i="13"/>
  <c r="D17" i="13"/>
  <c r="C17" i="13"/>
  <c r="E17" i="13" s="1"/>
  <c r="E16" i="13"/>
  <c r="F16" i="13" s="1"/>
  <c r="D13" i="13"/>
  <c r="C13" i="13"/>
  <c r="E13" i="13"/>
  <c r="E12" i="13"/>
  <c r="F12" i="13"/>
  <c r="D99" i="12"/>
  <c r="C99" i="12"/>
  <c r="E99" i="12" s="1"/>
  <c r="E98" i="12"/>
  <c r="F98" i="12" s="1"/>
  <c r="F97" i="12"/>
  <c r="E97" i="12"/>
  <c r="E96" i="12"/>
  <c r="F96" i="12" s="1"/>
  <c r="D92" i="12"/>
  <c r="C92" i="12"/>
  <c r="E92" i="12" s="1"/>
  <c r="E91" i="12"/>
  <c r="F91" i="12"/>
  <c r="F90" i="12"/>
  <c r="E90" i="12"/>
  <c r="E89" i="12"/>
  <c r="F89" i="12"/>
  <c r="E88" i="12"/>
  <c r="F88" i="12"/>
  <c r="E87" i="12"/>
  <c r="F87" i="12"/>
  <c r="D84" i="12"/>
  <c r="C84" i="12"/>
  <c r="E84" i="12" s="1"/>
  <c r="E83" i="12"/>
  <c r="F83" i="12" s="1"/>
  <c r="F82" i="12"/>
  <c r="E82" i="12"/>
  <c r="E81" i="12"/>
  <c r="F81" i="12" s="1"/>
  <c r="F80" i="12"/>
  <c r="E80" i="12"/>
  <c r="F79" i="12"/>
  <c r="E79" i="12"/>
  <c r="D75" i="12"/>
  <c r="C75" i="12"/>
  <c r="E74" i="12"/>
  <c r="F74" i="12" s="1"/>
  <c r="E73" i="12"/>
  <c r="F73" i="12" s="1"/>
  <c r="D70" i="12"/>
  <c r="C70" i="12"/>
  <c r="E70" i="12" s="1"/>
  <c r="E69" i="12"/>
  <c r="F69" i="12" s="1"/>
  <c r="E68" i="12"/>
  <c r="F68" i="12" s="1"/>
  <c r="D65" i="12"/>
  <c r="C65" i="12"/>
  <c r="E64" i="12"/>
  <c r="F64" i="12"/>
  <c r="E63" i="12"/>
  <c r="F63" i="12"/>
  <c r="D60" i="12"/>
  <c r="C60" i="12"/>
  <c r="F60" i="12" s="1"/>
  <c r="F59" i="12"/>
  <c r="E59" i="12"/>
  <c r="F58" i="12"/>
  <c r="E58" i="12"/>
  <c r="E60" i="12" s="1"/>
  <c r="D55" i="12"/>
  <c r="C55" i="12"/>
  <c r="F55" i="12" s="1"/>
  <c r="F54" i="12"/>
  <c r="E54" i="12"/>
  <c r="F53" i="12"/>
  <c r="E53" i="12"/>
  <c r="D50" i="12"/>
  <c r="C50" i="12"/>
  <c r="F50" i="12" s="1"/>
  <c r="F49" i="12"/>
  <c r="E49" i="12"/>
  <c r="F48" i="12"/>
  <c r="E48" i="12"/>
  <c r="D45" i="12"/>
  <c r="E45" i="12" s="1"/>
  <c r="C45" i="12"/>
  <c r="F45" i="12"/>
  <c r="F44" i="12"/>
  <c r="E44" i="12"/>
  <c r="F43" i="12"/>
  <c r="E43" i="12"/>
  <c r="D37" i="12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F30" i="12" s="1"/>
  <c r="F29" i="12"/>
  <c r="E29" i="12"/>
  <c r="F28" i="12"/>
  <c r="E28" i="12"/>
  <c r="F27" i="12"/>
  <c r="E27" i="12"/>
  <c r="F26" i="12"/>
  <c r="E26" i="12"/>
  <c r="D23" i="12"/>
  <c r="C23" i="12"/>
  <c r="E23" i="12"/>
  <c r="F22" i="12"/>
  <c r="E22" i="12"/>
  <c r="E21" i="12"/>
  <c r="F21" i="12"/>
  <c r="E20" i="12"/>
  <c r="F20" i="12"/>
  <c r="E19" i="12"/>
  <c r="F19" i="12"/>
  <c r="D16" i="12"/>
  <c r="C16" i="12"/>
  <c r="E16" i="12" s="1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1" i="11" s="1"/>
  <c r="E17" i="11"/>
  <c r="E31" i="11" s="1"/>
  <c r="D17" i="11"/>
  <c r="D31" i="11" s="1"/>
  <c r="C17" i="11"/>
  <c r="C31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E73" i="10"/>
  <c r="E75" i="10" s="1"/>
  <c r="D73" i="10"/>
  <c r="D75" i="10" s="1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C54" i="10"/>
  <c r="E50" i="10"/>
  <c r="E46" i="10"/>
  <c r="D46" i="10"/>
  <c r="D48" i="10" s="1"/>
  <c r="C46" i="10"/>
  <c r="E45" i="10"/>
  <c r="D45" i="10"/>
  <c r="C45" i="10"/>
  <c r="E38" i="10"/>
  <c r="D38" i="10"/>
  <c r="C38" i="10"/>
  <c r="E33" i="10"/>
  <c r="E34" i="10"/>
  <c r="D33" i="10"/>
  <c r="D34" i="10" s="1"/>
  <c r="E26" i="10"/>
  <c r="D26" i="10"/>
  <c r="C26" i="10"/>
  <c r="E13" i="10"/>
  <c r="D13" i="10"/>
  <c r="D25" i="10" s="1"/>
  <c r="D27" i="10" s="1"/>
  <c r="C13" i="10"/>
  <c r="D46" i="9"/>
  <c r="C46" i="9"/>
  <c r="F46" i="9" s="1"/>
  <c r="F45" i="9"/>
  <c r="E45" i="9"/>
  <c r="F44" i="9"/>
  <c r="E44" i="9"/>
  <c r="D39" i="9"/>
  <c r="C39" i="9"/>
  <c r="E39" i="9" s="1"/>
  <c r="F38" i="9"/>
  <c r="E38" i="9"/>
  <c r="F37" i="9"/>
  <c r="E37" i="9"/>
  <c r="F36" i="9"/>
  <c r="E36" i="9"/>
  <c r="D31" i="9"/>
  <c r="C31" i="9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F18" i="9"/>
  <c r="E18" i="9"/>
  <c r="E17" i="9"/>
  <c r="F17" i="9"/>
  <c r="D16" i="9"/>
  <c r="E16" i="9" s="1"/>
  <c r="C16" i="9"/>
  <c r="C19" i="9" s="1"/>
  <c r="F15" i="9"/>
  <c r="E15" i="9"/>
  <c r="E14" i="9"/>
  <c r="F14" i="9" s="1"/>
  <c r="E13" i="9"/>
  <c r="F13" i="9" s="1"/>
  <c r="E12" i="9"/>
  <c r="F12" i="9" s="1"/>
  <c r="D73" i="8"/>
  <c r="C73" i="8"/>
  <c r="F72" i="8"/>
  <c r="E72" i="8"/>
  <c r="F71" i="8"/>
  <c r="E71" i="8"/>
  <c r="E70" i="8"/>
  <c r="F70" i="8" s="1"/>
  <c r="F67" i="8"/>
  <c r="E67" i="8"/>
  <c r="E64" i="8"/>
  <c r="F64" i="8"/>
  <c r="E63" i="8"/>
  <c r="F63" i="8"/>
  <c r="D61" i="8"/>
  <c r="C61" i="8"/>
  <c r="C65" i="8" s="1"/>
  <c r="E60" i="8"/>
  <c r="F60" i="8" s="1"/>
  <c r="F59" i="8"/>
  <c r="E59" i="8"/>
  <c r="D56" i="8"/>
  <c r="C56" i="8"/>
  <c r="F55" i="8"/>
  <c r="E55" i="8"/>
  <c r="E54" i="8"/>
  <c r="F54" i="8" s="1"/>
  <c r="F53" i="8"/>
  <c r="E53" i="8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D41" i="8" s="1"/>
  <c r="C38" i="8"/>
  <c r="E37" i="8"/>
  <c r="F37" i="8" s="1"/>
  <c r="E36" i="8"/>
  <c r="F36" i="8" s="1"/>
  <c r="E33" i="8"/>
  <c r="F33" i="8" s="1"/>
  <c r="F32" i="8"/>
  <c r="E32" i="8"/>
  <c r="F31" i="8"/>
  <c r="E31" i="8"/>
  <c r="D29" i="8"/>
  <c r="C29" i="8"/>
  <c r="F29" i="8" s="1"/>
  <c r="F28" i="8"/>
  <c r="E28" i="8"/>
  <c r="F27" i="8"/>
  <c r="E27" i="8"/>
  <c r="F26" i="8"/>
  <c r="E26" i="8"/>
  <c r="F25" i="8"/>
  <c r="E25" i="8"/>
  <c r="D22" i="8"/>
  <c r="D43" i="8" s="1"/>
  <c r="C22" i="8"/>
  <c r="E21" i="8"/>
  <c r="F21" i="8" s="1"/>
  <c r="E20" i="8"/>
  <c r="F20" i="8" s="1"/>
  <c r="E19" i="8"/>
  <c r="F19" i="8" s="1"/>
  <c r="F18" i="8"/>
  <c r="E18" i="8"/>
  <c r="F17" i="8"/>
  <c r="E17" i="8"/>
  <c r="F16" i="8"/>
  <c r="E16" i="8"/>
  <c r="E15" i="8"/>
  <c r="F15" i="8" s="1"/>
  <c r="F14" i="8"/>
  <c r="E14" i="8"/>
  <c r="F13" i="8"/>
  <c r="E13" i="8"/>
  <c r="D120" i="7"/>
  <c r="C120" i="7"/>
  <c r="F120" i="7"/>
  <c r="D119" i="7"/>
  <c r="C119" i="7"/>
  <c r="D118" i="7"/>
  <c r="C118" i="7"/>
  <c r="D117" i="7"/>
  <c r="C117" i="7"/>
  <c r="D116" i="7"/>
  <c r="C116" i="7"/>
  <c r="D115" i="7"/>
  <c r="C115" i="7"/>
  <c r="D114" i="7"/>
  <c r="E114" i="7" s="1"/>
  <c r="C114" i="7"/>
  <c r="D113" i="7"/>
  <c r="E113" i="7" s="1"/>
  <c r="C113" i="7"/>
  <c r="C122" i="7"/>
  <c r="D112" i="7"/>
  <c r="D121" i="7" s="1"/>
  <c r="C112" i="7"/>
  <c r="D108" i="7"/>
  <c r="E108" i="7" s="1"/>
  <c r="C108" i="7"/>
  <c r="D107" i="7"/>
  <c r="C107" i="7"/>
  <c r="E107" i="7" s="1"/>
  <c r="F106" i="7"/>
  <c r="E106" i="7"/>
  <c r="E105" i="7"/>
  <c r="F105" i="7"/>
  <c r="E104" i="7"/>
  <c r="F104" i="7"/>
  <c r="E103" i="7"/>
  <c r="F103" i="7" s="1"/>
  <c r="E102" i="7"/>
  <c r="F102" i="7"/>
  <c r="E101" i="7"/>
  <c r="F101" i="7"/>
  <c r="E100" i="7"/>
  <c r="F100" i="7"/>
  <c r="E99" i="7"/>
  <c r="F99" i="7" s="1"/>
  <c r="E98" i="7"/>
  <c r="F98" i="7" s="1"/>
  <c r="D96" i="7"/>
  <c r="C96" i="7"/>
  <c r="E96" i="7" s="1"/>
  <c r="D95" i="7"/>
  <c r="C95" i="7"/>
  <c r="E95" i="7" s="1"/>
  <c r="F94" i="7"/>
  <c r="E94" i="7"/>
  <c r="E93" i="7"/>
  <c r="F93" i="7" s="1"/>
  <c r="E92" i="7"/>
  <c r="F92" i="7" s="1"/>
  <c r="E91" i="7"/>
  <c r="F91" i="7"/>
  <c r="E90" i="7"/>
  <c r="F90" i="7"/>
  <c r="E89" i="7"/>
  <c r="F89" i="7"/>
  <c r="E88" i="7"/>
  <c r="F88" i="7" s="1"/>
  <c r="E87" i="7"/>
  <c r="F87" i="7" s="1"/>
  <c r="E86" i="7"/>
  <c r="F86" i="7" s="1"/>
  <c r="D84" i="7"/>
  <c r="E84" i="7" s="1"/>
  <c r="C84" i="7"/>
  <c r="F84" i="7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E72" i="7" s="1"/>
  <c r="D71" i="7"/>
  <c r="C71" i="7"/>
  <c r="E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9" i="7" s="1"/>
  <c r="F58" i="7"/>
  <c r="E58" i="7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F51" i="7"/>
  <c r="E51" i="7"/>
  <c r="E50" i="7"/>
  <c r="F50" i="7" s="1"/>
  <c r="D48" i="7"/>
  <c r="C48" i="7"/>
  <c r="E48" i="7" s="1"/>
  <c r="D47" i="7"/>
  <c r="C47" i="7"/>
  <c r="F46" i="7"/>
  <c r="E46" i="7"/>
  <c r="E45" i="7"/>
  <c r="F45" i="7" s="1"/>
  <c r="E44" i="7"/>
  <c r="F44" i="7" s="1"/>
  <c r="F43" i="7"/>
  <c r="E43" i="7"/>
  <c r="F42" i="7"/>
  <c r="E42" i="7"/>
  <c r="E41" i="7"/>
  <c r="F41" i="7" s="1"/>
  <c r="E40" i="7"/>
  <c r="F40" i="7" s="1"/>
  <c r="F39" i="7"/>
  <c r="E39" i="7"/>
  <c r="F38" i="7"/>
  <c r="E38" i="7"/>
  <c r="D36" i="7"/>
  <c r="C36" i="7"/>
  <c r="D35" i="7"/>
  <c r="C35" i="7"/>
  <c r="E35" i="7" s="1"/>
  <c r="F34" i="7"/>
  <c r="E34" i="7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F27" i="7"/>
  <c r="E27" i="7"/>
  <c r="E26" i="7"/>
  <c r="F26" i="7" s="1"/>
  <c r="D24" i="7"/>
  <c r="C24" i="7"/>
  <c r="E24" i="7" s="1"/>
  <c r="D23" i="7"/>
  <c r="C23" i="7"/>
  <c r="E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C206" i="6"/>
  <c r="F206" i="6" s="1"/>
  <c r="D205" i="6"/>
  <c r="C205" i="6"/>
  <c r="E205" i="6"/>
  <c r="D204" i="6"/>
  <c r="E204" i="6" s="1"/>
  <c r="C204" i="6"/>
  <c r="D203" i="6"/>
  <c r="C203" i="6"/>
  <c r="D202" i="6"/>
  <c r="C202" i="6"/>
  <c r="D201" i="6"/>
  <c r="C201" i="6"/>
  <c r="E201" i="6" s="1"/>
  <c r="D200" i="6"/>
  <c r="E200" i="6" s="1"/>
  <c r="C200" i="6"/>
  <c r="D199" i="6"/>
  <c r="D208" i="6" s="1"/>
  <c r="C199" i="6"/>
  <c r="D198" i="6"/>
  <c r="E198" i="6" s="1"/>
  <c r="C198" i="6"/>
  <c r="C207" i="6" s="1"/>
  <c r="D193" i="6"/>
  <c r="C193" i="6"/>
  <c r="E193" i="6" s="1"/>
  <c r="D192" i="6"/>
  <c r="E192" i="6" s="1"/>
  <c r="C192" i="6"/>
  <c r="F191" i="6"/>
  <c r="E191" i="6"/>
  <c r="E190" i="6"/>
  <c r="F190" i="6" s="1"/>
  <c r="E189" i="6"/>
  <c r="F189" i="6" s="1"/>
  <c r="E188" i="6"/>
  <c r="F188" i="6" s="1"/>
  <c r="E187" i="6"/>
  <c r="F187" i="6" s="1"/>
  <c r="F186" i="6"/>
  <c r="E186" i="6"/>
  <c r="E185" i="6"/>
  <c r="F185" i="6" s="1"/>
  <c r="E184" i="6"/>
  <c r="F184" i="6" s="1"/>
  <c r="E183" i="6"/>
  <c r="F183" i="6" s="1"/>
  <c r="D180" i="6"/>
  <c r="C180" i="6"/>
  <c r="E180" i="6" s="1"/>
  <c r="D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/>
  <c r="D166" i="6"/>
  <c r="C166" i="6"/>
  <c r="E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E154" i="6" s="1"/>
  <c r="D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D140" i="6"/>
  <c r="C140" i="6"/>
  <c r="E140" i="6" s="1"/>
  <c r="F139" i="6"/>
  <c r="E139" i="6"/>
  <c r="E138" i="6"/>
  <c r="F138" i="6" s="1"/>
  <c r="E137" i="6"/>
  <c r="F137" i="6" s="1"/>
  <c r="F136" i="6"/>
  <c r="E136" i="6"/>
  <c r="F135" i="6"/>
  <c r="E135" i="6"/>
  <c r="E134" i="6"/>
  <c r="F134" i="6" s="1"/>
  <c r="E133" i="6"/>
  <c r="F133" i="6" s="1"/>
  <c r="F132" i="6"/>
  <c r="E132" i="6"/>
  <c r="F131" i="6"/>
  <c r="E131" i="6"/>
  <c r="D128" i="6"/>
  <c r="C128" i="6"/>
  <c r="E128" i="6" s="1"/>
  <c r="D127" i="6"/>
  <c r="C127" i="6"/>
  <c r="F126" i="6"/>
  <c r="E126" i="6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E115" i="6"/>
  <c r="D114" i="6"/>
  <c r="C114" i="6"/>
  <c r="E114" i="6" s="1"/>
  <c r="F113" i="6"/>
  <c r="E113" i="6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C102" i="6"/>
  <c r="E102" i="6" s="1"/>
  <c r="D101" i="6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E89" i="6"/>
  <c r="D88" i="6"/>
  <c r="C88" i="6"/>
  <c r="E88" i="6" s="1"/>
  <c r="F87" i="6"/>
  <c r="E87" i="6"/>
  <c r="E86" i="6"/>
  <c r="F86" i="6" s="1"/>
  <c r="F85" i="6"/>
  <c r="E85" i="6"/>
  <c r="F84" i="6"/>
  <c r="E84" i="6"/>
  <c r="F83" i="6"/>
  <c r="E83" i="6"/>
  <c r="E82" i="6"/>
  <c r="F82" i="6" s="1"/>
  <c r="E81" i="6"/>
  <c r="F81" i="6" s="1"/>
  <c r="F80" i="6"/>
  <c r="E80" i="6"/>
  <c r="F79" i="6"/>
  <c r="E79" i="6"/>
  <c r="D76" i="6"/>
  <c r="C76" i="6"/>
  <c r="E76" i="6"/>
  <c r="D75" i="6"/>
  <c r="C75" i="6"/>
  <c r="E75" i="6" s="1"/>
  <c r="F74" i="6"/>
  <c r="E74" i="6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E63" i="6" s="1"/>
  <c r="D62" i="6"/>
  <c r="E62" i="6" s="1"/>
  <c r="F62" i="6" s="1"/>
  <c r="C62" i="6"/>
  <c r="F61" i="6"/>
  <c r="E61" i="6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9" i="6"/>
  <c r="F48" i="6"/>
  <c r="E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E37" i="6" s="1"/>
  <c r="D36" i="6"/>
  <c r="C36" i="6"/>
  <c r="E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E24" i="6" s="1"/>
  <c r="D23" i="6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 s="1"/>
  <c r="D164" i="5"/>
  <c r="C164" i="5"/>
  <c r="C160" i="5" s="1"/>
  <c r="E162" i="5"/>
  <c r="D162" i="5"/>
  <c r="C162" i="5"/>
  <c r="E161" i="5"/>
  <c r="D161" i="5"/>
  <c r="C161" i="5"/>
  <c r="D160" i="5"/>
  <c r="D166" i="5"/>
  <c r="E147" i="5"/>
  <c r="E143" i="5"/>
  <c r="D147" i="5"/>
  <c r="C147" i="5"/>
  <c r="C143" i="5" s="1"/>
  <c r="C149" i="5" s="1"/>
  <c r="E145" i="5"/>
  <c r="D145" i="5"/>
  <c r="C145" i="5"/>
  <c r="E144" i="5"/>
  <c r="D144" i="5"/>
  <c r="C144" i="5"/>
  <c r="D143" i="5"/>
  <c r="D149" i="5" s="1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C109" i="5"/>
  <c r="C106" i="5" s="1"/>
  <c r="E102" i="5"/>
  <c r="E104" i="5"/>
  <c r="D102" i="5"/>
  <c r="D104" i="5" s="1"/>
  <c r="C102" i="5"/>
  <c r="C104" i="5" s="1"/>
  <c r="E100" i="5"/>
  <c r="D100" i="5"/>
  <c r="C100" i="5"/>
  <c r="E95" i="5"/>
  <c r="D95" i="5"/>
  <c r="D94" i="5"/>
  <c r="C95" i="5"/>
  <c r="E94" i="5"/>
  <c r="C94" i="5"/>
  <c r="E89" i="5"/>
  <c r="D89" i="5"/>
  <c r="C89" i="5"/>
  <c r="E87" i="5"/>
  <c r="D87" i="5"/>
  <c r="C87" i="5"/>
  <c r="E84" i="5"/>
  <c r="D84" i="5"/>
  <c r="C84" i="5"/>
  <c r="E83" i="5"/>
  <c r="D83" i="5"/>
  <c r="D79" i="5" s="1"/>
  <c r="C83" i="5"/>
  <c r="E79" i="5"/>
  <c r="E75" i="5"/>
  <c r="E77" i="5" s="1"/>
  <c r="E71" i="5" s="1"/>
  <c r="D75" i="5"/>
  <c r="D88" i="5" s="1"/>
  <c r="D90" i="5" s="1"/>
  <c r="D86" i="5" s="1"/>
  <c r="C75" i="5"/>
  <c r="C88" i="5" s="1"/>
  <c r="C90" i="5" s="1"/>
  <c r="C86" i="5" s="1"/>
  <c r="E74" i="5"/>
  <c r="D74" i="5"/>
  <c r="C74" i="5"/>
  <c r="E67" i="5"/>
  <c r="D67" i="5"/>
  <c r="C67" i="5"/>
  <c r="E38" i="5"/>
  <c r="E49" i="5" s="1"/>
  <c r="D38" i="5"/>
  <c r="D49" i="5" s="1"/>
  <c r="C38" i="5"/>
  <c r="C53" i="5" s="1"/>
  <c r="E33" i="5"/>
  <c r="E34" i="5" s="1"/>
  <c r="D33" i="5"/>
  <c r="D34" i="5" s="1"/>
  <c r="E26" i="5"/>
  <c r="D26" i="5"/>
  <c r="C26" i="5"/>
  <c r="E13" i="5"/>
  <c r="E15" i="5" s="1"/>
  <c r="D13" i="5"/>
  <c r="D25" i="5" s="1"/>
  <c r="D27" i="5" s="1"/>
  <c r="C13" i="5"/>
  <c r="C25" i="5"/>
  <c r="C27" i="5" s="1"/>
  <c r="F174" i="4"/>
  <c r="E174" i="4"/>
  <c r="D171" i="4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E164" i="4"/>
  <c r="F164" i="4" s="1"/>
  <c r="F163" i="4"/>
  <c r="E163" i="4"/>
  <c r="F162" i="4"/>
  <c r="E162" i="4"/>
  <c r="E161" i="4"/>
  <c r="F161" i="4" s="1"/>
  <c r="F160" i="4"/>
  <c r="E160" i="4"/>
  <c r="E159" i="4"/>
  <c r="F159" i="4" s="1"/>
  <c r="E158" i="4"/>
  <c r="F158" i="4" s="1"/>
  <c r="D155" i="4"/>
  <c r="C155" i="4"/>
  <c r="E155" i="4" s="1"/>
  <c r="E154" i="4"/>
  <c r="F154" i="4" s="1"/>
  <c r="F153" i="4"/>
  <c r="E153" i="4"/>
  <c r="E152" i="4"/>
  <c r="F152" i="4" s="1"/>
  <c r="F151" i="4"/>
  <c r="E151" i="4"/>
  <c r="F150" i="4"/>
  <c r="E150" i="4"/>
  <c r="F149" i="4"/>
  <c r="E149" i="4"/>
  <c r="F148" i="4"/>
  <c r="E148" i="4"/>
  <c r="F147" i="4"/>
  <c r="E147" i="4"/>
  <c r="F146" i="4"/>
  <c r="E146" i="4"/>
  <c r="E145" i="4"/>
  <c r="F145" i="4" s="1"/>
  <c r="E144" i="4"/>
  <c r="F144" i="4" s="1"/>
  <c r="F143" i="4"/>
  <c r="E143" i="4"/>
  <c r="E142" i="4"/>
  <c r="F142" i="4" s="1"/>
  <c r="F141" i="4"/>
  <c r="E141" i="4"/>
  <c r="F140" i="4"/>
  <c r="E140" i="4"/>
  <c r="F139" i="4"/>
  <c r="E139" i="4"/>
  <c r="E138" i="4"/>
  <c r="F138" i="4" s="1"/>
  <c r="F137" i="4"/>
  <c r="E137" i="4"/>
  <c r="E136" i="4"/>
  <c r="F136" i="4" s="1"/>
  <c r="E135" i="4"/>
  <c r="F135" i="4" s="1"/>
  <c r="E134" i="4"/>
  <c r="F134" i="4" s="1"/>
  <c r="E133" i="4"/>
  <c r="F133" i="4" s="1"/>
  <c r="F132" i="4"/>
  <c r="E132" i="4"/>
  <c r="F131" i="4"/>
  <c r="E131" i="4"/>
  <c r="E130" i="4"/>
  <c r="F130" i="4" s="1"/>
  <c r="E129" i="4"/>
  <c r="F129" i="4" s="1"/>
  <c r="E128" i="4"/>
  <c r="F128" i="4" s="1"/>
  <c r="F127" i="4"/>
  <c r="E127" i="4"/>
  <c r="F126" i="4"/>
  <c r="E126" i="4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C118" i="4"/>
  <c r="F117" i="4"/>
  <c r="E117" i="4"/>
  <c r="E116" i="4"/>
  <c r="F116" i="4" s="1"/>
  <c r="F115" i="4"/>
  <c r="E115" i="4"/>
  <c r="E114" i="4"/>
  <c r="F114" i="4" s="1"/>
  <c r="F113" i="4"/>
  <c r="E113" i="4"/>
  <c r="E112" i="4"/>
  <c r="F112" i="4" s="1"/>
  <c r="D109" i="4"/>
  <c r="C109" i="4"/>
  <c r="E109" i="4" s="1"/>
  <c r="E108" i="4"/>
  <c r="F108" i="4" s="1"/>
  <c r="E107" i="4"/>
  <c r="F107" i="4" s="1"/>
  <c r="F106" i="4"/>
  <c r="E106" i="4"/>
  <c r="F105" i="4"/>
  <c r="E105" i="4"/>
  <c r="F104" i="4"/>
  <c r="E104" i="4"/>
  <c r="E103" i="4"/>
  <c r="F103" i="4" s="1"/>
  <c r="E102" i="4"/>
  <c r="F102" i="4" s="1"/>
  <c r="E101" i="4"/>
  <c r="F101" i="4" s="1"/>
  <c r="E100" i="4"/>
  <c r="F100" i="4" s="1"/>
  <c r="F99" i="4"/>
  <c r="E99" i="4"/>
  <c r="E98" i="4"/>
  <c r="F98" i="4" s="1"/>
  <c r="F97" i="4"/>
  <c r="E97" i="4"/>
  <c r="F96" i="4"/>
  <c r="E96" i="4"/>
  <c r="F95" i="4"/>
  <c r="E95" i="4"/>
  <c r="F94" i="4"/>
  <c r="E94" i="4"/>
  <c r="F93" i="4"/>
  <c r="E93" i="4"/>
  <c r="F92" i="4"/>
  <c r="E92" i="4"/>
  <c r="E91" i="4"/>
  <c r="F91" i="4" s="1"/>
  <c r="F81" i="4"/>
  <c r="E81" i="4"/>
  <c r="D78" i="4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F71" i="4"/>
  <c r="E71" i="4"/>
  <c r="E70" i="4"/>
  <c r="F70" i="4" s="1"/>
  <c r="E69" i="4"/>
  <c r="F69" i="4" s="1"/>
  <c r="E68" i="4"/>
  <c r="F68" i="4" s="1"/>
  <c r="F67" i="4"/>
  <c r="E67" i="4"/>
  <c r="E66" i="4"/>
  <c r="F66" i="4" s="1"/>
  <c r="F65" i="4"/>
  <c r="E65" i="4"/>
  <c r="E64" i="4"/>
  <c r="F64" i="4" s="1"/>
  <c r="E63" i="4"/>
  <c r="F63" i="4" s="1"/>
  <c r="E62" i="4"/>
  <c r="F62" i="4" s="1"/>
  <c r="D59" i="4"/>
  <c r="C59" i="4"/>
  <c r="E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F40" i="4"/>
  <c r="E40" i="4"/>
  <c r="E39" i="4"/>
  <c r="F39" i="4" s="1"/>
  <c r="E38" i="4"/>
  <c r="F38" i="4" s="1"/>
  <c r="D35" i="4"/>
  <c r="C35" i="4"/>
  <c r="E35" i="4"/>
  <c r="E34" i="4"/>
  <c r="F34" i="4"/>
  <c r="E33" i="4"/>
  <c r="F33" i="4"/>
  <c r="D30" i="4"/>
  <c r="C30" i="4"/>
  <c r="E30" i="4" s="1"/>
  <c r="E29" i="4"/>
  <c r="F29" i="4" s="1"/>
  <c r="E28" i="4"/>
  <c r="F28" i="4" s="1"/>
  <c r="E27" i="4"/>
  <c r="F27" i="4" s="1"/>
  <c r="D24" i="4"/>
  <c r="C24" i="4"/>
  <c r="E24" i="4"/>
  <c r="E23" i="4"/>
  <c r="F23" i="4"/>
  <c r="F22" i="4"/>
  <c r="E22" i="4"/>
  <c r="E21" i="4"/>
  <c r="F21" i="4"/>
  <c r="D18" i="4"/>
  <c r="C18" i="4"/>
  <c r="E18" i="4" s="1"/>
  <c r="E17" i="4"/>
  <c r="F17" i="4" s="1"/>
  <c r="F16" i="4"/>
  <c r="E16" i="4"/>
  <c r="E15" i="4"/>
  <c r="F15" i="4" s="1"/>
  <c r="D179" i="3"/>
  <c r="C179" i="3"/>
  <c r="E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E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E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C111" i="3"/>
  <c r="E110" i="3"/>
  <c r="F110" i="3" s="1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E94" i="3" s="1"/>
  <c r="F94" i="3" s="1"/>
  <c r="D93" i="3"/>
  <c r="C93" i="3"/>
  <c r="E93" i="3" s="1"/>
  <c r="F93" i="3" s="1"/>
  <c r="D92" i="3"/>
  <c r="C92" i="3"/>
  <c r="D91" i="3"/>
  <c r="C91" i="3"/>
  <c r="E91" i="3" s="1"/>
  <c r="D90" i="3"/>
  <c r="C90" i="3"/>
  <c r="E90" i="3" s="1"/>
  <c r="F90" i="3" s="1"/>
  <c r="D89" i="3"/>
  <c r="C89" i="3"/>
  <c r="E89" i="3" s="1"/>
  <c r="F89" i="3" s="1"/>
  <c r="D88" i="3"/>
  <c r="C88" i="3"/>
  <c r="D87" i="3"/>
  <c r="C87" i="3"/>
  <c r="E87" i="3" s="1"/>
  <c r="F87" i="3" s="1"/>
  <c r="D86" i="3"/>
  <c r="C86" i="3"/>
  <c r="D85" i="3"/>
  <c r="C85" i="3"/>
  <c r="D84" i="3"/>
  <c r="E84" i="3" s="1"/>
  <c r="F84" i="3" s="1"/>
  <c r="C84" i="3"/>
  <c r="D81" i="3"/>
  <c r="C81" i="3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D50" i="3"/>
  <c r="C50" i="3"/>
  <c r="D49" i="3"/>
  <c r="E49" i="3" s="1"/>
  <c r="F49" i="3" s="1"/>
  <c r="C49" i="3"/>
  <c r="D48" i="3"/>
  <c r="C48" i="3"/>
  <c r="E48" i="3"/>
  <c r="D47" i="3"/>
  <c r="C47" i="3"/>
  <c r="D46" i="3"/>
  <c r="C46" i="3"/>
  <c r="D45" i="3"/>
  <c r="C45" i="3"/>
  <c r="E45" i="3" s="1"/>
  <c r="F45" i="3" s="1"/>
  <c r="D44" i="3"/>
  <c r="C44" i="3"/>
  <c r="E44" i="3" s="1"/>
  <c r="F44" i="3" s="1"/>
  <c r="D43" i="3"/>
  <c r="C43" i="3"/>
  <c r="D42" i="3"/>
  <c r="C42" i="3"/>
  <c r="E42" i="3" s="1"/>
  <c r="F42" i="3" s="1"/>
  <c r="D41" i="3"/>
  <c r="C41" i="3"/>
  <c r="D38" i="3"/>
  <c r="C38" i="3"/>
  <c r="E38" i="3" s="1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E25" i="3" s="1"/>
  <c r="F25" i="3" s="1"/>
  <c r="C25" i="3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F46" i="2" s="1"/>
  <c r="F45" i="2"/>
  <c r="E45" i="2"/>
  <c r="F44" i="2"/>
  <c r="E44" i="2"/>
  <c r="D39" i="2"/>
  <c r="C39" i="2"/>
  <c r="F39" i="2"/>
  <c r="F38" i="2"/>
  <c r="E38" i="2"/>
  <c r="F37" i="2"/>
  <c r="E37" i="2"/>
  <c r="F36" i="2"/>
  <c r="E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F18" i="2"/>
  <c r="E18" i="2"/>
  <c r="E17" i="2"/>
  <c r="F17" i="2"/>
  <c r="D16" i="2"/>
  <c r="D19" i="2"/>
  <c r="D33" i="2" s="1"/>
  <c r="C16" i="2"/>
  <c r="C19" i="2" s="1"/>
  <c r="F15" i="2"/>
  <c r="E15" i="2"/>
  <c r="E14" i="2"/>
  <c r="F14" i="2" s="1"/>
  <c r="E13" i="2"/>
  <c r="F13" i="2" s="1"/>
  <c r="E12" i="2"/>
  <c r="F12" i="2" s="1"/>
  <c r="D73" i="1"/>
  <c r="C73" i="1"/>
  <c r="F72" i="1"/>
  <c r="E72" i="1"/>
  <c r="F71" i="1"/>
  <c r="E71" i="1"/>
  <c r="E70" i="1"/>
  <c r="F70" i="1" s="1"/>
  <c r="F67" i="1"/>
  <c r="E67" i="1"/>
  <c r="E64" i="1"/>
  <c r="F64" i="1" s="1"/>
  <c r="E63" i="1"/>
  <c r="F63" i="1" s="1"/>
  <c r="D61" i="1"/>
  <c r="D65" i="1" s="1"/>
  <c r="C61" i="1"/>
  <c r="C65" i="1"/>
  <c r="E60" i="1"/>
  <c r="F60" i="1"/>
  <c r="F59" i="1"/>
  <c r="E59" i="1"/>
  <c r="D56" i="1"/>
  <c r="C56" i="1"/>
  <c r="F55" i="1"/>
  <c r="E55" i="1"/>
  <c r="E54" i="1"/>
  <c r="F54" i="1" s="1"/>
  <c r="F53" i="1"/>
  <c r="E53" i="1"/>
  <c r="F52" i="1"/>
  <c r="E52" i="1"/>
  <c r="E51" i="1"/>
  <c r="F51" i="1"/>
  <c r="E50" i="1"/>
  <c r="F50" i="1" s="1"/>
  <c r="A50" i="1"/>
  <c r="A51" i="1"/>
  <c r="A52" i="1" s="1"/>
  <c r="A53" i="1" s="1"/>
  <c r="A54" i="1" s="1"/>
  <c r="A55" i="1" s="1"/>
  <c r="E49" i="1"/>
  <c r="F49" i="1"/>
  <c r="E40" i="1"/>
  <c r="F40" i="1"/>
  <c r="D38" i="1"/>
  <c r="C38" i="1"/>
  <c r="C41" i="1" s="1"/>
  <c r="E37" i="1"/>
  <c r="F37" i="1"/>
  <c r="E36" i="1"/>
  <c r="F36" i="1" s="1"/>
  <c r="E33" i="1"/>
  <c r="F33" i="1" s="1"/>
  <c r="F32" i="1"/>
  <c r="E32" i="1"/>
  <c r="F31" i="1"/>
  <c r="E31" i="1"/>
  <c r="D29" i="1"/>
  <c r="C29" i="1"/>
  <c r="F29" i="1" s="1"/>
  <c r="F28" i="1"/>
  <c r="E28" i="1"/>
  <c r="F27" i="1"/>
  <c r="E27" i="1"/>
  <c r="F26" i="1"/>
  <c r="E26" i="1"/>
  <c r="F25" i="1"/>
  <c r="E25" i="1"/>
  <c r="D22" i="1"/>
  <c r="C22" i="1"/>
  <c r="E21" i="1"/>
  <c r="F21" i="1" s="1"/>
  <c r="E20" i="1"/>
  <c r="F20" i="1"/>
  <c r="E19" i="1"/>
  <c r="F19" i="1"/>
  <c r="F18" i="1"/>
  <c r="E18" i="1"/>
  <c r="F17" i="1"/>
  <c r="E17" i="1"/>
  <c r="F16" i="1"/>
  <c r="E16" i="1"/>
  <c r="E15" i="1"/>
  <c r="F15" i="1" s="1"/>
  <c r="F14" i="1"/>
  <c r="E14" i="1"/>
  <c r="F13" i="1"/>
  <c r="E13" i="1"/>
  <c r="D90" i="14"/>
  <c r="D160" i="14"/>
  <c r="E35" i="14"/>
  <c r="F35" i="14"/>
  <c r="E165" i="14"/>
  <c r="E203" i="14"/>
  <c r="F203" i="14"/>
  <c r="D91" i="14"/>
  <c r="D92" i="14"/>
  <c r="D192" i="14"/>
  <c r="D181" i="14"/>
  <c r="D262" i="14"/>
  <c r="D272" i="14" s="1"/>
  <c r="D283" i="14"/>
  <c r="D278" i="14"/>
  <c r="E24" i="14"/>
  <c r="F24" i="14" s="1"/>
  <c r="E77" i="14"/>
  <c r="F88" i="14"/>
  <c r="E189" i="14"/>
  <c r="E250" i="14"/>
  <c r="F250" i="14"/>
  <c r="D111" i="14"/>
  <c r="D214" i="14"/>
  <c r="D199" i="14"/>
  <c r="D274" i="14"/>
  <c r="D300" i="14" s="1"/>
  <c r="E17" i="14"/>
  <c r="F17" i="14" s="1"/>
  <c r="E85" i="14"/>
  <c r="F85" i="14" s="1"/>
  <c r="E144" i="14"/>
  <c r="F144" i="14" s="1"/>
  <c r="E172" i="14"/>
  <c r="F172" i="14" s="1"/>
  <c r="D49" i="14"/>
  <c r="D50" i="14" s="1"/>
  <c r="D205" i="14"/>
  <c r="E24" i="5"/>
  <c r="E17" i="5"/>
  <c r="E22" i="1"/>
  <c r="F22" i="1"/>
  <c r="E61" i="1"/>
  <c r="E16" i="2"/>
  <c r="E39" i="2"/>
  <c r="D138" i="5"/>
  <c r="D137" i="5"/>
  <c r="D140" i="5"/>
  <c r="D136" i="5"/>
  <c r="D139" i="5"/>
  <c r="D135" i="5"/>
  <c r="E29" i="1"/>
  <c r="C75" i="1"/>
  <c r="C21" i="5"/>
  <c r="D21" i="5"/>
  <c r="C137" i="5"/>
  <c r="C140" i="5"/>
  <c r="C136" i="5"/>
  <c r="C139" i="5"/>
  <c r="C135" i="5"/>
  <c r="C138" i="5"/>
  <c r="F61" i="1"/>
  <c r="F16" i="2"/>
  <c r="F48" i="3"/>
  <c r="C52" i="3"/>
  <c r="D155" i="5"/>
  <c r="D154" i="5"/>
  <c r="D157" i="5"/>
  <c r="D153" i="5"/>
  <c r="D156" i="5"/>
  <c r="D152" i="5"/>
  <c r="D21" i="10"/>
  <c r="E31" i="2"/>
  <c r="F31" i="2" s="1"/>
  <c r="E46" i="2"/>
  <c r="E43" i="3"/>
  <c r="F43" i="3"/>
  <c r="E47" i="3"/>
  <c r="F47" i="3" s="1"/>
  <c r="E51" i="3"/>
  <c r="F51" i="3" s="1"/>
  <c r="E68" i="3"/>
  <c r="F68" i="3" s="1"/>
  <c r="F91" i="3"/>
  <c r="C95" i="3"/>
  <c r="C25" i="10"/>
  <c r="C27" i="10"/>
  <c r="C15" i="10"/>
  <c r="E30" i="14"/>
  <c r="F30" i="14" s="1"/>
  <c r="C31" i="14"/>
  <c r="D66" i="15"/>
  <c r="F124" i="3"/>
  <c r="F153" i="3"/>
  <c r="F179" i="3"/>
  <c r="F24" i="4"/>
  <c r="F109" i="4"/>
  <c r="F155" i="4"/>
  <c r="C15" i="5"/>
  <c r="E25" i="5"/>
  <c r="E27" i="5" s="1"/>
  <c r="C49" i="5"/>
  <c r="D53" i="5"/>
  <c r="E57" i="5"/>
  <c r="E62" i="5" s="1"/>
  <c r="C77" i="5"/>
  <c r="C71" i="5" s="1"/>
  <c r="E88" i="5"/>
  <c r="E90" i="5" s="1"/>
  <c r="E86" i="5" s="1"/>
  <c r="F37" i="6"/>
  <c r="F63" i="6"/>
  <c r="F88" i="6"/>
  <c r="F89" i="6"/>
  <c r="F114" i="6"/>
  <c r="F115" i="6"/>
  <c r="F140" i="6"/>
  <c r="F141" i="6"/>
  <c r="F166" i="6"/>
  <c r="F167" i="6"/>
  <c r="F198" i="6"/>
  <c r="D207" i="6"/>
  <c r="E207" i="6" s="1"/>
  <c r="F207" i="6" s="1"/>
  <c r="F108" i="7"/>
  <c r="E33" i="11"/>
  <c r="E36" i="11" s="1"/>
  <c r="E38" i="11" s="1"/>
  <c r="E75" i="12"/>
  <c r="C48" i="10"/>
  <c r="C42" i="10" s="1"/>
  <c r="C59" i="10"/>
  <c r="C61" i="10" s="1"/>
  <c r="C57" i="10" s="1"/>
  <c r="E36" i="14"/>
  <c r="F36" i="14" s="1"/>
  <c r="C37" i="14"/>
  <c r="D57" i="5"/>
  <c r="D62" i="5" s="1"/>
  <c r="C75" i="8"/>
  <c r="E50" i="12"/>
  <c r="D295" i="15"/>
  <c r="E15" i="10"/>
  <c r="E25" i="10"/>
  <c r="E27" i="10" s="1"/>
  <c r="C126" i="14"/>
  <c r="E21" i="14"/>
  <c r="F21" i="14" s="1"/>
  <c r="C91" i="14"/>
  <c r="F18" i="4"/>
  <c r="F30" i="4"/>
  <c r="F35" i="4"/>
  <c r="F59" i="4"/>
  <c r="D43" i="5"/>
  <c r="F23" i="6"/>
  <c r="F24" i="6"/>
  <c r="F49" i="6"/>
  <c r="F75" i="6"/>
  <c r="F76" i="6"/>
  <c r="F101" i="6"/>
  <c r="F102" i="6"/>
  <c r="F128" i="6"/>
  <c r="F153" i="6"/>
  <c r="F154" i="6"/>
  <c r="F179" i="6"/>
  <c r="F180" i="6"/>
  <c r="F192" i="6"/>
  <c r="F200" i="6"/>
  <c r="F204" i="6"/>
  <c r="C208" i="6"/>
  <c r="E208" i="6" s="1"/>
  <c r="F208" i="6" s="1"/>
  <c r="F48" i="7"/>
  <c r="F95" i="7"/>
  <c r="F96" i="7"/>
  <c r="F113" i="7"/>
  <c r="E115" i="7"/>
  <c r="F115" i="7" s="1"/>
  <c r="E119" i="7"/>
  <c r="F119" i="7" s="1"/>
  <c r="C121" i="7"/>
  <c r="E22" i="8"/>
  <c r="F22" i="8"/>
  <c r="E56" i="8"/>
  <c r="F56" i="8"/>
  <c r="E73" i="8"/>
  <c r="F73" i="8" s="1"/>
  <c r="F16" i="9"/>
  <c r="C33" i="9"/>
  <c r="D42" i="10"/>
  <c r="C80" i="10"/>
  <c r="C77" i="10" s="1"/>
  <c r="I17" i="11"/>
  <c r="C33" i="11"/>
  <c r="C36" i="11" s="1"/>
  <c r="C38" i="11" s="1"/>
  <c r="C40" i="11" s="1"/>
  <c r="E30" i="12"/>
  <c r="E55" i="12"/>
  <c r="E65" i="12"/>
  <c r="F65" i="12" s="1"/>
  <c r="F75" i="12"/>
  <c r="F92" i="12"/>
  <c r="F23" i="14"/>
  <c r="D294" i="15"/>
  <c r="E59" i="10"/>
  <c r="E61" i="10" s="1"/>
  <c r="E57" i="10" s="1"/>
  <c r="E48" i="10"/>
  <c r="E42" i="10" s="1"/>
  <c r="E53" i="14"/>
  <c r="F53" i="14" s="1"/>
  <c r="E68" i="14"/>
  <c r="F68" i="14"/>
  <c r="E78" i="4"/>
  <c r="F78" i="4" s="1"/>
  <c r="E171" i="4"/>
  <c r="F171" i="4" s="1"/>
  <c r="F193" i="6"/>
  <c r="E199" i="6"/>
  <c r="F199" i="6"/>
  <c r="F201" i="6"/>
  <c r="E203" i="6"/>
  <c r="F203" i="6" s="1"/>
  <c r="F205" i="6"/>
  <c r="F35" i="7"/>
  <c r="F59" i="7"/>
  <c r="E83" i="7"/>
  <c r="F107" i="7"/>
  <c r="E112" i="7"/>
  <c r="F112" i="7" s="1"/>
  <c r="F114" i="7"/>
  <c r="E116" i="7"/>
  <c r="F116" i="7" s="1"/>
  <c r="E120" i="7"/>
  <c r="E29" i="8"/>
  <c r="C41" i="8"/>
  <c r="E31" i="9"/>
  <c r="F31" i="9" s="1"/>
  <c r="E46" i="9"/>
  <c r="I31" i="11"/>
  <c r="G33" i="11"/>
  <c r="F16" i="12"/>
  <c r="F23" i="12"/>
  <c r="F70" i="12"/>
  <c r="F84" i="12"/>
  <c r="F99" i="12"/>
  <c r="F13" i="13"/>
  <c r="F17" i="13"/>
  <c r="F21" i="13"/>
  <c r="C290" i="14"/>
  <c r="C199" i="14"/>
  <c r="E294" i="14"/>
  <c r="F294" i="14"/>
  <c r="C144" i="15"/>
  <c r="C163" i="15"/>
  <c r="D242" i="15"/>
  <c r="E242" i="15"/>
  <c r="E218" i="15"/>
  <c r="D217" i="15"/>
  <c r="F67" i="14"/>
  <c r="F89" i="14"/>
  <c r="C159" i="14"/>
  <c r="C181" i="14"/>
  <c r="C274" i="14"/>
  <c r="C306" i="14"/>
  <c r="E157" i="15"/>
  <c r="D252" i="15"/>
  <c r="E260" i="15"/>
  <c r="D303" i="15"/>
  <c r="C278" i="14"/>
  <c r="C215" i="14"/>
  <c r="F189" i="14"/>
  <c r="C283" i="14"/>
  <c r="C205" i="14"/>
  <c r="C239" i="14"/>
  <c r="F237" i="14"/>
  <c r="E237" i="14"/>
  <c r="C43" i="15"/>
  <c r="E37" i="15"/>
  <c r="D261" i="15"/>
  <c r="E188" i="15"/>
  <c r="C245" i="15"/>
  <c r="E245" i="15" s="1"/>
  <c r="E221" i="15"/>
  <c r="E251" i="15"/>
  <c r="C37" i="16"/>
  <c r="C22" i="16"/>
  <c r="C64" i="16"/>
  <c r="C49" i="16"/>
  <c r="D41" i="17"/>
  <c r="E109" i="19"/>
  <c r="E108" i="19"/>
  <c r="C60" i="14"/>
  <c r="F94" i="14"/>
  <c r="F135" i="14"/>
  <c r="F158" i="14"/>
  <c r="F165" i="14"/>
  <c r="E171" i="14"/>
  <c r="F171" i="14" s="1"/>
  <c r="C173" i="14"/>
  <c r="C192" i="14"/>
  <c r="E192" i="14"/>
  <c r="C255" i="14"/>
  <c r="E33" i="15"/>
  <c r="E176" i="15"/>
  <c r="D211" i="15"/>
  <c r="E219" i="15"/>
  <c r="E229" i="15"/>
  <c r="E240" i="15"/>
  <c r="C252" i="15"/>
  <c r="E262" i="15"/>
  <c r="C283" i="15"/>
  <c r="D316" i="15"/>
  <c r="E40" i="17"/>
  <c r="F40" i="17" s="1"/>
  <c r="D22" i="15"/>
  <c r="D283" i="15"/>
  <c r="E283" i="15" s="1"/>
  <c r="D289" i="15"/>
  <c r="E60" i="15"/>
  <c r="D145" i="15"/>
  <c r="D168" i="15"/>
  <c r="D109" i="19"/>
  <c r="D108" i="19"/>
  <c r="D175" i="14"/>
  <c r="D62" i="14"/>
  <c r="D210" i="14"/>
  <c r="D105" i="14"/>
  <c r="D254" i="14"/>
  <c r="D216" i="14"/>
  <c r="F59" i="14"/>
  <c r="F109" i="14"/>
  <c r="C111" i="14"/>
  <c r="C137" i="14"/>
  <c r="F180" i="14"/>
  <c r="F299" i="14"/>
  <c r="D71" i="15"/>
  <c r="E156" i="15"/>
  <c r="D222" i="15"/>
  <c r="D234" i="15"/>
  <c r="C38" i="16"/>
  <c r="C127" i="16" s="1"/>
  <c r="C129" i="16" s="1"/>
  <c r="C133" i="16" s="1"/>
  <c r="C65" i="16"/>
  <c r="C114" i="16" s="1"/>
  <c r="C116" i="16" s="1"/>
  <c r="C119" i="16" s="1"/>
  <c r="C123" i="16" s="1"/>
  <c r="E255" i="14"/>
  <c r="C214" i="14"/>
  <c r="C261" i="14"/>
  <c r="C254" i="14"/>
  <c r="E188" i="14"/>
  <c r="F188" i="14" s="1"/>
  <c r="E298" i="14"/>
  <c r="F298" i="14" s="1"/>
  <c r="E311" i="14"/>
  <c r="F311" i="14" s="1"/>
  <c r="C71" i="15"/>
  <c r="C76" i="15" s="1"/>
  <c r="C65" i="15"/>
  <c r="C294" i="15" s="1"/>
  <c r="E294" i="15" s="1"/>
  <c r="C66" i="15"/>
  <c r="C295" i="15" s="1"/>
  <c r="E295" i="15" s="1"/>
  <c r="D76" i="15"/>
  <c r="D77" i="15" s="1"/>
  <c r="E70" i="15"/>
  <c r="D163" i="15"/>
  <c r="E163" i="15"/>
  <c r="D175" i="15"/>
  <c r="E139" i="15"/>
  <c r="D253" i="15"/>
  <c r="E233" i="15"/>
  <c r="D209" i="14"/>
  <c r="D104" i="14"/>
  <c r="D174" i="14"/>
  <c r="H17" i="11"/>
  <c r="C304" i="14"/>
  <c r="F66" i="14"/>
  <c r="C102" i="14"/>
  <c r="E136" i="14"/>
  <c r="F136" i="14" s="1"/>
  <c r="E170" i="14"/>
  <c r="F170" i="14" s="1"/>
  <c r="F179" i="14"/>
  <c r="C190" i="14"/>
  <c r="C193" i="14"/>
  <c r="C282" i="14" s="1"/>
  <c r="E198" i="14"/>
  <c r="F198" i="14" s="1"/>
  <c r="C200" i="14"/>
  <c r="E223" i="14"/>
  <c r="F223" i="14"/>
  <c r="E238" i="14"/>
  <c r="F238" i="14"/>
  <c r="C262" i="14"/>
  <c r="C267" i="14"/>
  <c r="C277" i="14"/>
  <c r="C285" i="14"/>
  <c r="F295" i="14"/>
  <c r="E32" i="15"/>
  <c r="D43" i="15"/>
  <c r="D55" i="15"/>
  <c r="E55" i="15"/>
  <c r="E151" i="15"/>
  <c r="E161" i="15"/>
  <c r="E165" i="15"/>
  <c r="C175" i="15"/>
  <c r="D180" i="15"/>
  <c r="E195" i="15"/>
  <c r="C222" i="15"/>
  <c r="C246" i="15" s="1"/>
  <c r="E244" i="15"/>
  <c r="C261" i="15"/>
  <c r="C39" i="17"/>
  <c r="E22" i="19"/>
  <c r="D34" i="19"/>
  <c r="D54" i="19"/>
  <c r="C101" i="19"/>
  <c r="C103" i="19" s="1"/>
  <c r="D102" i="19"/>
  <c r="D103" i="19" s="1"/>
  <c r="C109" i="19"/>
  <c r="D125" i="14"/>
  <c r="D138" i="14"/>
  <c r="D139" i="14"/>
  <c r="D161" i="14"/>
  <c r="D193" i="14"/>
  <c r="D277" i="14"/>
  <c r="E23" i="19"/>
  <c r="D111" i="19"/>
  <c r="D200" i="14"/>
  <c r="E200" i="14" s="1"/>
  <c r="F200" i="14" s="1"/>
  <c r="D206" i="14"/>
  <c r="E206" i="14" s="1"/>
  <c r="F206" i="14" s="1"/>
  <c r="D280" i="14"/>
  <c r="D30" i="19"/>
  <c r="E33" i="19"/>
  <c r="D36" i="19"/>
  <c r="D40" i="19"/>
  <c r="E101" i="19"/>
  <c r="E103" i="19"/>
  <c r="C111" i="19"/>
  <c r="D261" i="14"/>
  <c r="C30" i="19"/>
  <c r="C36" i="19"/>
  <c r="C40" i="19"/>
  <c r="D190" i="14"/>
  <c r="E190" i="14" s="1"/>
  <c r="F190" i="14" s="1"/>
  <c r="D162" i="14"/>
  <c r="E254" i="14"/>
  <c r="C286" i="14"/>
  <c r="E283" i="14"/>
  <c r="F283" i="14" s="1"/>
  <c r="E306" i="14"/>
  <c r="E159" i="14"/>
  <c r="F159" i="14" s="1"/>
  <c r="E217" i="15"/>
  <c r="D241" i="15"/>
  <c r="E241" i="15" s="1"/>
  <c r="C145" i="15"/>
  <c r="C168" i="15"/>
  <c r="E290" i="14"/>
  <c r="F290" i="14"/>
  <c r="C41" i="9"/>
  <c r="C21" i="10"/>
  <c r="D140" i="14"/>
  <c r="E168" i="15"/>
  <c r="F255" i="14"/>
  <c r="D254" i="15"/>
  <c r="E261" i="15"/>
  <c r="E262" i="14"/>
  <c r="F262" i="14"/>
  <c r="D194" i="14"/>
  <c r="D266" i="14"/>
  <c r="E193" i="14"/>
  <c r="E267" i="14"/>
  <c r="F267" i="14"/>
  <c r="D246" i="15"/>
  <c r="E222" i="15"/>
  <c r="D223" i="15"/>
  <c r="C138" i="14"/>
  <c r="E137" i="14"/>
  <c r="F137" i="14" s="1"/>
  <c r="C207" i="14"/>
  <c r="D63" i="14"/>
  <c r="F205" i="14"/>
  <c r="E205" i="14"/>
  <c r="C288" i="14"/>
  <c r="E278" i="14"/>
  <c r="F278" i="14"/>
  <c r="E199" i="14"/>
  <c r="F199" i="14"/>
  <c r="C24" i="10"/>
  <c r="C20" i="10" s="1"/>
  <c r="C17" i="10"/>
  <c r="C28" i="10" s="1"/>
  <c r="E28" i="5"/>
  <c r="E99" i="5"/>
  <c r="E101" i="5" s="1"/>
  <c r="E98" i="5" s="1"/>
  <c r="E112" i="5"/>
  <c r="E111" i="5"/>
  <c r="D282" i="14"/>
  <c r="C161" i="14"/>
  <c r="E161" i="14" s="1"/>
  <c r="F161" i="14" s="1"/>
  <c r="E66" i="15"/>
  <c r="D158" i="5"/>
  <c r="D141" i="5"/>
  <c r="C56" i="19"/>
  <c r="C48" i="19"/>
  <c r="C38" i="19"/>
  <c r="C113" i="19"/>
  <c r="E54" i="19"/>
  <c r="E46" i="19"/>
  <c r="E40" i="19"/>
  <c r="E36" i="19"/>
  <c r="E30" i="19"/>
  <c r="E111" i="19"/>
  <c r="D259" i="15"/>
  <c r="E43" i="15"/>
  <c r="D281" i="14"/>
  <c r="E280" i="14"/>
  <c r="F280" i="14" s="1"/>
  <c r="C41" i="17"/>
  <c r="C216" i="14"/>
  <c r="E214" i="14"/>
  <c r="F214" i="14" s="1"/>
  <c r="D287" i="14"/>
  <c r="D279" i="14"/>
  <c r="D284" i="14"/>
  <c r="E277" i="14"/>
  <c r="E110" i="19"/>
  <c r="E53" i="19"/>
  <c r="E45" i="19"/>
  <c r="E39" i="19"/>
  <c r="E35" i="19"/>
  <c r="E29" i="19"/>
  <c r="E102" i="14"/>
  <c r="F102" i="14" s="1"/>
  <c r="C103" i="14"/>
  <c r="C268" i="14"/>
  <c r="C263" i="14"/>
  <c r="C271" i="14"/>
  <c r="D211" i="14"/>
  <c r="D320" i="15"/>
  <c r="E320" i="15" s="1"/>
  <c r="E316" i="15"/>
  <c r="D235" i="15"/>
  <c r="E173" i="14"/>
  <c r="F173" i="14" s="1"/>
  <c r="E215" i="14"/>
  <c r="F215" i="14" s="1"/>
  <c r="D306" i="15"/>
  <c r="G36" i="11"/>
  <c r="G38" i="11" s="1"/>
  <c r="G40" i="11" s="1"/>
  <c r="I33" i="11"/>
  <c r="I36" i="11" s="1"/>
  <c r="I38" i="11" s="1"/>
  <c r="I40" i="11" s="1"/>
  <c r="E121" i="7"/>
  <c r="F121" i="7" s="1"/>
  <c r="E91" i="14"/>
  <c r="F91" i="14" s="1"/>
  <c r="C92" i="14"/>
  <c r="C127" i="14"/>
  <c r="E175" i="15"/>
  <c r="C223" i="15"/>
  <c r="C247" i="15" s="1"/>
  <c r="C44" i="15"/>
  <c r="E144" i="15"/>
  <c r="C43" i="8"/>
  <c r="E65" i="15"/>
  <c r="C141" i="5"/>
  <c r="D268" i="14"/>
  <c r="E268" i="14"/>
  <c r="E261" i="14"/>
  <c r="F261" i="14"/>
  <c r="D271" i="14"/>
  <c r="D263" i="14"/>
  <c r="E263" i="14" s="1"/>
  <c r="F263" i="14" s="1"/>
  <c r="D113" i="19"/>
  <c r="D56" i="19"/>
  <c r="D48" i="19"/>
  <c r="D38" i="19"/>
  <c r="C287" i="14"/>
  <c r="C279" i="14"/>
  <c r="F277" i="14"/>
  <c r="C284" i="14"/>
  <c r="F193" i="14"/>
  <c r="C194" i="14"/>
  <c r="C266" i="14"/>
  <c r="F254" i="14"/>
  <c r="D106" i="14"/>
  <c r="D176" i="14"/>
  <c r="D181" i="15"/>
  <c r="D169" i="15"/>
  <c r="E145" i="15"/>
  <c r="D284" i="15"/>
  <c r="E284" i="15" s="1"/>
  <c r="E22" i="15"/>
  <c r="C61" i="14"/>
  <c r="E60" i="14"/>
  <c r="F60" i="14" s="1"/>
  <c r="E239" i="14"/>
  <c r="F239" i="14" s="1"/>
  <c r="E274" i="14"/>
  <c r="F274" i="14" s="1"/>
  <c r="E181" i="14"/>
  <c r="F181" i="14"/>
  <c r="E17" i="10"/>
  <c r="E28" i="10" s="1"/>
  <c r="E70" i="10" s="1"/>
  <c r="E72" i="10" s="1"/>
  <c r="E69" i="10" s="1"/>
  <c r="E24" i="10"/>
  <c r="E37" i="14"/>
  <c r="F37" i="14" s="1"/>
  <c r="C24" i="5"/>
  <c r="C20" i="5" s="1"/>
  <c r="C17" i="5"/>
  <c r="E31" i="14"/>
  <c r="F31" i="14" s="1"/>
  <c r="C32" i="14"/>
  <c r="E138" i="14"/>
  <c r="D44" i="15"/>
  <c r="D100" i="15" s="1"/>
  <c r="E111" i="14"/>
  <c r="F111" i="14" s="1"/>
  <c r="E71" i="15"/>
  <c r="F192" i="14"/>
  <c r="E39" i="17"/>
  <c r="E41" i="17" s="1"/>
  <c r="F41" i="17" s="1"/>
  <c r="E41" i="8"/>
  <c r="F41" i="8"/>
  <c r="D263" i="15"/>
  <c r="E284" i="14"/>
  <c r="F284" i="14"/>
  <c r="C104" i="14"/>
  <c r="C174" i="14"/>
  <c r="C139" i="14"/>
  <c r="E61" i="14"/>
  <c r="F61" i="14"/>
  <c r="D96" i="15"/>
  <c r="D85" i="15"/>
  <c r="D97" i="15"/>
  <c r="D258" i="15"/>
  <c r="D95" i="15"/>
  <c r="D98" i="15"/>
  <c r="E44" i="15"/>
  <c r="D88" i="15"/>
  <c r="C291" i="14"/>
  <c r="C289" i="14"/>
  <c r="E92" i="14"/>
  <c r="F92" i="14"/>
  <c r="C208" i="14"/>
  <c r="C209" i="14" s="1"/>
  <c r="E207" i="14"/>
  <c r="F207" i="14"/>
  <c r="D141" i="14"/>
  <c r="C169" i="15"/>
  <c r="D183" i="14"/>
  <c r="D323" i="14"/>
  <c r="C196" i="14"/>
  <c r="E43" i="8"/>
  <c r="F43" i="8" s="1"/>
  <c r="C99" i="15"/>
  <c r="C95" i="15"/>
  <c r="C88" i="15"/>
  <c r="C84" i="15"/>
  <c r="C100" i="15"/>
  <c r="C96" i="15"/>
  <c r="C89" i="15"/>
  <c r="C85" i="15"/>
  <c r="C97" i="15"/>
  <c r="C86" i="15"/>
  <c r="C98" i="15"/>
  <c r="C87" i="15"/>
  <c r="C101" i="15"/>
  <c r="C258" i="15"/>
  <c r="C83" i="15"/>
  <c r="D310" i="15"/>
  <c r="E103" i="14"/>
  <c r="F103" i="14" s="1"/>
  <c r="E287" i="14"/>
  <c r="F287" i="14" s="1"/>
  <c r="E48" i="19"/>
  <c r="E38" i="19"/>
  <c r="E113" i="19"/>
  <c r="E56" i="19"/>
  <c r="D247" i="15"/>
  <c r="E223" i="15"/>
  <c r="D195" i="14"/>
  <c r="D196" i="14"/>
  <c r="E194" i="14"/>
  <c r="F194" i="14" s="1"/>
  <c r="C112" i="5"/>
  <c r="C111" i="5" s="1"/>
  <c r="C28" i="5"/>
  <c r="D113" i="14"/>
  <c r="D324" i="14"/>
  <c r="C210" i="14"/>
  <c r="C140" i="14"/>
  <c r="C62" i="14"/>
  <c r="C175" i="14"/>
  <c r="E32" i="14"/>
  <c r="C105" i="14"/>
  <c r="C106" i="14" s="1"/>
  <c r="F32" i="14"/>
  <c r="D304" i="14"/>
  <c r="E271" i="14"/>
  <c r="F271" i="14" s="1"/>
  <c r="E47" i="19"/>
  <c r="E37" i="19"/>
  <c r="E112" i="19"/>
  <c r="E55" i="19"/>
  <c r="C162" i="14"/>
  <c r="E266" i="14"/>
  <c r="F266" i="14"/>
  <c r="D265" i="14"/>
  <c r="C48" i="9"/>
  <c r="E169" i="15"/>
  <c r="F268" i="14"/>
  <c r="E279" i="14"/>
  <c r="F279" i="14" s="1"/>
  <c r="E216" i="14"/>
  <c r="F216" i="14" s="1"/>
  <c r="F138" i="14"/>
  <c r="E304" i="14"/>
  <c r="F304" i="14" s="1"/>
  <c r="E105" i="14"/>
  <c r="C141" i="14"/>
  <c r="C99" i="5"/>
  <c r="C101" i="5" s="1"/>
  <c r="C98" i="5" s="1"/>
  <c r="C22" i="5"/>
  <c r="D322" i="14"/>
  <c r="E141" i="14"/>
  <c r="C197" i="14"/>
  <c r="C63" i="14"/>
  <c r="E62" i="14"/>
  <c r="F62" i="14" s="1"/>
  <c r="D264" i="15"/>
  <c r="E258" i="15"/>
  <c r="E104" i="14"/>
  <c r="F104" i="14" s="1"/>
  <c r="C102" i="15"/>
  <c r="C103" i="15" s="1"/>
  <c r="E140" i="14"/>
  <c r="F140" i="14" s="1"/>
  <c r="E88" i="15"/>
  <c r="E98" i="15"/>
  <c r="E85" i="15"/>
  <c r="C176" i="14"/>
  <c r="E175" i="14"/>
  <c r="F175" i="14"/>
  <c r="C305" i="14"/>
  <c r="E174" i="14"/>
  <c r="F174" i="14" s="1"/>
  <c r="E162" i="14"/>
  <c r="F162" i="14" s="1"/>
  <c r="E210" i="14"/>
  <c r="F210" i="14" s="1"/>
  <c r="D325" i="14"/>
  <c r="D197" i="14"/>
  <c r="E197" i="14"/>
  <c r="E196" i="14"/>
  <c r="F196" i="14"/>
  <c r="E208" i="14"/>
  <c r="F208" i="14"/>
  <c r="E95" i="15"/>
  <c r="E96" i="15"/>
  <c r="E139" i="14"/>
  <c r="F139" i="14" s="1"/>
  <c r="C90" i="15"/>
  <c r="C91" i="15" s="1"/>
  <c r="E97" i="15"/>
  <c r="E176" i="14"/>
  <c r="F176" i="14" s="1"/>
  <c r="C183" i="14"/>
  <c r="E63" i="14"/>
  <c r="F63" i="14"/>
  <c r="C323" i="14"/>
  <c r="E323" i="14" s="1"/>
  <c r="C322" i="14"/>
  <c r="F141" i="14"/>
  <c r="C211" i="14"/>
  <c r="E211" i="14" s="1"/>
  <c r="F211" i="14" s="1"/>
  <c r="C148" i="14"/>
  <c r="C309" i="14"/>
  <c r="C310" i="14" s="1"/>
  <c r="D266" i="15"/>
  <c r="F197" i="14"/>
  <c r="E322" i="14"/>
  <c r="F322" i="14" s="1"/>
  <c r="D267" i="15"/>
  <c r="D268" i="15" s="1"/>
  <c r="E183" i="14"/>
  <c r="F183" i="14"/>
  <c r="C324" i="14" l="1"/>
  <c r="C113" i="14"/>
  <c r="E106" i="14"/>
  <c r="F106" i="14" s="1"/>
  <c r="E100" i="15"/>
  <c r="D102" i="15"/>
  <c r="D269" i="15"/>
  <c r="F105" i="14"/>
  <c r="D99" i="15"/>
  <c r="E99" i="15" s="1"/>
  <c r="D87" i="15"/>
  <c r="E87" i="15" s="1"/>
  <c r="D84" i="15"/>
  <c r="D83" i="15"/>
  <c r="D86" i="15"/>
  <c r="E86" i="15" s="1"/>
  <c r="D101" i="15"/>
  <c r="E101" i="15" s="1"/>
  <c r="D89" i="15"/>
  <c r="E89" i="15" s="1"/>
  <c r="E247" i="15"/>
  <c r="E246" i="15"/>
  <c r="E38" i="1"/>
  <c r="F38" i="1" s="1"/>
  <c r="E56" i="1"/>
  <c r="F56" i="1" s="1"/>
  <c r="E73" i="1"/>
  <c r="F73" i="1" s="1"/>
  <c r="E41" i="3"/>
  <c r="F41" i="3" s="1"/>
  <c r="E46" i="3"/>
  <c r="F46" i="3" s="1"/>
  <c r="E50" i="3"/>
  <c r="F50" i="3" s="1"/>
  <c r="E81" i="3"/>
  <c r="F81" i="3" s="1"/>
  <c r="E85" i="3"/>
  <c r="F85" i="3" s="1"/>
  <c r="E86" i="3"/>
  <c r="F86" i="3" s="1"/>
  <c r="E88" i="3"/>
  <c r="F88" i="3" s="1"/>
  <c r="F323" i="14"/>
  <c r="E252" i="15"/>
  <c r="E65" i="1"/>
  <c r="F65" i="1" s="1"/>
  <c r="C176" i="4"/>
  <c r="E92" i="3"/>
  <c r="F92" i="3" s="1"/>
  <c r="E111" i="3"/>
  <c r="F111" i="3" s="1"/>
  <c r="E137" i="3"/>
  <c r="F137" i="3" s="1"/>
  <c r="E166" i="3"/>
  <c r="F166" i="3" s="1"/>
  <c r="E41" i="4"/>
  <c r="F41" i="4" s="1"/>
  <c r="D83" i="4"/>
  <c r="E83" i="4" s="1"/>
  <c r="C83" i="4"/>
  <c r="E118" i="4"/>
  <c r="F118" i="4" s="1"/>
  <c r="D176" i="4"/>
  <c r="D77" i="5"/>
  <c r="D71" i="5" s="1"/>
  <c r="C79" i="5"/>
  <c r="E23" i="6"/>
  <c r="E50" i="6"/>
  <c r="F50" i="6" s="1"/>
  <c r="E101" i="6"/>
  <c r="E127" i="6"/>
  <c r="F127" i="6" s="1"/>
  <c r="E153" i="6"/>
  <c r="E179" i="6"/>
  <c r="E117" i="7"/>
  <c r="F117" i="7" s="1"/>
  <c r="E118" i="7"/>
  <c r="F118" i="7" s="1"/>
  <c r="E61" i="8"/>
  <c r="F61" i="8" s="1"/>
  <c r="D50" i="10"/>
  <c r="D33" i="11"/>
  <c r="D36" i="11" s="1"/>
  <c r="D38" i="11" s="1"/>
  <c r="C48" i="14"/>
  <c r="E76" i="14"/>
  <c r="F76" i="14" s="1"/>
  <c r="C269" i="14"/>
  <c r="C227" i="14"/>
  <c r="E227" i="14" s="1"/>
  <c r="F227" i="14" s="1"/>
  <c r="E189" i="15"/>
  <c r="E279" i="15"/>
  <c r="E287" i="15"/>
  <c r="E16" i="17"/>
  <c r="F16" i="17" s="1"/>
  <c r="E19" i="17"/>
  <c r="C33" i="19"/>
  <c r="E149" i="5"/>
  <c r="C166" i="5"/>
  <c r="E166" i="5"/>
  <c r="E202" i="6"/>
  <c r="F202" i="6" s="1"/>
  <c r="E36" i="7"/>
  <c r="F36" i="7" s="1"/>
  <c r="E47" i="7"/>
  <c r="F47" i="7" s="1"/>
  <c r="E60" i="7"/>
  <c r="F60" i="7" s="1"/>
  <c r="C50" i="10"/>
  <c r="F33" i="11"/>
  <c r="E37" i="12"/>
  <c r="E36" i="15"/>
  <c r="E39" i="15"/>
  <c r="E40" i="15"/>
  <c r="E69" i="15"/>
  <c r="E72" i="15"/>
  <c r="E73" i="15"/>
  <c r="E162" i="15"/>
  <c r="E167" i="15"/>
  <c r="E177" i="15"/>
  <c r="E230" i="15"/>
  <c r="E231" i="15"/>
  <c r="E265" i="15"/>
  <c r="E302" i="15"/>
  <c r="E291" i="15"/>
  <c r="E292" i="15"/>
  <c r="C303" i="15"/>
  <c r="F19" i="17"/>
  <c r="D126" i="14"/>
  <c r="D146" i="14"/>
  <c r="D285" i="14"/>
  <c r="D271" i="15"/>
  <c r="C312" i="14"/>
  <c r="C105" i="15"/>
  <c r="E209" i="14"/>
  <c r="F209" i="14" s="1"/>
  <c r="C70" i="10"/>
  <c r="C72" i="10" s="1"/>
  <c r="C69" i="10" s="1"/>
  <c r="C22" i="10"/>
  <c r="C281" i="14"/>
  <c r="E282" i="14"/>
  <c r="F282" i="14" s="1"/>
  <c r="C77" i="15"/>
  <c r="E77" i="15" s="1"/>
  <c r="C259" i="15"/>
  <c r="E76" i="15"/>
  <c r="D70" i="14"/>
  <c r="C43" i="1"/>
  <c r="D41" i="2"/>
  <c r="D112" i="15"/>
  <c r="D125" i="15"/>
  <c r="D114" i="15"/>
  <c r="D126" i="15"/>
  <c r="D115" i="15"/>
  <c r="D121" i="15"/>
  <c r="D122" i="15"/>
  <c r="D127" i="15"/>
  <c r="D123" i="15"/>
  <c r="D124" i="15"/>
  <c r="D113" i="15"/>
  <c r="D109" i="15"/>
  <c r="D110" i="15"/>
  <c r="D111" i="15"/>
  <c r="E21" i="10"/>
  <c r="E20" i="10"/>
  <c r="E22" i="10"/>
  <c r="E21" i="5"/>
  <c r="E22" i="5"/>
  <c r="E20" i="5"/>
  <c r="D273" i="14"/>
  <c r="E19" i="2"/>
  <c r="C33" i="2"/>
  <c r="F19" i="2"/>
  <c r="F39" i="17"/>
  <c r="C253" i="15"/>
  <c r="E253" i="15" s="1"/>
  <c r="D41" i="1"/>
  <c r="E41" i="1" s="1"/>
  <c r="F41" i="1" s="1"/>
  <c r="D75" i="1"/>
  <c r="E75" i="1" s="1"/>
  <c r="F75" i="1" s="1"/>
  <c r="D52" i="3"/>
  <c r="E52" i="3" s="1"/>
  <c r="F52" i="3" s="1"/>
  <c r="D95" i="3"/>
  <c r="E95" i="3" s="1"/>
  <c r="F95" i="3" s="1"/>
  <c r="D15" i="5"/>
  <c r="E43" i="5"/>
  <c r="E53" i="5"/>
  <c r="F36" i="6"/>
  <c r="F23" i="7"/>
  <c r="F24" i="7"/>
  <c r="H31" i="11"/>
  <c r="C57" i="5"/>
  <c r="C62" i="5" s="1"/>
  <c r="C43" i="5"/>
  <c r="E124" i="14"/>
  <c r="F124" i="14" s="1"/>
  <c r="F71" i="7"/>
  <c r="F72" i="7"/>
  <c r="E38" i="8"/>
  <c r="F38" i="8" s="1"/>
  <c r="D65" i="8"/>
  <c r="D19" i="9"/>
  <c r="F39" i="9"/>
  <c r="D15" i="10"/>
  <c r="D59" i="10"/>
  <c r="D61" i="10" s="1"/>
  <c r="D57" i="10" s="1"/>
  <c r="E20" i="14"/>
  <c r="F20" i="14" s="1"/>
  <c r="F29" i="14"/>
  <c r="F52" i="14"/>
  <c r="F100" i="14"/>
  <c r="F110" i="14"/>
  <c r="E123" i="14"/>
  <c r="F129" i="14"/>
  <c r="F155" i="14"/>
  <c r="E191" i="14"/>
  <c r="E229" i="14"/>
  <c r="F229" i="14" s="1"/>
  <c r="C264" i="14"/>
  <c r="F296" i="14"/>
  <c r="C289" i="15"/>
  <c r="E289" i="15" s="1"/>
  <c r="F44" i="17"/>
  <c r="F45" i="17"/>
  <c r="E307" i="14"/>
  <c r="F307" i="14" s="1"/>
  <c r="D122" i="7"/>
  <c r="E122" i="7" s="1"/>
  <c r="F122" i="7" s="1"/>
  <c r="F123" i="14"/>
  <c r="F191" i="14"/>
  <c r="C54" i="19"/>
  <c r="C46" i="19"/>
  <c r="E120" i="14"/>
  <c r="F120" i="14" s="1"/>
  <c r="E130" i="14"/>
  <c r="F130" i="14" s="1"/>
  <c r="E146" i="14"/>
  <c r="F146" i="14" s="1"/>
  <c r="C210" i="15"/>
  <c r="E216" i="15"/>
  <c r="E220" i="15"/>
  <c r="C239" i="15"/>
  <c r="E239" i="15" s="1"/>
  <c r="C20" i="17"/>
  <c r="D20" i="17"/>
  <c r="E20" i="17" s="1"/>
  <c r="E25" i="17"/>
  <c r="F25" i="17" s="1"/>
  <c r="E43" i="17"/>
  <c r="C34" i="19"/>
  <c r="E205" i="15"/>
  <c r="D326" i="15"/>
  <c r="C22" i="19"/>
  <c r="D22" i="19"/>
  <c r="C306" i="15" l="1"/>
  <c r="E303" i="15"/>
  <c r="C154" i="5"/>
  <c r="C153" i="5"/>
  <c r="C152" i="5"/>
  <c r="C157" i="5"/>
  <c r="C156" i="5"/>
  <c r="C155" i="5"/>
  <c r="F176" i="4"/>
  <c r="D90" i="15"/>
  <c r="E90" i="15" s="1"/>
  <c r="E84" i="15"/>
  <c r="D103" i="15"/>
  <c r="E103" i="15" s="1"/>
  <c r="E102" i="15"/>
  <c r="E324" i="14"/>
  <c r="C325" i="14"/>
  <c r="E325" i="14" s="1"/>
  <c r="F325" i="14" s="1"/>
  <c r="F324" i="14"/>
  <c r="D286" i="14"/>
  <c r="E286" i="14" s="1"/>
  <c r="F286" i="14" s="1"/>
  <c r="E285" i="14"/>
  <c r="F285" i="14" s="1"/>
  <c r="D127" i="14"/>
  <c r="E126" i="14"/>
  <c r="F126" i="14" s="1"/>
  <c r="F36" i="11"/>
  <c r="F38" i="11" s="1"/>
  <c r="F40" i="11" s="1"/>
  <c r="H33" i="11"/>
  <c r="H36" i="11" s="1"/>
  <c r="H38" i="11" s="1"/>
  <c r="H40" i="11" s="1"/>
  <c r="E152" i="5"/>
  <c r="E154" i="5"/>
  <c r="E153" i="5"/>
  <c r="E156" i="5"/>
  <c r="E155" i="5"/>
  <c r="E157" i="5"/>
  <c r="E139" i="5"/>
  <c r="E138" i="5"/>
  <c r="E140" i="5"/>
  <c r="E135" i="5"/>
  <c r="E137" i="5"/>
  <c r="E136" i="5"/>
  <c r="E269" i="14"/>
  <c r="F269" i="14" s="1"/>
  <c r="C272" i="14"/>
  <c r="C270" i="14"/>
  <c r="C90" i="14"/>
  <c r="C195" i="14"/>
  <c r="E195" i="14" s="1"/>
  <c r="F195" i="14" s="1"/>
  <c r="C125" i="14"/>
  <c r="E48" i="14"/>
  <c r="F48" i="14" s="1"/>
  <c r="C49" i="14"/>
  <c r="C160" i="14"/>
  <c r="E176" i="4"/>
  <c r="F83" i="4"/>
  <c r="D288" i="14"/>
  <c r="E83" i="15"/>
  <c r="D91" i="15"/>
  <c r="F113" i="14"/>
  <c r="E113" i="14"/>
  <c r="C45" i="19"/>
  <c r="C110" i="19"/>
  <c r="C29" i="19"/>
  <c r="C53" i="19"/>
  <c r="C35" i="19"/>
  <c r="C39" i="19"/>
  <c r="D53" i="19"/>
  <c r="D110" i="19"/>
  <c r="D29" i="19"/>
  <c r="D39" i="19"/>
  <c r="D35" i="19"/>
  <c r="D45" i="19"/>
  <c r="D330" i="15"/>
  <c r="E330" i="15" s="1"/>
  <c r="E326" i="15"/>
  <c r="F20" i="17"/>
  <c r="C211" i="15"/>
  <c r="C234" i="15"/>
  <c r="E234" i="15" s="1"/>
  <c r="C180" i="15"/>
  <c r="E180" i="15" s="1"/>
  <c r="E210" i="15"/>
  <c r="E264" i="14"/>
  <c r="F264" i="14"/>
  <c r="C300" i="14"/>
  <c r="C265" i="14"/>
  <c r="D24" i="10"/>
  <c r="D20" i="10" s="1"/>
  <c r="D17" i="10"/>
  <c r="D28" i="10" s="1"/>
  <c r="D33" i="9"/>
  <c r="E19" i="9"/>
  <c r="F19" i="9" s="1"/>
  <c r="D24" i="5"/>
  <c r="D20" i="5" s="1"/>
  <c r="D17" i="5"/>
  <c r="C41" i="2"/>
  <c r="D43" i="1"/>
  <c r="E43" i="1" s="1"/>
  <c r="D116" i="15"/>
  <c r="D128" i="15"/>
  <c r="D129" i="15" s="1"/>
  <c r="E33" i="2"/>
  <c r="F33" i="2" s="1"/>
  <c r="F43" i="1"/>
  <c r="C254" i="15"/>
  <c r="E254" i="15" s="1"/>
  <c r="E259" i="15"/>
  <c r="C263" i="15"/>
  <c r="E281" i="14"/>
  <c r="F281" i="14" s="1"/>
  <c r="C313" i="14"/>
  <c r="E46" i="17"/>
  <c r="F46" i="17" s="1"/>
  <c r="F43" i="17"/>
  <c r="E65" i="8"/>
  <c r="F65" i="8" s="1"/>
  <c r="D75" i="8"/>
  <c r="E75" i="8" s="1"/>
  <c r="F75" i="8" s="1"/>
  <c r="D117" i="15"/>
  <c r="E41" i="2"/>
  <c r="D48" i="2"/>
  <c r="C126" i="15"/>
  <c r="E126" i="15" s="1"/>
  <c r="C115" i="15"/>
  <c r="E115" i="15" s="1"/>
  <c r="C127" i="15"/>
  <c r="E127" i="15" s="1"/>
  <c r="C112" i="15"/>
  <c r="E112" i="15" s="1"/>
  <c r="C121" i="15"/>
  <c r="C124" i="15"/>
  <c r="E124" i="15" s="1"/>
  <c r="C125" i="15"/>
  <c r="E125" i="15" s="1"/>
  <c r="C122" i="15"/>
  <c r="C111" i="15"/>
  <c r="E111" i="15" s="1"/>
  <c r="C123" i="15"/>
  <c r="E123" i="15" s="1"/>
  <c r="C109" i="15"/>
  <c r="E109" i="15" s="1"/>
  <c r="C110" i="15"/>
  <c r="C113" i="15"/>
  <c r="E113" i="15" s="1"/>
  <c r="C114" i="15"/>
  <c r="E114" i="15" s="1"/>
  <c r="F160" i="14" l="1"/>
  <c r="E160" i="14"/>
  <c r="E90" i="14"/>
  <c r="F90" i="14" s="1"/>
  <c r="F270" i="14"/>
  <c r="E270" i="14"/>
  <c r="E158" i="5"/>
  <c r="E127" i="14"/>
  <c r="F127" i="14" s="1"/>
  <c r="D148" i="14"/>
  <c r="E148" i="14" s="1"/>
  <c r="F148" i="14" s="1"/>
  <c r="C158" i="5"/>
  <c r="C310" i="15"/>
  <c r="E310" i="15" s="1"/>
  <c r="E306" i="15"/>
  <c r="E91" i="15"/>
  <c r="D105" i="15"/>
  <c r="E105" i="15" s="1"/>
  <c r="E288" i="14"/>
  <c r="F288" i="14" s="1"/>
  <c r="D291" i="14"/>
  <c r="D289" i="14"/>
  <c r="E289" i="14" s="1"/>
  <c r="F289" i="14" s="1"/>
  <c r="E49" i="14"/>
  <c r="F49" i="14" s="1"/>
  <c r="C50" i="14"/>
  <c r="E125" i="14"/>
  <c r="F125" i="14" s="1"/>
  <c r="C273" i="14"/>
  <c r="E273" i="14" s="1"/>
  <c r="F273" i="14" s="1"/>
  <c r="E272" i="14"/>
  <c r="F272" i="14" s="1"/>
  <c r="E141" i="5"/>
  <c r="C116" i="15"/>
  <c r="C128" i="15"/>
  <c r="E128" i="15" s="1"/>
  <c r="C251" i="14"/>
  <c r="C314" i="14"/>
  <c r="C256" i="14"/>
  <c r="C315" i="14"/>
  <c r="E122" i="15"/>
  <c r="E110" i="15"/>
  <c r="F41" i="2"/>
  <c r="C48" i="2"/>
  <c r="D41" i="9"/>
  <c r="E33" i="9"/>
  <c r="F33" i="9" s="1"/>
  <c r="E300" i="14"/>
  <c r="F300" i="14" s="1"/>
  <c r="C235" i="15"/>
  <c r="E235" i="15" s="1"/>
  <c r="C181" i="15"/>
  <c r="E181" i="15" s="1"/>
  <c r="E211" i="15"/>
  <c r="C117" i="15"/>
  <c r="C129" i="15"/>
  <c r="E129" i="15" s="1"/>
  <c r="E121" i="15"/>
  <c r="D131" i="15"/>
  <c r="E263" i="15"/>
  <c r="C264" i="15"/>
  <c r="E116" i="15"/>
  <c r="D112" i="5"/>
  <c r="D111" i="5" s="1"/>
  <c r="D28" i="5"/>
  <c r="D22" i="10"/>
  <c r="D70" i="10"/>
  <c r="D72" i="10" s="1"/>
  <c r="D69" i="10" s="1"/>
  <c r="E265" i="14"/>
  <c r="F265" i="14"/>
  <c r="D37" i="19"/>
  <c r="D55" i="19"/>
  <c r="D47" i="19"/>
  <c r="D112" i="19"/>
  <c r="C55" i="19"/>
  <c r="C37" i="19"/>
  <c r="C112" i="19"/>
  <c r="C47" i="19"/>
  <c r="C131" i="15" l="1"/>
  <c r="E131" i="15" s="1"/>
  <c r="C70" i="14"/>
  <c r="E70" i="14" s="1"/>
  <c r="F70" i="14" s="1"/>
  <c r="E50" i="14"/>
  <c r="F50" i="14" s="1"/>
  <c r="D305" i="14"/>
  <c r="E291" i="14"/>
  <c r="F291" i="14" s="1"/>
  <c r="E117" i="15"/>
  <c r="D48" i="9"/>
  <c r="E48" i="9" s="1"/>
  <c r="F48" i="9" s="1"/>
  <c r="E41" i="9"/>
  <c r="F41" i="9" s="1"/>
  <c r="C257" i="14"/>
  <c r="D22" i="5"/>
  <c r="D99" i="5"/>
  <c r="D101" i="5" s="1"/>
  <c r="D98" i="5" s="1"/>
  <c r="C266" i="15"/>
  <c r="E264" i="15"/>
  <c r="C318" i="14"/>
  <c r="E48" i="2"/>
  <c r="F48" i="2" s="1"/>
  <c r="D309" i="14" l="1"/>
  <c r="E305" i="14"/>
  <c r="F305" i="14" s="1"/>
  <c r="C267" i="15"/>
  <c r="E266" i="15"/>
  <c r="D310" i="14" l="1"/>
  <c r="E309" i="14"/>
  <c r="F309" i="14" s="1"/>
  <c r="C269" i="15"/>
  <c r="E269" i="15" s="1"/>
  <c r="C268" i="15"/>
  <c r="E267" i="15"/>
  <c r="E310" i="14" l="1"/>
  <c r="F310" i="14" s="1"/>
  <c r="D312" i="14"/>
  <c r="C271" i="15"/>
  <c r="E271" i="15" s="1"/>
  <c r="E268" i="15"/>
  <c r="E312" i="14" l="1"/>
  <c r="F312" i="14" s="1"/>
  <c r="D313" i="14"/>
  <c r="D256" i="14" l="1"/>
  <c r="D251" i="14"/>
  <c r="E251" i="14" s="1"/>
  <c r="F251" i="14" s="1"/>
  <c r="E313" i="14"/>
  <c r="F313" i="14" s="1"/>
  <c r="D315" i="14"/>
  <c r="E315" i="14" s="1"/>
  <c r="F315" i="14" s="1"/>
  <c r="D314" i="14"/>
  <c r="E314" i="14" l="1"/>
  <c r="F314" i="14" s="1"/>
  <c r="D318" i="14"/>
  <c r="E318" i="14" s="1"/>
  <c r="F318" i="14" s="1"/>
  <c r="D257" i="14"/>
  <c r="E257" i="14" s="1"/>
  <c r="F257" i="14" s="1"/>
  <c r="E256" i="14"/>
  <c r="F256" i="14" s="1"/>
</calcChain>
</file>

<file path=xl/sharedStrings.xml><?xml version="1.0" encoding="utf-8"?>
<sst xmlns="http://schemas.openxmlformats.org/spreadsheetml/2006/main" count="2307" uniqueCount="983">
  <si>
    <t>ESSENT-SHARON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</si>
  <si>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</si>
  <si>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</si>
  <si>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</si>
  <si>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</si>
  <si>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</si>
  <si>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</si>
  <si>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</si>
  <si>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</si>
  <si>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</si>
  <si>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</si>
  <si>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</si>
  <si>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</si>
  <si>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</si>
  <si>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</si>
  <si>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</si>
  <si>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</si>
  <si>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</si>
  <si>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</si>
  <si>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</si>
  <si>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</si>
  <si>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</si>
  <si>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</si>
  <si>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</si>
  <si>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</si>
  <si>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</si>
  <si>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</si>
  <si>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</si>
  <si>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</si>
  <si>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</si>
  <si>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</si>
  <si>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</si>
  <si>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</si>
  <si>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</si>
  <si>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</si>
  <si>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</si>
  <si>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</si>
  <si>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</si>
  <si>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</si>
  <si>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</si>
  <si>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</si>
  <si>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</si>
  <si>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</si>
  <si>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</si>
  <si>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</si>
  <si>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</si>
  <si>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</si>
  <si>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</si>
  <si>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</si>
  <si>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</si>
  <si>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</si>
  <si>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</si>
  <si>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</si>
  <si>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</si>
  <si>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</si>
  <si>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</si>
  <si>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</si>
  <si>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</si>
  <si>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</si>
  <si>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</si>
  <si>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</si>
  <si>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</si>
  <si>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</si>
  <si>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</si>
  <si>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</si>
  <si>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</si>
  <si>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</si>
  <si>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</si>
  <si>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</si>
  <si>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</si>
  <si>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</si>
  <si>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</si>
  <si>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</si>
  <si>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</si>
  <si>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</si>
  <si>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</si>
  <si>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</si>
  <si>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</si>
  <si>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</si>
  <si>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</si>
  <si>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</si>
  <si>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</si>
  <si>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</si>
  <si>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</si>
  <si>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</si>
  <si>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</si>
  <si>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</si>
  <si>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</si>
  <si>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</si>
  <si>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</si>
  <si>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</si>
  <si>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</si>
  <si>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</si>
  <si>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</si>
  <si>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</si>
  <si>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</si>
  <si>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</si>
  <si>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</si>
  <si>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</si>
  <si>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</si>
  <si>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</si>
  <si>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</si>
  <si>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</si>
  <si>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</si>
  <si>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</si>
  <si>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</si>
  <si>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</si>
  <si>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</si>
  <si>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</si>
  <si>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</si>
  <si>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</si>
  <si>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</si>
  <si>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</si>
  <si>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</si>
  <si>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</si>
  <si>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</si>
  <si>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</si>
  <si>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</si>
  <si>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</si>
  <si>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</si>
  <si>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</si>
  <si>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</si>
  <si>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</si>
  <si>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</si>
  <si>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</si>
  <si>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</si>
  <si>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</si>
  <si>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</si>
  <si>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</si>
  <si>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</si>
  <si>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</si>
  <si>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</si>
  <si>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</si>
  <si>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</si>
  <si>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</si>
  <si>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</si>
  <si>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</si>
  <si>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</si>
  <si>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</si>
  <si>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</si>
  <si>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</si>
  <si>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</si>
  <si>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</si>
  <si>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</si>
  <si>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</si>
  <si>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</si>
  <si>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</si>
  <si>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</si>
  <si>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</si>
  <si>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</si>
  <si>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</si>
  <si>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</si>
  <si>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</si>
  <si>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</si>
  <si>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</si>
  <si>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</si>
  <si>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</si>
  <si>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</si>
  <si>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</si>
  <si>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</si>
  <si>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</si>
  <si>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</si>
  <si>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</si>
  <si>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</si>
  <si>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</si>
  <si>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</si>
  <si>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</si>
  <si>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</si>
  <si>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</si>
  <si>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</si>
  <si>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</si>
  <si>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</si>
  <si>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</si>
  <si>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</si>
  <si>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</si>
  <si>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</si>
  <si>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</si>
  <si>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</si>
  <si>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</si>
  <si>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</si>
  <si>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</si>
  <si>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</si>
  <si>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</si>
  <si>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</si>
  <si>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</si>
  <si>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</si>
  <si>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</si>
  <si>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</si>
  <si>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</si>
  <si>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</si>
  <si>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</si>
  <si>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</si>
  <si>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</si>
  <si>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</si>
  <si>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</si>
  <si>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</si>
  <si>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</si>
  <si>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</si>
  <si>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</si>
  <si>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</si>
  <si>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</si>
  <si>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</si>
  <si>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</si>
  <si>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</si>
  <si>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</si>
  <si>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</si>
  <si>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</si>
  <si>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</si>
  <si>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</si>
  <si>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</si>
  <si>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</si>
  <si>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</si>
  <si>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</si>
  <si>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</si>
  <si>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</si>
  <si>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</si>
  <si>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</si>
  <si>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</si>
  <si>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</si>
  <si>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</si>
  <si>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</si>
  <si>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</si>
  <si>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</si>
  <si>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</si>
  <si>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</si>
  <si>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</si>
  <si>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</si>
  <si>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</si>
  <si>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</si>
  <si>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</si>
  <si>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</si>
  <si>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</si>
  <si>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</si>
  <si>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</si>
  <si>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</si>
  <si>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</si>
  <si>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</si>
  <si>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</si>
  <si>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</si>
  <si>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</si>
  <si>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</si>
  <si>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</si>
  <si>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</si>
  <si>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</si>
  <si>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</si>
  <si>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</si>
  <si>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</si>
  <si>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</si>
  <si>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</si>
  <si>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</si>
  <si>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</si>
  <si>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</si>
  <si>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</si>
  <si>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</si>
  <si>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</si>
  <si>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</si>
  <si>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</si>
  <si>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</si>
  <si>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</si>
  <si>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</si>
  <si>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</si>
  <si>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</si>
  <si>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</si>
  <si>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</si>
  <si>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</si>
  <si>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</si>
  <si>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</si>
  <si>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</si>
  <si>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</si>
  <si>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</si>
  <si>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</si>
  <si>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</si>
  <si>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</si>
  <si>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</si>
  <si>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</si>
  <si>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</si>
  <si>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</si>
  <si>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</si>
  <si>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</si>
  <si>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</si>
  <si>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</si>
  <si>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</si>
  <si>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</si>
  <si>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</si>
  <si>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</si>
  <si>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</si>
  <si>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</si>
  <si>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</si>
  <si>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</si>
  <si>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</si>
  <si>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</si>
  <si>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</si>
  <si>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</si>
  <si>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</si>
  <si>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</si>
  <si>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</si>
  <si>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</si>
  <si>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</si>
  <si>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</si>
  <si>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</si>
  <si>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</si>
  <si>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</si>
  <si>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</si>
  <si>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</si>
  <si>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</si>
  <si>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</si>
  <si>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</si>
  <si>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</si>
  <si>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</si>
  <si>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</si>
  <si>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</si>
  <si>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</si>
  <si>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</si>
  <si>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</si>
  <si>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</si>
  <si>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</si>
  <si>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</si>
  <si>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</si>
  <si>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</si>
  <si>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</si>
  <si>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</si>
  <si>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</si>
  <si>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</si>
  <si>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</si>
  <si>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</si>
  <si>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</si>
  <si>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</si>
  <si>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</si>
  <si>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</si>
  <si>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</si>
  <si>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</si>
  <si>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</si>
  <si>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</si>
  <si>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</si>
  <si>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</si>
  <si>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</si>
  <si>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</si>
  <si>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</si>
  <si>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</si>
  <si>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</si>
  <si>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</si>
  <si>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</si>
  <si>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</si>
  <si>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</si>
  <si>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</si>
  <si>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</si>
  <si>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</si>
  <si>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</si>
  <si>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</si>
  <si>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</si>
  <si>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</si>
  <si>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</si>
  <si>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</si>
  <si>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</si>
  <si>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</si>
  <si>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</si>
  <si>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</si>
  <si>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</si>
  <si>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</si>
  <si>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</si>
  <si>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</si>
  <si>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</si>
  <si>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</si>
  <si>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</si>
  <si>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</si>
  <si>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</si>
  <si>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</si>
  <si>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</si>
  <si>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</si>
  <si>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</si>
  <si>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</si>
  <si>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</si>
  <si>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</si>
  <si>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</si>
  <si>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</si>
  <si>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</si>
  <si>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</si>
  <si>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</si>
  <si>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</si>
  <si>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</si>
  <si>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</si>
  <si>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</si>
  <si>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</si>
  <si>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</si>
  <si>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</si>
  <si>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</si>
  <si>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</si>
  <si>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</si>
  <si>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</si>
  <si>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</si>
  <si>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</si>
  <si>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</si>
  <si>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</si>
  <si>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</si>
  <si>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</si>
  <si>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</si>
  <si>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</si>
  <si>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</si>
  <si>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</si>
  <si>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</si>
  <si>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</si>
  <si>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</si>
  <si>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</si>
  <si>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</si>
  <si>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</si>
  <si>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</si>
  <si>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</si>
  <si>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</si>
  <si>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</si>
  <si>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</si>
  <si>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</si>
  <si>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</si>
  <si>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</si>
  <si>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</si>
  <si>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</si>
  <si>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</si>
  <si>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</si>
  <si>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</si>
  <si>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</si>
  <si>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</si>
  <si>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</si>
  <si>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</si>
  <si>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</si>
  <si>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</si>
  <si>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</si>
  <si>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</si>
  <si>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</si>
  <si>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</si>
  <si>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</si>
  <si>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</si>
  <si>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</si>
  <si>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</si>
  <si>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</si>
  <si>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</si>
  <si>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</si>
  <si>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</si>
  <si>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</si>
  <si>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</si>
  <si>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</si>
  <si>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</si>
  <si>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</si>
  <si>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</si>
  <si>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</si>
  <si>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</si>
  <si>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</si>
  <si>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</si>
  <si>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</si>
  <si>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</si>
  <si>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</si>
  <si>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</si>
  <si>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</si>
  <si>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</si>
  <si>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</si>
  <si>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</si>
  <si>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</si>
  <si>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</si>
  <si>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</si>
  <si>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</si>
  <si>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</si>
  <si>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</si>
  <si>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</si>
  <si>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</si>
  <si>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</si>
  <si>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</si>
  <si>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</si>
  <si>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</si>
  <si>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</si>
  <si>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</si>
  <si>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</si>
  <si>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</si>
  <si>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</si>
  <si>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</si>
  <si>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</si>
  <si>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</si>
  <si>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</si>
  <si>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</si>
  <si>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</si>
  <si>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</si>
  <si>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</si>
  <si>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SHARON HOSPITAL HOLDING CO,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</si>
  <si>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</si>
  <si>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</si>
  <si>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</si>
  <si>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</si>
  <si>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</si>
  <si>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</si>
  <si>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</si>
  <si>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</si>
  <si>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</si>
  <si>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</si>
  <si>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</si>
  <si>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</si>
  <si>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</si>
  <si>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</si>
  <si>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</si>
  <si>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</si>
  <si>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</si>
  <si>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</si>
  <si>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</si>
  <si>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</si>
  <si>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</si>
  <si>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</si>
  <si>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</si>
  <si>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</si>
  <si>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</si>
  <si>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</si>
  <si>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</si>
  <si>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</si>
  <si>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</si>
  <si>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</si>
  <si>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</si>
  <si>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</si>
  <si>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</si>
  <si>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</si>
  <si>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</si>
  <si>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</si>
  <si>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</si>
  <si>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</si>
  <si>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</si>
  <si>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</si>
  <si>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</si>
  <si>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</si>
  <si>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</si>
  <si>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</si>
  <si>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</si>
  <si>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</si>
  <si>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</si>
  <si>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</si>
  <si>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</si>
  <si>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</si>
  <si>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</si>
  <si>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</si>
  <si>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</si>
  <si>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</si>
  <si>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</si>
  <si>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</si>
  <si>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</si>
  <si>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</si>
  <si>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</si>
  <si>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</si>
  <si>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</si>
  <si>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</si>
  <si>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</si>
  <si>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</si>
  <si>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</si>
  <si>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</si>
  <si>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</si>
  <si>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</si>
  <si>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</si>
  <si>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</si>
  <si>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</si>
  <si>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</si>
  <si>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</si>
  <si>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</si>
  <si>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</si>
  <si>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</si>
  <si>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</si>
  <si>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</si>
  <si>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</si>
  <si>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</si>
  <si>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</si>
  <si>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</si>
  <si>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</si>
  <si>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</si>
  <si>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</si>
  <si>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</si>
  <si>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</si>
  <si>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</si>
  <si>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</si>
  <si>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</si>
  <si>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</si>
  <si>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</si>
  <si>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</si>
  <si>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</si>
  <si>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</si>
  <si>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</si>
  <si>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</si>
  <si>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</si>
  <si>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</si>
  <si>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</si>
  <si>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</si>
  <si>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</si>
  <si>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</si>
  <si>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</si>
  <si>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</si>
  <si>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</si>
  <si>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</si>
  <si>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</si>
  <si>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Sharon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</si>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</sst>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0</v>
      </c>
      <c r="D13" s="23">
        <v>0</v>
      </c>
      <c r="E13" s="23">
        <f t="shared" ref="E13:E22" si="0">D13-C13</f>
        <v>0</v>
      </c>
      <c r="F13" s="24">
        <f t="shared" ref="F13:F22" si="1">IF(C13=0,0,E13/C13)</f>
        <v>0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0.75" customHeight="1" x14ac:dyDescent="0.2">
      <c r="A15" s="21">
        <v>3</v>
      </c>
      <c r="B15" s="22" t="s">
        <v>18</v>
      </c>
      <c r="C15" s="23">
        <v>5879926</v>
      </c>
      <c r="D15" s="23">
        <v>6874918</v>
      </c>
      <c r="E15" s="23">
        <f t="shared" si="0"/>
        <v>994992</v>
      </c>
      <c r="F15" s="24">
        <f t="shared" si="1"/>
        <v>0.16921845615063863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1162381</v>
      </c>
      <c r="D19" s="23">
        <v>1160296</v>
      </c>
      <c r="E19" s="23">
        <f t="shared" si="0"/>
        <v>-2085</v>
      </c>
      <c r="F19" s="24">
        <f t="shared" si="1"/>
        <v>-1.7937320035341252E-3</v>
      </c>
    </row>
    <row r="20" spans="1:11" ht="24" customHeight="1" x14ac:dyDescent="0.2">
      <c r="A20" s="21">
        <v>8</v>
      </c>
      <c r="B20" s="22" t="s">
        <v>23</v>
      </c>
      <c r="C20" s="23">
        <v>598277</v>
      </c>
      <c r="D20" s="23">
        <v>659267</v>
      </c>
      <c r="E20" s="23">
        <f t="shared" si="0"/>
        <v>60990</v>
      </c>
      <c r="F20" s="24">
        <f t="shared" si="1"/>
        <v>0.10194274558440321</v>
      </c>
    </row>
    <row r="21" spans="1:11" ht="24" customHeight="1" x14ac:dyDescent="0.2">
      <c r="A21" s="21">
        <v>9</v>
      </c>
      <c r="B21" s="22" t="s">
        <v>24</v>
      </c>
      <c r="C21" s="23">
        <v>1640784</v>
      </c>
      <c r="D21" s="23">
        <v>899965</v>
      </c>
      <c r="E21" s="23">
        <f t="shared" si="0"/>
        <v>-740819</v>
      </c>
      <c r="F21" s="24">
        <f t="shared" si="1"/>
        <v>-0.45150306195087225</v>
      </c>
    </row>
    <row r="22" spans="1:11" ht="24" customHeight="1" x14ac:dyDescent="0.25">
      <c r="A22" s="25"/>
      <c r="B22" s="26" t="s">
        <v>25</v>
      </c>
      <c r="C22" s="27">
        <f>SUM(C13:C21)</f>
        <v>9281368</v>
      </c>
      <c r="D22" s="27">
        <f>SUM(D13:D21)</f>
        <v>9594446</v>
      </c>
      <c r="E22" s="27">
        <f t="shared" si="0"/>
        <v>313078</v>
      </c>
      <c r="F22" s="28">
        <f t="shared" si="1"/>
        <v>3.3731880903763327E-2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0</v>
      </c>
      <c r="D29" s="27">
        <f>SUM(D25:D28)</f>
        <v>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13068006</v>
      </c>
      <c r="D33" s="23">
        <v>17228877</v>
      </c>
      <c r="E33" s="23">
        <f>D33-C33</f>
        <v>4160871</v>
      </c>
      <c r="F33" s="24">
        <f>IF(C33=0,0,E33/C33)</f>
        <v>0.31840136896172222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57854109</v>
      </c>
      <c r="D36" s="23">
        <v>58811377</v>
      </c>
      <c r="E36" s="23">
        <f>D36-C36</f>
        <v>957268</v>
      </c>
      <c r="F36" s="24">
        <f>IF(C36=0,0,E36/C36)</f>
        <v>1.6546240475330803E-2</v>
      </c>
    </row>
    <row r="37" spans="1:8" ht="24" customHeight="1" x14ac:dyDescent="0.2">
      <c r="A37" s="21">
        <v>2</v>
      </c>
      <c r="B37" s="22" t="s">
        <v>39</v>
      </c>
      <c r="C37" s="23">
        <v>19433867</v>
      </c>
      <c r="D37" s="23">
        <v>22455088</v>
      </c>
      <c r="E37" s="23">
        <f>D37-C37</f>
        <v>3021221</v>
      </c>
      <c r="F37" s="24">
        <f>IF(C37=0,0,E37/C37)</f>
        <v>0.15546164847171179</v>
      </c>
    </row>
    <row r="38" spans="1:8" ht="24" customHeight="1" x14ac:dyDescent="0.25">
      <c r="A38" s="25"/>
      <c r="B38" s="26" t="s">
        <v>40</v>
      </c>
      <c r="C38" s="27">
        <f>C36-C37</f>
        <v>38420242</v>
      </c>
      <c r="D38" s="27">
        <f>D36-D37</f>
        <v>36356289</v>
      </c>
      <c r="E38" s="27">
        <f>D38-C38</f>
        <v>-2063953</v>
      </c>
      <c r="F38" s="28">
        <f>IF(C38=0,0,E38/C38)</f>
        <v>-5.3720458085610184E-2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242040</v>
      </c>
      <c r="D40" s="23">
        <v>1251635</v>
      </c>
      <c r="E40" s="23">
        <f>D40-C40</f>
        <v>1009595</v>
      </c>
      <c r="F40" s="24">
        <f>IF(C40=0,0,E40/C40)</f>
        <v>4.1711907122789622</v>
      </c>
    </row>
    <row r="41" spans="1:8" ht="24" customHeight="1" x14ac:dyDescent="0.25">
      <c r="A41" s="25"/>
      <c r="B41" s="26" t="s">
        <v>42</v>
      </c>
      <c r="C41" s="27">
        <f>+C38+C40</f>
        <v>38662282</v>
      </c>
      <c r="D41" s="27">
        <f>+D38+D40</f>
        <v>37607924</v>
      </c>
      <c r="E41" s="27">
        <f>D41-C41</f>
        <v>-1054358</v>
      </c>
      <c r="F41" s="28">
        <f>IF(C41=0,0,E41/C41)</f>
        <v>-2.7270971744502822E-2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61011656</v>
      </c>
      <c r="D43" s="27">
        <f>D22+D29+D31+D32+D33+D41</f>
        <v>64431247</v>
      </c>
      <c r="E43" s="27">
        <f>D43-C43</f>
        <v>3419591</v>
      </c>
      <c r="F43" s="28">
        <f>IF(C43=0,0,E43/C43)</f>
        <v>5.6048159059967163E-2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1338667</v>
      </c>
      <c r="D49" s="23">
        <v>1490434</v>
      </c>
      <c r="E49" s="23">
        <f t="shared" ref="E49:E56" si="2">D49-C49</f>
        <v>151767</v>
      </c>
      <c r="F49" s="24">
        <f t="shared" ref="F49:F56" si="3">IF(C49=0,0,E49/C49)</f>
        <v>0.11337173471819355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3591616</v>
      </c>
      <c r="D50" s="23">
        <v>4391197</v>
      </c>
      <c r="E50" s="23">
        <f t="shared" si="2"/>
        <v>799581</v>
      </c>
      <c r="F50" s="24">
        <f t="shared" si="3"/>
        <v>0.22262430059338192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322546</v>
      </c>
      <c r="D51" s="23">
        <v>441349</v>
      </c>
      <c r="E51" s="23">
        <f t="shared" si="2"/>
        <v>118803</v>
      </c>
      <c r="F51" s="24">
        <f t="shared" si="3"/>
        <v>0.368328858519405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897476</v>
      </c>
      <c r="D54" s="23">
        <v>660667</v>
      </c>
      <c r="E54" s="23">
        <f t="shared" si="2"/>
        <v>-236809</v>
      </c>
      <c r="F54" s="24">
        <f t="shared" si="3"/>
        <v>-0.26386109489278819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6150305</v>
      </c>
      <c r="D56" s="27">
        <f>SUM(D49:D55)</f>
        <v>6983647</v>
      </c>
      <c r="E56" s="27">
        <f t="shared" si="2"/>
        <v>833342</v>
      </c>
      <c r="F56" s="28">
        <f t="shared" si="3"/>
        <v>0.13549604450510991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33687500</v>
      </c>
      <c r="D60" s="23">
        <v>33337500</v>
      </c>
      <c r="E60" s="23">
        <f>D60-C60</f>
        <v>-350000</v>
      </c>
      <c r="F60" s="24">
        <f>IF(C60=0,0,E60/C60)</f>
        <v>-1.038961038961039E-2</v>
      </c>
    </row>
    <row r="61" spans="1:6" ht="24" customHeight="1" x14ac:dyDescent="0.25">
      <c r="A61" s="25"/>
      <c r="B61" s="26" t="s">
        <v>58</v>
      </c>
      <c r="C61" s="27">
        <f>SUM(C59:C60)</f>
        <v>33687500</v>
      </c>
      <c r="D61" s="27">
        <f>SUM(D59:D60)</f>
        <v>33337500</v>
      </c>
      <c r="E61" s="27">
        <f>D61-C61</f>
        <v>-350000</v>
      </c>
      <c r="F61" s="28">
        <f>IF(C61=0,0,E61/C61)</f>
        <v>-1.038961038961039E-2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1502000</v>
      </c>
      <c r="D63" s="23">
        <v>1386000</v>
      </c>
      <c r="E63" s="23">
        <f>D63-C63</f>
        <v>-116000</v>
      </c>
      <c r="F63" s="24">
        <f>IF(C63=0,0,E63/C63)</f>
        <v>-7.7230359520639141E-2</v>
      </c>
    </row>
    <row r="64" spans="1:6" ht="24" customHeight="1" x14ac:dyDescent="0.2">
      <c r="A64" s="21">
        <v>4</v>
      </c>
      <c r="B64" s="22" t="s">
        <v>60</v>
      </c>
      <c r="C64" s="23">
        <v>1404029</v>
      </c>
      <c r="D64" s="23">
        <v>1091186</v>
      </c>
      <c r="E64" s="23">
        <f>D64-C64</f>
        <v>-312843</v>
      </c>
      <c r="F64" s="24">
        <f>IF(C64=0,0,E64/C64)</f>
        <v>-0.22281804720557766</v>
      </c>
    </row>
    <row r="65" spans="1:6" ht="24" customHeight="1" x14ac:dyDescent="0.25">
      <c r="A65" s="25"/>
      <c r="B65" s="26" t="s">
        <v>61</v>
      </c>
      <c r="C65" s="27">
        <f>SUM(C61:C64)</f>
        <v>36593529</v>
      </c>
      <c r="D65" s="27">
        <f>SUM(D61:D64)</f>
        <v>35814686</v>
      </c>
      <c r="E65" s="27">
        <f>D65-C65</f>
        <v>-778843</v>
      </c>
      <c r="F65" s="28">
        <f>IF(C65=0,0,E65/C65)</f>
        <v>-2.1283626402908557E-2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18267822</v>
      </c>
      <c r="D70" s="23">
        <v>21632914</v>
      </c>
      <c r="E70" s="23">
        <f>D70-C70</f>
        <v>3365092</v>
      </c>
      <c r="F70" s="24">
        <f>IF(C70=0,0,E70/C70)</f>
        <v>0.18420871409848422</v>
      </c>
    </row>
    <row r="71" spans="1:6" ht="24" customHeight="1" x14ac:dyDescent="0.2">
      <c r="A71" s="21">
        <v>2</v>
      </c>
      <c r="B71" s="22" t="s">
        <v>65</v>
      </c>
      <c r="C71" s="23">
        <v>0</v>
      </c>
      <c r="D71" s="23">
        <v>0</v>
      </c>
      <c r="E71" s="23">
        <f>D71-C71</f>
        <v>0</v>
      </c>
      <c r="F71" s="24">
        <f>IF(C71=0,0,E71/C71)</f>
        <v>0</v>
      </c>
    </row>
    <row r="72" spans="1:6" ht="24" customHeight="1" x14ac:dyDescent="0.2">
      <c r="A72" s="21">
        <v>3</v>
      </c>
      <c r="B72" s="22" t="s">
        <v>66</v>
      </c>
      <c r="C72" s="23">
        <v>0</v>
      </c>
      <c r="D72" s="23">
        <v>0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18267822</v>
      </c>
      <c r="D73" s="27">
        <f>SUM(D70:D72)</f>
        <v>21632914</v>
      </c>
      <c r="E73" s="27">
        <f>D73-C73</f>
        <v>3365092</v>
      </c>
      <c r="F73" s="28">
        <f>IF(C73=0,0,E73/C73)</f>
        <v>0.18420871409848422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61011656</v>
      </c>
      <c r="D75" s="27">
        <f>D56+D65+D67+D73</f>
        <v>64431247</v>
      </c>
      <c r="E75" s="27">
        <f>D75-C75</f>
        <v>3419591</v>
      </c>
      <c r="F75" s="28">
        <f>IF(C75=0,0,E75/C75)</f>
        <v>5.6048159059967163E-2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54310740</v>
      </c>
      <c r="D11" s="51">
        <v>54034467</v>
      </c>
      <c r="E11" s="51">
        <v>59340161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543474</v>
      </c>
      <c r="D12" s="49">
        <v>531371</v>
      </c>
      <c r="E12" s="49">
        <v>458274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54854214</v>
      </c>
      <c r="D13" s="51">
        <f>+D11+D12</f>
        <v>54565838</v>
      </c>
      <c r="E13" s="51">
        <f>+E11+E12</f>
        <v>59798435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52980631</v>
      </c>
      <c r="D14" s="49">
        <v>52992832</v>
      </c>
      <c r="E14" s="49">
        <v>58301652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1873583</v>
      </c>
      <c r="D15" s="51">
        <f>+D13-D14</f>
        <v>1573006</v>
      </c>
      <c r="E15" s="51">
        <f>+E13-E14</f>
        <v>1496783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0</v>
      </c>
      <c r="D16" s="49">
        <v>0</v>
      </c>
      <c r="E16" s="49">
        <v>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1873583</v>
      </c>
      <c r="D17" s="51">
        <f>D15+D16</f>
        <v>1573006</v>
      </c>
      <c r="E17" s="51">
        <f>E15+E16</f>
        <v>1496783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3.4155680363955263E-2</v>
      </c>
      <c r="D20" s="169">
        <f>IF(+D27=0,0,+D24/+D27)</f>
        <v>2.8827670528948902E-2</v>
      </c>
      <c r="E20" s="169">
        <f>IF(+E27=0,0,+E24/+E27)</f>
        <v>2.5030471115172162E-2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0</v>
      </c>
      <c r="D21" s="169">
        <f>IF(+D27=0,0,+D26/+D27)</f>
        <v>0</v>
      </c>
      <c r="E21" s="169">
        <f>IF(+E27=0,0,+E26/+E27)</f>
        <v>0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3.4155680363955263E-2</v>
      </c>
      <c r="D22" s="169">
        <f>IF(+D27=0,0,+D28/+D27)</f>
        <v>2.8827670528948902E-2</v>
      </c>
      <c r="E22" s="169">
        <f>IF(+E27=0,0,+E28/+E27)</f>
        <v>2.5030471115172162E-2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1873583</v>
      </c>
      <c r="D24" s="51">
        <f>+D15</f>
        <v>1573006</v>
      </c>
      <c r="E24" s="51">
        <f>+E15</f>
        <v>1496783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54854214</v>
      </c>
      <c r="D25" s="51">
        <f>+D13</f>
        <v>54565838</v>
      </c>
      <c r="E25" s="51">
        <f>+E13</f>
        <v>59798435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0</v>
      </c>
      <c r="D26" s="51">
        <f>+D16</f>
        <v>0</v>
      </c>
      <c r="E26" s="51">
        <f>+E16</f>
        <v>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54854214</v>
      </c>
      <c r="D27" s="51">
        <f>SUM(D25:D26)</f>
        <v>54565838</v>
      </c>
      <c r="E27" s="51">
        <f>SUM(E25:E26)</f>
        <v>59798435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1873583</v>
      </c>
      <c r="D28" s="51">
        <f>+D17</f>
        <v>1573006</v>
      </c>
      <c r="E28" s="51">
        <f>+E17</f>
        <v>1496783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13049049</v>
      </c>
      <c r="D31" s="51">
        <v>14518956</v>
      </c>
      <c r="E31" s="52">
        <v>16034925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13049049</v>
      </c>
      <c r="D32" s="51">
        <v>14518956</v>
      </c>
      <c r="E32" s="51">
        <v>16034925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1519705</v>
      </c>
      <c r="D33" s="51">
        <f>+D32-C32</f>
        <v>1469907</v>
      </c>
      <c r="E33" s="51">
        <f>+E32-D32</f>
        <v>1515969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1.1317999999999999</v>
      </c>
      <c r="D34" s="171">
        <f>IF(C32=0,0,+D33/C32)</f>
        <v>0.11264476054921703</v>
      </c>
      <c r="E34" s="171">
        <f>IF(D32=0,0,+E33/D32)</f>
        <v>0.10441308589956468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1.5452388177923375</v>
      </c>
      <c r="D38" s="269">
        <f>IF(+D40=0,0,+D39/+D40)</f>
        <v>1.5585574127202277</v>
      </c>
      <c r="E38" s="269">
        <f>IF(+E40=0,0,+E39/+E40)</f>
        <v>1.3939115434608065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10916933</v>
      </c>
      <c r="D39" s="270">
        <v>9643867</v>
      </c>
      <c r="E39" s="270">
        <v>10031198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7064884</v>
      </c>
      <c r="D40" s="270">
        <v>6187688</v>
      </c>
      <c r="E40" s="270">
        <v>7196438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0</v>
      </c>
      <c r="D42" s="271">
        <f>IF((D48/365)=0,0,+D45/(D48/365))</f>
        <v>0</v>
      </c>
      <c r="E42" s="271">
        <f>IF((E48/365)=0,0,+E45/(E48/365))</f>
        <v>0</v>
      </c>
    </row>
    <row r="43" spans="1:14" ht="24" customHeight="1" x14ac:dyDescent="0.2">
      <c r="A43" s="17">
        <v>5</v>
      </c>
      <c r="B43" s="188" t="s">
        <v>16</v>
      </c>
      <c r="C43" s="272">
        <v>0</v>
      </c>
      <c r="D43" s="272">
        <v>0</v>
      </c>
      <c r="E43" s="272">
        <v>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0</v>
      </c>
      <c r="D45" s="270">
        <f>+D43+D44</f>
        <v>0</v>
      </c>
      <c r="E45" s="270">
        <f>+E43+E44</f>
        <v>0</v>
      </c>
    </row>
    <row r="46" spans="1:14" ht="24" customHeight="1" x14ac:dyDescent="0.2">
      <c r="A46" s="17">
        <v>8</v>
      </c>
      <c r="B46" s="45" t="s">
        <v>324</v>
      </c>
      <c r="C46" s="270">
        <f>+C14</f>
        <v>52980631</v>
      </c>
      <c r="D46" s="270">
        <f>+D14</f>
        <v>52992832</v>
      </c>
      <c r="E46" s="270">
        <f>+E14</f>
        <v>58301652</v>
      </c>
    </row>
    <row r="47" spans="1:14" ht="24" customHeight="1" x14ac:dyDescent="0.2">
      <c r="A47" s="17">
        <v>9</v>
      </c>
      <c r="B47" s="45" t="s">
        <v>347</v>
      </c>
      <c r="C47" s="270">
        <v>3555043</v>
      </c>
      <c r="D47" s="270">
        <v>3287347</v>
      </c>
      <c r="E47" s="270">
        <v>3230817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49425588</v>
      </c>
      <c r="D48" s="270">
        <f>+D46-D47</f>
        <v>49705485</v>
      </c>
      <c r="E48" s="270">
        <f>+E46-E47</f>
        <v>55070835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41.043048943910541</v>
      </c>
      <c r="D50" s="278">
        <f>IF((D55/365)=0,0,+D54/(D55/365))</f>
        <v>39.988473190639603</v>
      </c>
      <c r="E50" s="278">
        <f>IF((E55/365)=0,0,+E54/(E55/365))</f>
        <v>42.259190449449576</v>
      </c>
    </row>
    <row r="51" spans="1:5" ht="24" customHeight="1" x14ac:dyDescent="0.2">
      <c r="A51" s="17">
        <v>12</v>
      </c>
      <c r="B51" s="188" t="s">
        <v>350</v>
      </c>
      <c r="C51" s="279">
        <v>6542170</v>
      </c>
      <c r="D51" s="279">
        <v>6242425</v>
      </c>
      <c r="E51" s="279">
        <v>7311670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435106</v>
      </c>
      <c r="D53" s="270">
        <v>322546</v>
      </c>
      <c r="E53" s="270">
        <v>441349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6107064</v>
      </c>
      <c r="D54" s="280">
        <f>+D51+D52-D53</f>
        <v>5919879</v>
      </c>
      <c r="E54" s="280">
        <f>+E51+E52-E53</f>
        <v>6870321</v>
      </c>
    </row>
    <row r="55" spans="1:5" ht="24" customHeight="1" x14ac:dyDescent="0.2">
      <c r="A55" s="17">
        <v>16</v>
      </c>
      <c r="B55" s="45" t="s">
        <v>75</v>
      </c>
      <c r="C55" s="270">
        <f>+C11</f>
        <v>54310740</v>
      </c>
      <c r="D55" s="270">
        <f>+D11</f>
        <v>54034467</v>
      </c>
      <c r="E55" s="270">
        <f>+E11</f>
        <v>59340161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52.173029484242051</v>
      </c>
      <c r="D57" s="283">
        <f>IF((D61/365)=0,0,+D58/(D61/365))</f>
        <v>45.437764464022436</v>
      </c>
      <c r="E57" s="283">
        <f>IF((E61/365)=0,0,+E58/(E61/365))</f>
        <v>47.696750376129216</v>
      </c>
    </row>
    <row r="58" spans="1:5" ht="24" customHeight="1" x14ac:dyDescent="0.2">
      <c r="A58" s="17">
        <v>18</v>
      </c>
      <c r="B58" s="45" t="s">
        <v>54</v>
      </c>
      <c r="C58" s="281">
        <f>+C40</f>
        <v>7064884</v>
      </c>
      <c r="D58" s="281">
        <f>+D40</f>
        <v>6187688</v>
      </c>
      <c r="E58" s="281">
        <f>+E40</f>
        <v>7196438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52980631</v>
      </c>
      <c r="D59" s="281">
        <f t="shared" si="0"/>
        <v>52992832</v>
      </c>
      <c r="E59" s="281">
        <f t="shared" si="0"/>
        <v>58301652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3555043</v>
      </c>
      <c r="D60" s="176">
        <f t="shared" si="0"/>
        <v>3287347</v>
      </c>
      <c r="E60" s="176">
        <f t="shared" si="0"/>
        <v>3230817</v>
      </c>
    </row>
    <row r="61" spans="1:5" ht="24" customHeight="1" x14ac:dyDescent="0.2">
      <c r="A61" s="17">
        <v>21</v>
      </c>
      <c r="B61" s="45" t="s">
        <v>353</v>
      </c>
      <c r="C61" s="281">
        <f>+C59-C60</f>
        <v>49425588</v>
      </c>
      <c r="D61" s="281">
        <f>+D59-D60</f>
        <v>49705485</v>
      </c>
      <c r="E61" s="281">
        <f>+E59-E60</f>
        <v>55070835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22.633687160359376</v>
      </c>
      <c r="D65" s="284">
        <f>IF(D67=0,0,(D66/D67)*100)</f>
        <v>25.338415644923096</v>
      </c>
      <c r="E65" s="284">
        <f>IF(E67=0,0,(E66/E67)*100)</f>
        <v>27.156643452976848</v>
      </c>
    </row>
    <row r="66" spans="1:5" ht="24" customHeight="1" x14ac:dyDescent="0.2">
      <c r="A66" s="17">
        <v>2</v>
      </c>
      <c r="B66" s="45" t="s">
        <v>67</v>
      </c>
      <c r="C66" s="281">
        <f>+C32</f>
        <v>13049049</v>
      </c>
      <c r="D66" s="281">
        <f>+D32</f>
        <v>14518956</v>
      </c>
      <c r="E66" s="281">
        <f>+E32</f>
        <v>16034925</v>
      </c>
    </row>
    <row r="67" spans="1:5" ht="24" customHeight="1" x14ac:dyDescent="0.2">
      <c r="A67" s="17">
        <v>3</v>
      </c>
      <c r="B67" s="45" t="s">
        <v>43</v>
      </c>
      <c r="C67" s="281">
        <v>57653218</v>
      </c>
      <c r="D67" s="281">
        <v>57300173</v>
      </c>
      <c r="E67" s="281">
        <v>59046049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13.207569663112483</v>
      </c>
      <c r="D69" s="284">
        <f>IF(D75=0,0,(D72/D75)*100)</f>
        <v>12.188915573263253</v>
      </c>
      <c r="E69" s="284">
        <f>IF(E75=0,0,(E72/E75)*100)</f>
        <v>11.663312851566507</v>
      </c>
    </row>
    <row r="70" spans="1:5" ht="24" customHeight="1" x14ac:dyDescent="0.2">
      <c r="A70" s="17">
        <v>5</v>
      </c>
      <c r="B70" s="45" t="s">
        <v>358</v>
      </c>
      <c r="C70" s="281">
        <f>+C28</f>
        <v>1873583</v>
      </c>
      <c r="D70" s="281">
        <f>+D28</f>
        <v>1573006</v>
      </c>
      <c r="E70" s="281">
        <f>+E28</f>
        <v>1496783</v>
      </c>
    </row>
    <row r="71" spans="1:5" ht="24" customHeight="1" x14ac:dyDescent="0.2">
      <c r="A71" s="17">
        <v>6</v>
      </c>
      <c r="B71" s="45" t="s">
        <v>347</v>
      </c>
      <c r="C71" s="176">
        <f>+C47</f>
        <v>3555043</v>
      </c>
      <c r="D71" s="176">
        <f>+D47</f>
        <v>3287347</v>
      </c>
      <c r="E71" s="176">
        <f>+E47</f>
        <v>3230817</v>
      </c>
    </row>
    <row r="72" spans="1:5" ht="24" customHeight="1" x14ac:dyDescent="0.2">
      <c r="A72" s="17">
        <v>7</v>
      </c>
      <c r="B72" s="45" t="s">
        <v>359</v>
      </c>
      <c r="C72" s="281">
        <f>+C70+C71</f>
        <v>5428626</v>
      </c>
      <c r="D72" s="281">
        <f>+D70+D71</f>
        <v>4860353</v>
      </c>
      <c r="E72" s="281">
        <f>+E70+E71</f>
        <v>4727600</v>
      </c>
    </row>
    <row r="73" spans="1:5" ht="24" customHeight="1" x14ac:dyDescent="0.2">
      <c r="A73" s="17">
        <v>8</v>
      </c>
      <c r="B73" s="45" t="s">
        <v>54</v>
      </c>
      <c r="C73" s="270">
        <f>+C40</f>
        <v>7064884</v>
      </c>
      <c r="D73" s="270">
        <f>+D40</f>
        <v>6187688</v>
      </c>
      <c r="E73" s="270">
        <f>+E40</f>
        <v>7196438</v>
      </c>
    </row>
    <row r="74" spans="1:5" ht="24" customHeight="1" x14ac:dyDescent="0.2">
      <c r="A74" s="17">
        <v>9</v>
      </c>
      <c r="B74" s="45" t="s">
        <v>58</v>
      </c>
      <c r="C74" s="281">
        <v>34037500</v>
      </c>
      <c r="D74" s="281">
        <v>33687500</v>
      </c>
      <c r="E74" s="281">
        <v>33337500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41102384</v>
      </c>
      <c r="D75" s="270">
        <f>+D73+D74</f>
        <v>39875188</v>
      </c>
      <c r="E75" s="270">
        <f>+E73+E74</f>
        <v>40533938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72.28709838132329</v>
      </c>
      <c r="D77" s="286">
        <f>IF(D80=0,0,(D78/D80)*100)</f>
        <v>69.881718747381058</v>
      </c>
      <c r="E77" s="286">
        <f>IF(E80=0,0,(E78/E80)*100)</f>
        <v>67.522508768811747</v>
      </c>
    </row>
    <row r="78" spans="1:5" ht="24" customHeight="1" x14ac:dyDescent="0.2">
      <c r="A78" s="17">
        <v>12</v>
      </c>
      <c r="B78" s="45" t="s">
        <v>58</v>
      </c>
      <c r="C78" s="270">
        <f>+C74</f>
        <v>34037500</v>
      </c>
      <c r="D78" s="270">
        <f>+D74</f>
        <v>33687500</v>
      </c>
      <c r="E78" s="270">
        <f>+E74</f>
        <v>33337500</v>
      </c>
    </row>
    <row r="79" spans="1:5" ht="24" customHeight="1" x14ac:dyDescent="0.2">
      <c r="A79" s="17">
        <v>13</v>
      </c>
      <c r="B79" s="45" t="s">
        <v>67</v>
      </c>
      <c r="C79" s="270">
        <f>+C32</f>
        <v>13049049</v>
      </c>
      <c r="D79" s="270">
        <f>+D32</f>
        <v>14518956</v>
      </c>
      <c r="E79" s="270">
        <f>+E32</f>
        <v>16034925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47086549</v>
      </c>
      <c r="D80" s="270">
        <f>+D78+D79</f>
        <v>48206456</v>
      </c>
      <c r="E80" s="270">
        <f>+E78+E79</f>
        <v>49372425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FILING&amp;R&amp;8SHARON HOSPITAL HOLDING CO,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5822</v>
      </c>
      <c r="D11" s="296">
        <v>1954</v>
      </c>
      <c r="E11" s="296">
        <v>1960</v>
      </c>
      <c r="F11" s="297">
        <v>22</v>
      </c>
      <c r="G11" s="297">
        <v>47</v>
      </c>
      <c r="H11" s="298">
        <f>IF(F11=0,0,$C11/(F11*365))</f>
        <v>0.72503113325031132</v>
      </c>
      <c r="I11" s="298">
        <f>IF(G11=0,0,$C11/(G11*365))</f>
        <v>0.33937627513844359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1904</v>
      </c>
      <c r="D13" s="296">
        <v>373</v>
      </c>
      <c r="E13" s="296">
        <v>0</v>
      </c>
      <c r="F13" s="297">
        <v>7</v>
      </c>
      <c r="G13" s="297">
        <v>11</v>
      </c>
      <c r="H13" s="298">
        <f>IF(F13=0,0,$C13/(F13*365))</f>
        <v>0.74520547945205484</v>
      </c>
      <c r="I13" s="298">
        <f>IF(G13=0,0,$C13/(G13*365))</f>
        <v>0.47422166874221666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3399</v>
      </c>
      <c r="D16" s="296">
        <v>274</v>
      </c>
      <c r="E16" s="296">
        <v>273</v>
      </c>
      <c r="F16" s="297">
        <v>12</v>
      </c>
      <c r="G16" s="297">
        <v>12</v>
      </c>
      <c r="H16" s="298">
        <f t="shared" si="0"/>
        <v>0.77602739726027392</v>
      </c>
      <c r="I16" s="298">
        <f t="shared" si="0"/>
        <v>0.77602739726027392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3399</v>
      </c>
      <c r="D17" s="300">
        <f>SUM(D15:D16)</f>
        <v>274</v>
      </c>
      <c r="E17" s="300">
        <f>SUM(E15:E16)</f>
        <v>273</v>
      </c>
      <c r="F17" s="300">
        <f>SUM(F15:F16)</f>
        <v>12</v>
      </c>
      <c r="G17" s="300">
        <f>SUM(G15:G16)</f>
        <v>12</v>
      </c>
      <c r="H17" s="301">
        <f t="shared" si="0"/>
        <v>0.77602739726027392</v>
      </c>
      <c r="I17" s="301">
        <f t="shared" si="0"/>
        <v>0.77602739726027392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680</v>
      </c>
      <c r="D21" s="296">
        <v>259</v>
      </c>
      <c r="E21" s="296">
        <v>259</v>
      </c>
      <c r="F21" s="297">
        <v>4</v>
      </c>
      <c r="G21" s="297">
        <v>8</v>
      </c>
      <c r="H21" s="298">
        <f>IF(F21=0,0,$C21/(F21*365))</f>
        <v>0.46575342465753422</v>
      </c>
      <c r="I21" s="298">
        <f>IF(G21=0,0,$C21/(G21*365))</f>
        <v>0.23287671232876711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550</v>
      </c>
      <c r="D23" s="296">
        <v>216</v>
      </c>
      <c r="E23" s="296">
        <v>220</v>
      </c>
      <c r="F23" s="297">
        <v>4</v>
      </c>
      <c r="G23" s="297">
        <v>16</v>
      </c>
      <c r="H23" s="298">
        <f>IF(F23=0,0,$C23/(F23*365))</f>
        <v>0.37671232876712329</v>
      </c>
      <c r="I23" s="298">
        <f>IF(G23=0,0,$C23/(G23*365))</f>
        <v>9.4178082191780824E-2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11805</v>
      </c>
      <c r="D31" s="300">
        <f>SUM(D10:D29)-D13-D17-D23</f>
        <v>2487</v>
      </c>
      <c r="E31" s="300">
        <f>SUM(E10:E29)-E17-E23</f>
        <v>2492</v>
      </c>
      <c r="F31" s="300">
        <f>SUM(F10:F29)-F17-F23</f>
        <v>45</v>
      </c>
      <c r="G31" s="300">
        <f>SUM(G10:G29)-G17-G23</f>
        <v>78</v>
      </c>
      <c r="H31" s="301">
        <f>IF(F31=0,0,$C31/(F31*365))</f>
        <v>0.71872146118721458</v>
      </c>
      <c r="I31" s="301">
        <f>IF(G31=0,0,$C31/(G31*365))</f>
        <v>0.41464699683877765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12355</v>
      </c>
      <c r="D33" s="300">
        <f>SUM(D10:D29)-D13-D17</f>
        <v>2703</v>
      </c>
      <c r="E33" s="300">
        <f>SUM(E10:E29)-E17</f>
        <v>2712</v>
      </c>
      <c r="F33" s="300">
        <f>SUM(F10:F29)-F17</f>
        <v>49</v>
      </c>
      <c r="G33" s="300">
        <f>SUM(G10:G29)-G17</f>
        <v>94</v>
      </c>
      <c r="H33" s="301">
        <f>IF(F33=0,0,$C33/(F33*365))</f>
        <v>0.69080234833659493</v>
      </c>
      <c r="I33" s="301">
        <f>IF(G33=0,0,$C33/(G33*365))</f>
        <v>0.36009909647333138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12355</v>
      </c>
      <c r="D36" s="300">
        <f t="shared" si="1"/>
        <v>2703</v>
      </c>
      <c r="E36" s="300">
        <f t="shared" si="1"/>
        <v>2712</v>
      </c>
      <c r="F36" s="300">
        <f t="shared" si="1"/>
        <v>49</v>
      </c>
      <c r="G36" s="300">
        <f t="shared" si="1"/>
        <v>94</v>
      </c>
      <c r="H36" s="301">
        <f t="shared" si="1"/>
        <v>0.69080234833659493</v>
      </c>
      <c r="I36" s="301">
        <f t="shared" si="1"/>
        <v>0.36009909647333138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11622</v>
      </c>
      <c r="D37" s="300">
        <v>0</v>
      </c>
      <c r="E37" s="300">
        <v>0</v>
      </c>
      <c r="F37" s="302">
        <v>47</v>
      </c>
      <c r="G37" s="302">
        <v>94</v>
      </c>
      <c r="H37" s="301">
        <f>IF(F37=0,0,$C37/(F37*365))</f>
        <v>0.67747012532789275</v>
      </c>
      <c r="I37" s="301">
        <f>IF(G37=0,0,$C37/(G37*365))</f>
        <v>0.33873506266394637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733</v>
      </c>
      <c r="D38" s="300">
        <f t="shared" si="2"/>
        <v>2703</v>
      </c>
      <c r="E38" s="300">
        <f t="shared" si="2"/>
        <v>2712</v>
      </c>
      <c r="F38" s="300">
        <f t="shared" si="2"/>
        <v>2</v>
      </c>
      <c r="G38" s="300">
        <f t="shared" si="2"/>
        <v>0</v>
      </c>
      <c r="H38" s="301">
        <f t="shared" si="2"/>
        <v>1.3332223008702182E-2</v>
      </c>
      <c r="I38" s="301">
        <f t="shared" si="2"/>
        <v>2.1364033809385008E-2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6.3070039580106693E-2</v>
      </c>
      <c r="D40" s="148">
        <f t="shared" si="3"/>
        <v>0</v>
      </c>
      <c r="E40" s="148">
        <f t="shared" si="3"/>
        <v>0</v>
      </c>
      <c r="F40" s="148">
        <f t="shared" si="3"/>
        <v>4.2553191489361701E-2</v>
      </c>
      <c r="G40" s="148">
        <f t="shared" si="3"/>
        <v>0</v>
      </c>
      <c r="H40" s="148">
        <f t="shared" si="3"/>
        <v>1.9679425719694194E-2</v>
      </c>
      <c r="I40" s="148">
        <f t="shared" si="3"/>
        <v>6.3070039580106665E-2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94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FILING&amp;RESSENT-SHARON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517</v>
      </c>
      <c r="D12" s="296">
        <v>439</v>
      </c>
      <c r="E12" s="296">
        <f>+D12-C12</f>
        <v>-78</v>
      </c>
      <c r="F12" s="316">
        <f>IF(C12=0,0,+E12/C12)</f>
        <v>-0.15087040618955513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2202</v>
      </c>
      <c r="D13" s="296">
        <v>1786</v>
      </c>
      <c r="E13" s="296">
        <f>+D13-C13</f>
        <v>-416</v>
      </c>
      <c r="F13" s="316">
        <f>IF(C13=0,0,+E13/C13)</f>
        <v>-0.18891916439600362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3340</v>
      </c>
      <c r="D14" s="296">
        <v>2869</v>
      </c>
      <c r="E14" s="296">
        <f>+D14-C14</f>
        <v>-471</v>
      </c>
      <c r="F14" s="316">
        <f>IF(C14=0,0,+E14/C14)</f>
        <v>-0.14101796407185629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6059</v>
      </c>
      <c r="D16" s="300">
        <f>SUM(D12:D15)</f>
        <v>5094</v>
      </c>
      <c r="E16" s="300">
        <f>+D16-C16</f>
        <v>-965</v>
      </c>
      <c r="F16" s="309">
        <f>IF(C16=0,0,+E16/C16)</f>
        <v>-0.15926720580953954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276</v>
      </c>
      <c r="D19" s="296">
        <v>247</v>
      </c>
      <c r="E19" s="296">
        <f>+D19-C19</f>
        <v>-29</v>
      </c>
      <c r="F19" s="316">
        <f>IF(C19=0,0,+E19/C19)</f>
        <v>-0.10507246376811594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1772</v>
      </c>
      <c r="D20" s="296">
        <v>1675</v>
      </c>
      <c r="E20" s="296">
        <f>+D20-C20</f>
        <v>-97</v>
      </c>
      <c r="F20" s="316">
        <f>IF(C20=0,0,+E20/C20)</f>
        <v>-5.4740406320541758E-2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56</v>
      </c>
      <c r="D21" s="296">
        <v>63</v>
      </c>
      <c r="E21" s="296">
        <f>+D21-C21</f>
        <v>7</v>
      </c>
      <c r="F21" s="316">
        <f>IF(C21=0,0,+E21/C21)</f>
        <v>0.125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2104</v>
      </c>
      <c r="D23" s="300">
        <f>SUM(D19:D22)</f>
        <v>1985</v>
      </c>
      <c r="E23" s="300">
        <f>+D23-C23</f>
        <v>-119</v>
      </c>
      <c r="F23" s="309">
        <f>IF(C23=0,0,+E23/C23)</f>
        <v>-5.6558935361216728E-2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453</v>
      </c>
      <c r="D63" s="296">
        <v>474</v>
      </c>
      <c r="E63" s="296">
        <f>+D63-C63</f>
        <v>21</v>
      </c>
      <c r="F63" s="316">
        <f>IF(C63=0,0,+E63/C63)</f>
        <v>4.6357615894039736E-2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1481</v>
      </c>
      <c r="D64" s="296">
        <v>1460</v>
      </c>
      <c r="E64" s="296">
        <f>+D64-C64</f>
        <v>-21</v>
      </c>
      <c r="F64" s="316">
        <f>IF(C64=0,0,+E64/C64)</f>
        <v>-1.4179608372721135E-2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1934</v>
      </c>
      <c r="D65" s="300">
        <f>SUM(D63:D64)</f>
        <v>1934</v>
      </c>
      <c r="E65" s="300">
        <f>+D65-C65</f>
        <v>0</v>
      </c>
      <c r="F65" s="309">
        <f>IF(C65=0,0,+E65/C65)</f>
        <v>0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100</v>
      </c>
      <c r="D68" s="296">
        <v>91</v>
      </c>
      <c r="E68" s="296">
        <f>+D68-C68</f>
        <v>-9</v>
      </c>
      <c r="F68" s="316">
        <f>IF(C68=0,0,+E68/C68)</f>
        <v>-0.09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1081</v>
      </c>
      <c r="D69" s="296">
        <v>965</v>
      </c>
      <c r="E69" s="296">
        <f>+D69-C69</f>
        <v>-116</v>
      </c>
      <c r="F69" s="318">
        <f>IF(C69=0,0,+E69/C69)</f>
        <v>-0.10730804810360776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1181</v>
      </c>
      <c r="D70" s="300">
        <f>SUM(D68:D69)</f>
        <v>1056</v>
      </c>
      <c r="E70" s="300">
        <f>+D70-C70</f>
        <v>-125</v>
      </c>
      <c r="F70" s="309">
        <f>IF(C70=0,0,+E70/C70)</f>
        <v>-0.10584250635055038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1597</v>
      </c>
      <c r="D73" s="319">
        <v>1720</v>
      </c>
      <c r="E73" s="296">
        <f>+D73-C73</f>
        <v>123</v>
      </c>
      <c r="F73" s="316">
        <f>IF(C73=0,0,+E73/C73)</f>
        <v>7.7019411396368184E-2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13668</v>
      </c>
      <c r="D74" s="319">
        <v>15938</v>
      </c>
      <c r="E74" s="296">
        <f>+D74-C74</f>
        <v>2270</v>
      </c>
      <c r="F74" s="316">
        <f>IF(C74=0,0,+E74/C74)</f>
        <v>0.16608135791630085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15265</v>
      </c>
      <c r="D75" s="300">
        <f>SUM(D73:D74)</f>
        <v>17658</v>
      </c>
      <c r="E75" s="300">
        <f>SUM(E73:E74)</f>
        <v>2393</v>
      </c>
      <c r="F75" s="309">
        <f>IF(C75=0,0,+E75/C75)</f>
        <v>0.15676383884703571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863</v>
      </c>
      <c r="D81" s="319">
        <v>620</v>
      </c>
      <c r="E81" s="296">
        <f t="shared" si="0"/>
        <v>-243</v>
      </c>
      <c r="F81" s="316">
        <f t="shared" si="1"/>
        <v>-0.28157589803012745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1692</v>
      </c>
      <c r="D83" s="319">
        <v>0</v>
      </c>
      <c r="E83" s="296">
        <f t="shared" si="0"/>
        <v>-1692</v>
      </c>
      <c r="F83" s="316">
        <f t="shared" si="1"/>
        <v>-1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2555</v>
      </c>
      <c r="D84" s="320">
        <f>SUM(D79:D83)</f>
        <v>620</v>
      </c>
      <c r="E84" s="300">
        <f t="shared" si="0"/>
        <v>-1935</v>
      </c>
      <c r="F84" s="309">
        <f t="shared" si="1"/>
        <v>-0.75733855185909982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9896</v>
      </c>
      <c r="D87" s="322">
        <v>9569</v>
      </c>
      <c r="E87" s="323">
        <f t="shared" ref="E87:E92" si="2">+D87-C87</f>
        <v>-327</v>
      </c>
      <c r="F87" s="318">
        <f t="shared" ref="F87:F92" si="3">IF(C87=0,0,+E87/C87)</f>
        <v>-3.3043654001616816E-2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5230</v>
      </c>
      <c r="D88" s="322">
        <v>4985</v>
      </c>
      <c r="E88" s="296">
        <f t="shared" si="2"/>
        <v>-245</v>
      </c>
      <c r="F88" s="316">
        <f t="shared" si="3"/>
        <v>-4.6845124282982792E-2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554</v>
      </c>
      <c r="D89" s="322">
        <v>745</v>
      </c>
      <c r="E89" s="296">
        <f t="shared" si="2"/>
        <v>191</v>
      </c>
      <c r="F89" s="316">
        <f t="shared" si="3"/>
        <v>0.34476534296028882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46771</v>
      </c>
      <c r="D91" s="322">
        <v>49100</v>
      </c>
      <c r="E91" s="296">
        <f t="shared" si="2"/>
        <v>2329</v>
      </c>
      <c r="F91" s="316">
        <f t="shared" si="3"/>
        <v>4.97958136452075E-2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62451</v>
      </c>
      <c r="D92" s="320">
        <f>SUM(D87:D91)</f>
        <v>64399</v>
      </c>
      <c r="E92" s="300">
        <f t="shared" si="2"/>
        <v>1948</v>
      </c>
      <c r="F92" s="309">
        <f t="shared" si="3"/>
        <v>3.1192454884629548E-2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93.2</v>
      </c>
      <c r="D96" s="325">
        <v>97.2</v>
      </c>
      <c r="E96" s="326">
        <f>+D96-C96</f>
        <v>4</v>
      </c>
      <c r="F96" s="316">
        <f>IF(C96=0,0,+E96/C96)</f>
        <v>4.2918454935622317E-2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0</v>
      </c>
      <c r="D97" s="325">
        <v>0</v>
      </c>
      <c r="E97" s="326">
        <f>+D97-C97</f>
        <v>0</v>
      </c>
      <c r="F97" s="316">
        <f>IF(C97=0,0,+E97/C97)</f>
        <v>0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163.1</v>
      </c>
      <c r="D98" s="325">
        <v>174.3</v>
      </c>
      <c r="E98" s="326">
        <f>+D98-C98</f>
        <v>11.200000000000017</v>
      </c>
      <c r="F98" s="316">
        <f>IF(C98=0,0,+E98/C98)</f>
        <v>6.8669527896995819E-2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256.3</v>
      </c>
      <c r="D99" s="327">
        <f>SUM(D96:D98)</f>
        <v>271.5</v>
      </c>
      <c r="E99" s="327">
        <f>+D99-C99</f>
        <v>15.199999999999989</v>
      </c>
      <c r="F99" s="309">
        <f>IF(C99=0,0,+E99/C99)</f>
        <v>5.9305501365587154E-2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FILING&amp;RESSENT-SHARON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1481</v>
      </c>
      <c r="D12" s="296">
        <v>1460</v>
      </c>
      <c r="E12" s="296">
        <f>+D12-C12</f>
        <v>-21</v>
      </c>
      <c r="F12" s="316">
        <f>IF(C12=0,0,+E12/C12)</f>
        <v>-1.4179608372721135E-2</v>
      </c>
    </row>
    <row r="13" spans="1:16" ht="15.75" customHeight="1" x14ac:dyDescent="0.25">
      <c r="A13" s="294"/>
      <c r="B13" s="135" t="s">
        <v>589</v>
      </c>
      <c r="C13" s="300">
        <f>SUM(C11:C12)</f>
        <v>1481</v>
      </c>
      <c r="D13" s="300">
        <f>SUM(D11:D12)</f>
        <v>1460</v>
      </c>
      <c r="E13" s="300">
        <f>+D13-C13</f>
        <v>-21</v>
      </c>
      <c r="F13" s="309">
        <f>IF(C13=0,0,+E13/C13)</f>
        <v>-1.4179608372721135E-2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1081</v>
      </c>
      <c r="D16" s="296">
        <v>965</v>
      </c>
      <c r="E16" s="296">
        <f>+D16-C16</f>
        <v>-116</v>
      </c>
      <c r="F16" s="316">
        <f>IF(C16=0,0,+E16/C16)</f>
        <v>-0.10730804810360776</v>
      </c>
    </row>
    <row r="17" spans="1:6" ht="15.75" customHeight="1" x14ac:dyDescent="0.25">
      <c r="A17" s="294"/>
      <c r="B17" s="135" t="s">
        <v>590</v>
      </c>
      <c r="C17" s="300">
        <f>SUM(C15:C16)</f>
        <v>1081</v>
      </c>
      <c r="D17" s="300">
        <f>SUM(D15:D16)</f>
        <v>965</v>
      </c>
      <c r="E17" s="300">
        <f>+D17-C17</f>
        <v>-116</v>
      </c>
      <c r="F17" s="309">
        <f>IF(C17=0,0,+E17/C17)</f>
        <v>-0.10730804810360776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13668</v>
      </c>
      <c r="D20" s="296">
        <v>15938</v>
      </c>
      <c r="E20" s="296">
        <f>+D20-C20</f>
        <v>2270</v>
      </c>
      <c r="F20" s="316">
        <f>IF(C20=0,0,+E20/C20)</f>
        <v>0.16608135791630085</v>
      </c>
    </row>
    <row r="21" spans="1:6" ht="15.75" customHeight="1" x14ac:dyDescent="0.25">
      <c r="A21" s="294"/>
      <c r="B21" s="135" t="s">
        <v>592</v>
      </c>
      <c r="C21" s="300">
        <f>SUM(C19:C20)</f>
        <v>13668</v>
      </c>
      <c r="D21" s="300">
        <f>SUM(D19:D20)</f>
        <v>15938</v>
      </c>
      <c r="E21" s="300">
        <f>+D21-C21</f>
        <v>2270</v>
      </c>
      <c r="F21" s="309">
        <f>IF(C21=0,0,+E21/C21)</f>
        <v>0.16608135791630085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593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FILING&amp;RESSENT-SHARON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31529133</v>
      </c>
      <c r="D15" s="361">
        <v>36041403</v>
      </c>
      <c r="E15" s="361">
        <f t="shared" ref="E15:E24" si="0">D15-C15</f>
        <v>4512270</v>
      </c>
      <c r="F15" s="362">
        <f t="shared" ref="F15:F24" si="1">IF(C15=0,0,E15/C15)</f>
        <v>0.14311430637816777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14533658</v>
      </c>
      <c r="D16" s="361">
        <v>17417313</v>
      </c>
      <c r="E16" s="361">
        <f t="shared" si="0"/>
        <v>2883655</v>
      </c>
      <c r="F16" s="362">
        <f t="shared" si="1"/>
        <v>0.19841219602112559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0.46095964643239634</v>
      </c>
      <c r="D17" s="366">
        <f>IF(LN_IA1=0,0,LN_IA2/LN_IA1)</f>
        <v>0.48325846249659038</v>
      </c>
      <c r="E17" s="367">
        <f t="shared" si="0"/>
        <v>2.2298816064194038E-2</v>
      </c>
      <c r="F17" s="362">
        <f t="shared" si="1"/>
        <v>4.8374768240074889E-2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1479</v>
      </c>
      <c r="D18" s="369">
        <v>1530</v>
      </c>
      <c r="E18" s="369">
        <f t="shared" si="0"/>
        <v>51</v>
      </c>
      <c r="F18" s="362">
        <f t="shared" si="1"/>
        <v>3.4482758620689655E-2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1.1483000000000001</v>
      </c>
      <c r="D19" s="372">
        <v>1.2059</v>
      </c>
      <c r="E19" s="373">
        <f t="shared" si="0"/>
        <v>5.7599999999999874E-2</v>
      </c>
      <c r="F19" s="362">
        <f t="shared" si="1"/>
        <v>5.0161107724462133E-2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1698.3357000000001</v>
      </c>
      <c r="D20" s="376">
        <f>LN_IA4*LN_IA5</f>
        <v>1845.027</v>
      </c>
      <c r="E20" s="376">
        <f t="shared" si="0"/>
        <v>146.69129999999996</v>
      </c>
      <c r="F20" s="362">
        <f t="shared" si="1"/>
        <v>8.6373559714960912E-2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8557.5884673448236</v>
      </c>
      <c r="D21" s="378">
        <f>IF(LN_IA6=0,0,LN_IA2/LN_IA6)</f>
        <v>9440.1399003917013</v>
      </c>
      <c r="E21" s="378">
        <f t="shared" si="0"/>
        <v>882.55143304687772</v>
      </c>
      <c r="F21" s="362">
        <f t="shared" si="1"/>
        <v>0.10313085706500541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8145</v>
      </c>
      <c r="D22" s="369">
        <v>8685</v>
      </c>
      <c r="E22" s="369">
        <f t="shared" si="0"/>
        <v>540</v>
      </c>
      <c r="F22" s="362">
        <f t="shared" si="1"/>
        <v>6.6298342541436461E-2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1784.3656230816453</v>
      </c>
      <c r="D23" s="378">
        <f>IF(LN_IA8=0,0,LN_IA2/LN_IA8)</f>
        <v>2005.4476683937824</v>
      </c>
      <c r="E23" s="378">
        <f t="shared" si="0"/>
        <v>221.0820453121371</v>
      </c>
      <c r="F23" s="362">
        <f t="shared" si="1"/>
        <v>0.12389952062084827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5.5070993914807298</v>
      </c>
      <c r="D24" s="379">
        <f>IF(LN_IA4=0,0,LN_IA8/LN_IA4)</f>
        <v>5.6764705882352944</v>
      </c>
      <c r="E24" s="379">
        <f t="shared" si="0"/>
        <v>0.16937119675456458</v>
      </c>
      <c r="F24" s="362">
        <f t="shared" si="1"/>
        <v>3.0755064456722041E-2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28028963</v>
      </c>
      <c r="D27" s="361">
        <v>29404805</v>
      </c>
      <c r="E27" s="361">
        <f t="shared" ref="E27:E32" si="2">D27-C27</f>
        <v>1375842</v>
      </c>
      <c r="F27" s="362">
        <f t="shared" ref="F27:F32" si="3">IF(C27=0,0,E27/C27)</f>
        <v>4.9086439623185492E-2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6631214</v>
      </c>
      <c r="D28" s="361">
        <v>6745593</v>
      </c>
      <c r="E28" s="361">
        <f t="shared" si="2"/>
        <v>114379</v>
      </c>
      <c r="F28" s="362">
        <f t="shared" si="3"/>
        <v>1.724857620339202E-2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0.23658435026654392</v>
      </c>
      <c r="D29" s="366">
        <f>IF(LN_IA11=0,0,LN_IA12/LN_IA11)</f>
        <v>0.22940444597405085</v>
      </c>
      <c r="E29" s="367">
        <f t="shared" si="2"/>
        <v>-7.1799042924930723E-3</v>
      </c>
      <c r="F29" s="362">
        <f t="shared" si="3"/>
        <v>-3.0348179346621828E-2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0.88898616400267017</v>
      </c>
      <c r="D30" s="366">
        <f>IF(LN_IA1=0,0,LN_IA11/LN_IA1)</f>
        <v>0.81586182979613753</v>
      </c>
      <c r="E30" s="367">
        <f t="shared" si="2"/>
        <v>-7.3124334206532637E-2</v>
      </c>
      <c r="F30" s="362">
        <f t="shared" si="3"/>
        <v>-8.2255874351620392E-2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1314.8105365599492</v>
      </c>
      <c r="D31" s="376">
        <f>LN_IA14*LN_IA4</f>
        <v>1248.2685995880904</v>
      </c>
      <c r="E31" s="376">
        <f t="shared" si="2"/>
        <v>-66.541936971858831</v>
      </c>
      <c r="F31" s="362">
        <f t="shared" si="3"/>
        <v>-5.0609525191331495E-2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5043.47494609361</v>
      </c>
      <c r="D32" s="378">
        <f>IF(LN_IA15=0,0,LN_IA12/LN_IA15)</f>
        <v>5403.9595342107805</v>
      </c>
      <c r="E32" s="378">
        <f t="shared" si="2"/>
        <v>360.48458811717046</v>
      </c>
      <c r="F32" s="362">
        <f t="shared" si="3"/>
        <v>7.1475439448030059E-2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59558096</v>
      </c>
      <c r="D35" s="361">
        <f>LN_IA1+LN_IA11</f>
        <v>65446208</v>
      </c>
      <c r="E35" s="361">
        <f>D35-C35</f>
        <v>5888112</v>
      </c>
      <c r="F35" s="362">
        <f>IF(C35=0,0,E35/C35)</f>
        <v>9.886333505355846E-2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21164872</v>
      </c>
      <c r="D36" s="361">
        <f>LN_IA2+LN_IA12</f>
        <v>24162906</v>
      </c>
      <c r="E36" s="361">
        <f>D36-C36</f>
        <v>2998034</v>
      </c>
      <c r="F36" s="362">
        <f>IF(C36=0,0,E36/C36)</f>
        <v>0.14165141182994162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38393224</v>
      </c>
      <c r="D37" s="361">
        <f>LN_IA17-LN_IA18</f>
        <v>41283302</v>
      </c>
      <c r="E37" s="361">
        <f>D37-C37</f>
        <v>2890078</v>
      </c>
      <c r="F37" s="362">
        <f>IF(C37=0,0,E37/C37)</f>
        <v>7.5275730946689962E-2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13888946</v>
      </c>
      <c r="D42" s="361">
        <v>14771380</v>
      </c>
      <c r="E42" s="361">
        <f t="shared" ref="E42:E53" si="4">D42-C42</f>
        <v>882434</v>
      </c>
      <c r="F42" s="362">
        <f t="shared" ref="F42:F53" si="5">IF(C42=0,0,E42/C42)</f>
        <v>6.3534986744134506E-2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6039862</v>
      </c>
      <c r="D43" s="361">
        <v>7159770</v>
      </c>
      <c r="E43" s="361">
        <f t="shared" si="4"/>
        <v>1119908</v>
      </c>
      <c r="F43" s="362">
        <f t="shared" si="5"/>
        <v>0.18541946819314745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0.43486827582164983</v>
      </c>
      <c r="D44" s="366">
        <f>IF(LN_IB1=0,0,LN_IB2/LN_IB1)</f>
        <v>0.484705558993134</v>
      </c>
      <c r="E44" s="367">
        <f t="shared" si="4"/>
        <v>4.983728317148417E-2</v>
      </c>
      <c r="F44" s="362">
        <f t="shared" si="5"/>
        <v>0.11460317052863996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808</v>
      </c>
      <c r="D45" s="369">
        <v>794</v>
      </c>
      <c r="E45" s="369">
        <f t="shared" si="4"/>
        <v>-14</v>
      </c>
      <c r="F45" s="362">
        <f t="shared" si="5"/>
        <v>-1.7326732673267328E-2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0.98860000000000003</v>
      </c>
      <c r="D46" s="372">
        <v>1.0126999999999999</v>
      </c>
      <c r="E46" s="373">
        <f t="shared" si="4"/>
        <v>2.4099999999999899E-2</v>
      </c>
      <c r="F46" s="362">
        <f t="shared" si="5"/>
        <v>2.4377908152943453E-2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798.78880000000004</v>
      </c>
      <c r="D47" s="376">
        <f>LN_IB4*LN_IB5</f>
        <v>804.0838</v>
      </c>
      <c r="E47" s="376">
        <f t="shared" si="4"/>
        <v>5.2949999999999591</v>
      </c>
      <c r="F47" s="362">
        <f t="shared" si="5"/>
        <v>6.6287859819766613E-3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7561.2752707599302</v>
      </c>
      <c r="D48" s="378">
        <f>IF(LN_IB6=0,0,LN_IB2/LN_IB6)</f>
        <v>8904.2584864910841</v>
      </c>
      <c r="E48" s="378">
        <f t="shared" si="4"/>
        <v>1342.9832157311539</v>
      </c>
      <c r="F48" s="362">
        <f t="shared" si="5"/>
        <v>0.1776133215152978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996.31319658489338</v>
      </c>
      <c r="D49" s="378">
        <f>LN_IA7-LN_IB7</f>
        <v>535.88141390061719</v>
      </c>
      <c r="E49" s="378">
        <f t="shared" si="4"/>
        <v>-460.43178268427619</v>
      </c>
      <c r="F49" s="362">
        <f t="shared" si="5"/>
        <v>-0.46213558574002483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795843.82272421115</v>
      </c>
      <c r="D50" s="391">
        <f>LN_IB8*LN_IB6</f>
        <v>430893.56363858108</v>
      </c>
      <c r="E50" s="391">
        <f t="shared" si="4"/>
        <v>-364950.25908563007</v>
      </c>
      <c r="F50" s="362">
        <f t="shared" si="5"/>
        <v>-0.45857019765057422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2277</v>
      </c>
      <c r="D51" s="369">
        <v>2402</v>
      </c>
      <c r="E51" s="369">
        <f t="shared" si="4"/>
        <v>125</v>
      </c>
      <c r="F51" s="362">
        <f t="shared" si="5"/>
        <v>5.4896794027228808E-2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2652.5524813350899</v>
      </c>
      <c r="D52" s="378">
        <f>IF(LN_IB10=0,0,LN_IB2/LN_IB10)</f>
        <v>2980.7535387177354</v>
      </c>
      <c r="E52" s="378">
        <f t="shared" si="4"/>
        <v>328.20105738264556</v>
      </c>
      <c r="F52" s="362">
        <f t="shared" si="5"/>
        <v>0.12373027854945759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2.8180693069306932</v>
      </c>
      <c r="D53" s="379">
        <f>IF(LN_IB4=0,0,LN_IB10/LN_IB4)</f>
        <v>3.0251889168765742</v>
      </c>
      <c r="E53" s="379">
        <f t="shared" si="4"/>
        <v>0.20711960994588097</v>
      </c>
      <c r="F53" s="362">
        <f t="shared" si="5"/>
        <v>7.3496989387910328E-2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37387778</v>
      </c>
      <c r="D56" s="361">
        <v>37413457</v>
      </c>
      <c r="E56" s="361">
        <f t="shared" ref="E56:E63" si="6">D56-C56</f>
        <v>25679</v>
      </c>
      <c r="F56" s="362">
        <f t="shared" ref="F56:F63" si="7">IF(C56=0,0,E56/C56)</f>
        <v>6.8682872782651054E-4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18476015</v>
      </c>
      <c r="D57" s="361">
        <v>16915611</v>
      </c>
      <c r="E57" s="361">
        <f t="shared" si="6"/>
        <v>-1560404</v>
      </c>
      <c r="F57" s="362">
        <f t="shared" si="7"/>
        <v>-8.4455657781182789E-2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0.49417258763010735</v>
      </c>
      <c r="D58" s="366">
        <f>IF(LN_IB13=0,0,LN_IB14/LN_IB13)</f>
        <v>0.45212638329572163</v>
      </c>
      <c r="E58" s="367">
        <f t="shared" si="6"/>
        <v>-4.2046204334385717E-2</v>
      </c>
      <c r="F58" s="362">
        <f t="shared" si="7"/>
        <v>-8.5084048340329399E-2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2.6919089468704103</v>
      </c>
      <c r="D59" s="366">
        <f>IF(LN_IB1=0,0,LN_IB13/LN_IB1)</f>
        <v>2.5328342375593884</v>
      </c>
      <c r="E59" s="367">
        <f t="shared" si="6"/>
        <v>-0.15907470931102186</v>
      </c>
      <c r="F59" s="362">
        <f t="shared" si="7"/>
        <v>-5.9093644120452406E-2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2175.0624290712917</v>
      </c>
      <c r="D60" s="376">
        <f>LN_IB16*LN_IB4</f>
        <v>2011.0703846221545</v>
      </c>
      <c r="E60" s="376">
        <f t="shared" si="6"/>
        <v>-163.99204444913721</v>
      </c>
      <c r="F60" s="362">
        <f t="shared" si="7"/>
        <v>-7.5396477019355507E-2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8494.4757231124113</v>
      </c>
      <c r="D61" s="378">
        <f>IF(LN_IB17=0,0,LN_IB14/LN_IB17)</f>
        <v>8411.2476268095179</v>
      </c>
      <c r="E61" s="378">
        <f t="shared" si="6"/>
        <v>-83.228096302893391</v>
      </c>
      <c r="F61" s="362">
        <f t="shared" si="7"/>
        <v>-9.7979085485452744E-3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-3451.0007770188013</v>
      </c>
      <c r="D62" s="378">
        <f>LN_IA16-LN_IB18</f>
        <v>-3007.2880925987374</v>
      </c>
      <c r="E62" s="378">
        <f t="shared" si="6"/>
        <v>443.71268442006385</v>
      </c>
      <c r="F62" s="362">
        <f t="shared" si="7"/>
        <v>-0.12857507519988787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-7506142.1327894293</v>
      </c>
      <c r="D63" s="361">
        <f>LN_IB19*LN_IB17</f>
        <v>-6047868.0210521687</v>
      </c>
      <c r="E63" s="361">
        <f t="shared" si="6"/>
        <v>1458274.1117372606</v>
      </c>
      <c r="F63" s="362">
        <f t="shared" si="7"/>
        <v>-0.19427744451667309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51276724</v>
      </c>
      <c r="D66" s="361">
        <f>LN_IB1+LN_IB13</f>
        <v>52184837</v>
      </c>
      <c r="E66" s="361">
        <f>D66-C66</f>
        <v>908113</v>
      </c>
      <c r="F66" s="362">
        <f>IF(C66=0,0,E66/C66)</f>
        <v>1.7710043254713388E-2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24515877</v>
      </c>
      <c r="D67" s="361">
        <f>LN_IB2+LN_IB14</f>
        <v>24075381</v>
      </c>
      <c r="E67" s="361">
        <f>D67-C67</f>
        <v>-440496</v>
      </c>
      <c r="F67" s="362">
        <f>IF(C67=0,0,E67/C67)</f>
        <v>-1.7967784713555219E-2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26760847</v>
      </c>
      <c r="D68" s="361">
        <f>LN_IB21-LN_IB22</f>
        <v>28109456</v>
      </c>
      <c r="E68" s="361">
        <f>D68-C68</f>
        <v>1348609</v>
      </c>
      <c r="F68" s="362">
        <f>IF(C68=0,0,E68/C68)</f>
        <v>5.0394854841477925E-2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-6710298.3100652182</v>
      </c>
      <c r="D70" s="353">
        <f>LN_IB9+LN_IB20</f>
        <v>-5616974.4574135877</v>
      </c>
      <c r="E70" s="361">
        <f>D70-C70</f>
        <v>1093323.8526516305</v>
      </c>
      <c r="F70" s="362">
        <f>IF(C70=0,0,E70/C70)</f>
        <v>-0.1629322277687241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51276724</v>
      </c>
      <c r="D73" s="400">
        <v>52184837</v>
      </c>
      <c r="E73" s="400">
        <f>D73-C73</f>
        <v>908113</v>
      </c>
      <c r="F73" s="401">
        <f>IF(C73=0,0,E73/C73)</f>
        <v>1.7710043254713388E-2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28057281</v>
      </c>
      <c r="D74" s="400">
        <v>29672248</v>
      </c>
      <c r="E74" s="400">
        <f>D74-C74</f>
        <v>1614967</v>
      </c>
      <c r="F74" s="401">
        <f>IF(C74=0,0,E74/C74)</f>
        <v>5.7559640223156336E-2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23219443</v>
      </c>
      <c r="D76" s="353">
        <f>LN_IB32-LN_IB33</f>
        <v>22512589</v>
      </c>
      <c r="E76" s="400">
        <f>D76-C76</f>
        <v>-706854</v>
      </c>
      <c r="F76" s="401">
        <f>IF(C76=0,0,E76/C76)</f>
        <v>-3.0442332316068046E-2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0.45282617898912575</v>
      </c>
      <c r="D77" s="366">
        <f>IF(LN_IB1=0,0,LN_IB34/LN_IB32)</f>
        <v>0.43140096423028013</v>
      </c>
      <c r="E77" s="405">
        <f>D77-C77</f>
        <v>-2.1425214758845623E-2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1035642</v>
      </c>
      <c r="D83" s="361">
        <v>998989</v>
      </c>
      <c r="E83" s="361">
        <f t="shared" ref="E83:E95" si="8">D83-C83</f>
        <v>-36653</v>
      </c>
      <c r="F83" s="362">
        <f t="shared" ref="F83:F95" si="9">IF(C83=0,0,E83/C83)</f>
        <v>-3.5391573536028863E-2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92627</v>
      </c>
      <c r="D84" s="361">
        <v>123857</v>
      </c>
      <c r="E84" s="361">
        <f t="shared" si="8"/>
        <v>31230</v>
      </c>
      <c r="F84" s="362">
        <f t="shared" si="9"/>
        <v>0.3371587118226867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8.9439207757120706E-2</v>
      </c>
      <c r="D85" s="366">
        <f>IF(LN_IC1=0,0,LN_IC2/LN_IC1)</f>
        <v>0.12398234615195963</v>
      </c>
      <c r="E85" s="367">
        <f t="shared" si="8"/>
        <v>3.4543138394838926E-2</v>
      </c>
      <c r="F85" s="362">
        <f t="shared" si="9"/>
        <v>0.38621919023079421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65</v>
      </c>
      <c r="D86" s="369">
        <v>57</v>
      </c>
      <c r="E86" s="369">
        <f t="shared" si="8"/>
        <v>-8</v>
      </c>
      <c r="F86" s="362">
        <f t="shared" si="9"/>
        <v>-0.12307692307692308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0.81330000000000002</v>
      </c>
      <c r="D87" s="372">
        <v>1.1084000000000001</v>
      </c>
      <c r="E87" s="373">
        <f t="shared" si="8"/>
        <v>0.29510000000000003</v>
      </c>
      <c r="F87" s="362">
        <f t="shared" si="9"/>
        <v>0.36284273945653511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52.8645</v>
      </c>
      <c r="D88" s="376">
        <f>LN_IC4*LN_IC5</f>
        <v>63.178800000000003</v>
      </c>
      <c r="E88" s="376">
        <f t="shared" si="8"/>
        <v>10.314300000000003</v>
      </c>
      <c r="F88" s="362">
        <f t="shared" si="9"/>
        <v>0.19510824844650007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1752.1588211370579</v>
      </c>
      <c r="D89" s="378">
        <f>IF(LN_IC6=0,0,LN_IC2/LN_IC6)</f>
        <v>1960.4202675581048</v>
      </c>
      <c r="E89" s="378">
        <f t="shared" si="8"/>
        <v>208.26144642104691</v>
      </c>
      <c r="F89" s="362">
        <f t="shared" si="9"/>
        <v>0.11885991378675154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5809.1164496228721</v>
      </c>
      <c r="D90" s="378">
        <f>LN_IB7-LN_IC7</f>
        <v>6943.8382189329795</v>
      </c>
      <c r="E90" s="378">
        <f t="shared" si="8"/>
        <v>1134.7217693101074</v>
      </c>
      <c r="F90" s="362">
        <f t="shared" si="9"/>
        <v>0.19533465702581562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6805.4296462077655</v>
      </c>
      <c r="D91" s="378">
        <f>LN_IA7-LN_IC7</f>
        <v>7479.7196328335967</v>
      </c>
      <c r="E91" s="378">
        <f t="shared" si="8"/>
        <v>674.28998662583126</v>
      </c>
      <c r="F91" s="362">
        <f t="shared" si="9"/>
        <v>9.9081178071037779E-2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359765.63553195039</v>
      </c>
      <c r="D92" s="353">
        <f>LN_IC9*LN_IC6</f>
        <v>472559.71073886729</v>
      </c>
      <c r="E92" s="353">
        <f t="shared" si="8"/>
        <v>112794.0752069169</v>
      </c>
      <c r="F92" s="362">
        <f t="shared" si="9"/>
        <v>0.31352098162499398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178</v>
      </c>
      <c r="D93" s="369">
        <v>186</v>
      </c>
      <c r="E93" s="369">
        <f t="shared" si="8"/>
        <v>8</v>
      </c>
      <c r="F93" s="362">
        <f t="shared" si="9"/>
        <v>4.49438202247191E-2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520.37640449438197</v>
      </c>
      <c r="D94" s="411">
        <f>IF(LN_IC11=0,0,LN_IC2/LN_IC11)</f>
        <v>665.89784946236557</v>
      </c>
      <c r="E94" s="411">
        <f t="shared" si="8"/>
        <v>145.5214449679836</v>
      </c>
      <c r="F94" s="362">
        <f t="shared" si="9"/>
        <v>0.27964650916364647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2.7384615384615385</v>
      </c>
      <c r="D95" s="379">
        <f>IF(LN_IC4=0,0,LN_IC11/LN_IC4)</f>
        <v>3.263157894736842</v>
      </c>
      <c r="E95" s="379">
        <f t="shared" si="8"/>
        <v>0.52469635627530353</v>
      </c>
      <c r="F95" s="362">
        <f t="shared" si="9"/>
        <v>0.19160260201064455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2361759</v>
      </c>
      <c r="D98" s="361">
        <v>2223498</v>
      </c>
      <c r="E98" s="361">
        <f t="shared" ref="E98:E106" si="10">D98-C98</f>
        <v>-138261</v>
      </c>
      <c r="F98" s="362">
        <f t="shared" ref="F98:F106" si="11">IF(C98=0,0,E98/C98)</f>
        <v>-5.8541536202466042E-2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623982</v>
      </c>
      <c r="D99" s="361">
        <v>127109</v>
      </c>
      <c r="E99" s="361">
        <f t="shared" si="10"/>
        <v>-496873</v>
      </c>
      <c r="F99" s="362">
        <f t="shared" si="11"/>
        <v>-0.79629380334689137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0.2642022323192163</v>
      </c>
      <c r="D100" s="366">
        <f>IF(LN_IC14=0,0,LN_IC15/LN_IC14)</f>
        <v>5.7166230866859333E-2</v>
      </c>
      <c r="E100" s="367">
        <f t="shared" si="10"/>
        <v>-0.20703600145235695</v>
      </c>
      <c r="F100" s="362">
        <f t="shared" si="11"/>
        <v>-0.78362699525646118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2.2804781961334131</v>
      </c>
      <c r="D101" s="366">
        <f>IF(LN_IC1=0,0,LN_IC14/LN_IC1)</f>
        <v>2.2257482314620081</v>
      </c>
      <c r="E101" s="367">
        <f t="shared" si="10"/>
        <v>-5.4729964671405007E-2</v>
      </c>
      <c r="F101" s="362">
        <f t="shared" si="11"/>
        <v>-2.3999336965466512E-2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148.23108274867184</v>
      </c>
      <c r="D102" s="376">
        <f>LN_IC17*LN_IC4</f>
        <v>126.86764919333446</v>
      </c>
      <c r="E102" s="376">
        <f t="shared" si="10"/>
        <v>-21.36343355533738</v>
      </c>
      <c r="F102" s="362">
        <f t="shared" si="11"/>
        <v>-0.14412249549279366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4209.5219735928895</v>
      </c>
      <c r="D103" s="378">
        <f>IF(LN_IC18=0,0,LN_IC15/LN_IC18)</f>
        <v>1001.9023825868937</v>
      </c>
      <c r="E103" s="378">
        <f t="shared" si="10"/>
        <v>-3207.619591005996</v>
      </c>
      <c r="F103" s="362">
        <f t="shared" si="11"/>
        <v>-0.76199141164435946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4284.9537495195218</v>
      </c>
      <c r="D104" s="378">
        <f>LN_IB18-LN_IC19</f>
        <v>7409.3452442226244</v>
      </c>
      <c r="E104" s="378">
        <f t="shared" si="10"/>
        <v>3124.3914947031026</v>
      </c>
      <c r="F104" s="362">
        <f t="shared" si="11"/>
        <v>0.72915407664632204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833.95297250072053</v>
      </c>
      <c r="D105" s="378">
        <f>LN_IA16-LN_IC19</f>
        <v>4402.057151623887</v>
      </c>
      <c r="E105" s="378">
        <f t="shared" si="10"/>
        <v>3568.1041791231664</v>
      </c>
      <c r="F105" s="362">
        <f t="shared" si="11"/>
        <v>4.27854363109196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123617.75207525515</v>
      </c>
      <c r="D106" s="361">
        <f>LN_IC21*LN_IC18</f>
        <v>558478.64244122838</v>
      </c>
      <c r="E106" s="361">
        <f t="shared" si="10"/>
        <v>434860.89036597323</v>
      </c>
      <c r="F106" s="362">
        <f t="shared" si="11"/>
        <v>3.5177867504113944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3397401</v>
      </c>
      <c r="D109" s="361">
        <f>LN_IC1+LN_IC14</f>
        <v>3222487</v>
      </c>
      <c r="E109" s="361">
        <f>D109-C109</f>
        <v>-174914</v>
      </c>
      <c r="F109" s="362">
        <f>IF(C109=0,0,E109/C109)</f>
        <v>-5.148464958949503E-2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716609</v>
      </c>
      <c r="D110" s="361">
        <f>LN_IC2+LN_IC15</f>
        <v>250966</v>
      </c>
      <c r="E110" s="361">
        <f>D110-C110</f>
        <v>-465643</v>
      </c>
      <c r="F110" s="362">
        <f>IF(C110=0,0,E110/C110)</f>
        <v>-0.64978670376732639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2680792</v>
      </c>
      <c r="D111" s="361">
        <f>LN_IC23-LN_IC24</f>
        <v>2971521</v>
      </c>
      <c r="E111" s="361">
        <f>D111-C111</f>
        <v>290729</v>
      </c>
      <c r="F111" s="362">
        <f>IF(C111=0,0,E111/C111)</f>
        <v>0.10844892106511807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483383.38760720554</v>
      </c>
      <c r="D113" s="361">
        <f>LN_IC10+LN_IC22</f>
        <v>1031038.3531800957</v>
      </c>
      <c r="E113" s="361">
        <f>D113-C113</f>
        <v>547654.96557289013</v>
      </c>
      <c r="F113" s="362">
        <f>IF(C113=0,0,E113/C113)</f>
        <v>1.1329619089390621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2015194</v>
      </c>
      <c r="D118" s="361">
        <v>3259950</v>
      </c>
      <c r="E118" s="361">
        <f t="shared" ref="E118:E130" si="12">D118-C118</f>
        <v>1244756</v>
      </c>
      <c r="F118" s="362">
        <f t="shared" ref="F118:F130" si="13">IF(C118=0,0,E118/C118)</f>
        <v>0.61768544368433009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750725</v>
      </c>
      <c r="D119" s="361">
        <v>1005381</v>
      </c>
      <c r="E119" s="361">
        <f t="shared" si="12"/>
        <v>254656</v>
      </c>
      <c r="F119" s="362">
        <f t="shared" si="13"/>
        <v>0.3392134270205468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0.37253237157315872</v>
      </c>
      <c r="D120" s="366">
        <f>IF(LN_ID1=0,0,LN_1D2/LN_ID1)</f>
        <v>0.30840380987438459</v>
      </c>
      <c r="E120" s="367">
        <f t="shared" si="12"/>
        <v>-6.4128561698774122E-2</v>
      </c>
      <c r="F120" s="362">
        <f t="shared" si="13"/>
        <v>-0.17214225284091966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217</v>
      </c>
      <c r="D121" s="369">
        <v>223</v>
      </c>
      <c r="E121" s="369">
        <f t="shared" si="12"/>
        <v>6</v>
      </c>
      <c r="F121" s="362">
        <f t="shared" si="13"/>
        <v>2.7649769585253458E-2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0.85470000000000002</v>
      </c>
      <c r="D122" s="372">
        <v>0.84930000000000005</v>
      </c>
      <c r="E122" s="373">
        <f t="shared" si="12"/>
        <v>-5.3999999999999604E-3</v>
      </c>
      <c r="F122" s="362">
        <f t="shared" si="13"/>
        <v>-6.3180063180062716E-3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185.4699</v>
      </c>
      <c r="D123" s="376">
        <f>LN_ID4*LN_ID5</f>
        <v>189.3939</v>
      </c>
      <c r="E123" s="376">
        <f t="shared" si="12"/>
        <v>3.9240000000000066</v>
      </c>
      <c r="F123" s="362">
        <f t="shared" si="13"/>
        <v>2.1157071848316125E-2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4047.6918357102691</v>
      </c>
      <c r="D124" s="378">
        <f>IF(LN_ID6=0,0,LN_1D2/LN_ID6)</f>
        <v>5308.4127841498594</v>
      </c>
      <c r="E124" s="378">
        <f t="shared" si="12"/>
        <v>1260.7209484395903</v>
      </c>
      <c r="F124" s="362">
        <f t="shared" si="13"/>
        <v>0.31146663323453455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3513.5834350496611</v>
      </c>
      <c r="D125" s="378">
        <f>LN_IB7-LN_ID7</f>
        <v>3595.8457023412248</v>
      </c>
      <c r="E125" s="378">
        <f t="shared" si="12"/>
        <v>82.262267291563603</v>
      </c>
      <c r="F125" s="362">
        <f t="shared" si="13"/>
        <v>2.3412640915527569E-2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4509.8966316345541</v>
      </c>
      <c r="D126" s="378">
        <f>LN_IA7-LN_ID7</f>
        <v>4131.7271162418419</v>
      </c>
      <c r="E126" s="378">
        <f t="shared" si="12"/>
        <v>-378.16951539271213</v>
      </c>
      <c r="F126" s="362">
        <f t="shared" si="13"/>
        <v>-8.385325569106214E-2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836450.07727959752</v>
      </c>
      <c r="D127" s="391">
        <f>LN_ID9*LN_ID6</f>
        <v>782523.91228079575</v>
      </c>
      <c r="E127" s="391">
        <f t="shared" si="12"/>
        <v>-53926.164998801774</v>
      </c>
      <c r="F127" s="362">
        <f t="shared" si="13"/>
        <v>-6.4470273198117059E-2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589</v>
      </c>
      <c r="D128" s="369">
        <v>762</v>
      </c>
      <c r="E128" s="369">
        <f t="shared" si="12"/>
        <v>173</v>
      </c>
      <c r="F128" s="362">
        <f t="shared" si="13"/>
        <v>0.29371816638370118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1274.5755517826826</v>
      </c>
      <c r="D129" s="378">
        <f>IF(LN_ID11=0,0,LN_1D2/LN_ID11)</f>
        <v>1319.3976377952756</v>
      </c>
      <c r="E129" s="378">
        <f t="shared" si="12"/>
        <v>44.82208601259299</v>
      </c>
      <c r="F129" s="362">
        <f t="shared" si="13"/>
        <v>3.5166284140553825E-2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2.7142857142857144</v>
      </c>
      <c r="D130" s="379">
        <f>IF(LN_ID4=0,0,LN_ID11/LN_ID4)</f>
        <v>3.4170403587443947</v>
      </c>
      <c r="E130" s="379">
        <f t="shared" si="12"/>
        <v>0.7027546444586803</v>
      </c>
      <c r="F130" s="362">
        <f t="shared" si="13"/>
        <v>0.258909605853198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2820836</v>
      </c>
      <c r="D133" s="361">
        <v>3851898</v>
      </c>
      <c r="E133" s="361">
        <f t="shared" ref="E133:E141" si="14">D133-C133</f>
        <v>1031062</v>
      </c>
      <c r="F133" s="362">
        <f t="shared" ref="F133:F141" si="15">IF(C133=0,0,E133/C133)</f>
        <v>0.36551646391353487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729848</v>
      </c>
      <c r="D134" s="361">
        <v>932748</v>
      </c>
      <c r="E134" s="361">
        <f t="shared" si="14"/>
        <v>202900</v>
      </c>
      <c r="F134" s="362">
        <f t="shared" si="15"/>
        <v>0.27800309105457577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0.25873464462308338</v>
      </c>
      <c r="D135" s="366">
        <f>IF(LN_ID14=0,0,LN_ID15/LN_ID14)</f>
        <v>0.24215282959206086</v>
      </c>
      <c r="E135" s="367">
        <f t="shared" si="14"/>
        <v>-1.6581815031022518E-2</v>
      </c>
      <c r="F135" s="362">
        <f t="shared" si="15"/>
        <v>-6.4088112572548581E-2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1.3997838421511775</v>
      </c>
      <c r="D136" s="366">
        <f>IF(LN_ID1=0,0,LN_ID14/LN_ID1)</f>
        <v>1.181581926103161</v>
      </c>
      <c r="E136" s="367">
        <f t="shared" si="14"/>
        <v>-0.21820191604801642</v>
      </c>
      <c r="F136" s="362">
        <f t="shared" si="15"/>
        <v>-0.15588257949362047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303.75309374680552</v>
      </c>
      <c r="D137" s="376">
        <f>LN_ID17*LN_ID4</f>
        <v>263.4927695210049</v>
      </c>
      <c r="E137" s="376">
        <f t="shared" si="14"/>
        <v>-40.260324225800616</v>
      </c>
      <c r="F137" s="362">
        <f t="shared" si="15"/>
        <v>-0.13254292731372064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2402.7672969427181</v>
      </c>
      <c r="D138" s="378">
        <f>IF(LN_ID18=0,0,LN_ID15/LN_ID18)</f>
        <v>3539.937743626183</v>
      </c>
      <c r="E138" s="378">
        <f t="shared" si="14"/>
        <v>1137.1704466834649</v>
      </c>
      <c r="F138" s="362">
        <f t="shared" si="15"/>
        <v>0.47327531389760502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6091.7084261696928</v>
      </c>
      <c r="D139" s="378">
        <f>LN_IB18-LN_ID19</f>
        <v>4871.3098831833349</v>
      </c>
      <c r="E139" s="378">
        <f t="shared" si="14"/>
        <v>-1220.3985429863578</v>
      </c>
      <c r="F139" s="362">
        <f t="shared" si="15"/>
        <v>-0.20033764875278387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2640.7076491508919</v>
      </c>
      <c r="D140" s="378">
        <f>LN_IA16-LN_ID19</f>
        <v>1864.0217905845975</v>
      </c>
      <c r="E140" s="378">
        <f t="shared" si="14"/>
        <v>-776.68585856629443</v>
      </c>
      <c r="F140" s="362">
        <f t="shared" si="15"/>
        <v>-0.29412035020841265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802123.1181104373</v>
      </c>
      <c r="D141" s="353">
        <f>LN_ID21*LN_ID18</f>
        <v>491156.26404863823</v>
      </c>
      <c r="E141" s="353">
        <f t="shared" si="14"/>
        <v>-310966.85406179907</v>
      </c>
      <c r="F141" s="362">
        <f t="shared" si="15"/>
        <v>-0.38767970532297358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4836030</v>
      </c>
      <c r="D144" s="361">
        <f>LN_ID1+LN_ID14</f>
        <v>7111848</v>
      </c>
      <c r="E144" s="361">
        <f>D144-C144</f>
        <v>2275818</v>
      </c>
      <c r="F144" s="362">
        <f>IF(C144=0,0,E144/C144)</f>
        <v>0.47059633625101582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1480573</v>
      </c>
      <c r="D145" s="361">
        <f>LN_1D2+LN_ID15</f>
        <v>1938129</v>
      </c>
      <c r="E145" s="361">
        <f>D145-C145</f>
        <v>457556</v>
      </c>
      <c r="F145" s="362">
        <f>IF(C145=0,0,E145/C145)</f>
        <v>0.30903981093806249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3355457</v>
      </c>
      <c r="D146" s="361">
        <f>LN_ID23-LN_ID24</f>
        <v>5173719</v>
      </c>
      <c r="E146" s="361">
        <f>D146-C146</f>
        <v>1818262</v>
      </c>
      <c r="F146" s="362">
        <f>IF(C146=0,0,E146/C146)</f>
        <v>0.54188207448344594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1638573.1953900349</v>
      </c>
      <c r="D148" s="361">
        <f>LN_ID10+LN_ID22</f>
        <v>1273680.1763294339</v>
      </c>
      <c r="E148" s="361">
        <f>D148-C148</f>
        <v>-364893.01906060101</v>
      </c>
      <c r="F148" s="415">
        <f>IF(C148=0,0,E148/C148)</f>
        <v>-0.2226894838065164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2513807</v>
      </c>
      <c r="D153" s="361">
        <v>2271146</v>
      </c>
      <c r="E153" s="361">
        <f t="shared" ref="E153:E165" si="16">D153-C153</f>
        <v>-242661</v>
      </c>
      <c r="F153" s="362">
        <f t="shared" ref="F153:F165" si="17">IF(C153=0,0,E153/C153)</f>
        <v>-9.6531277063036269E-2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814018</v>
      </c>
      <c r="D154" s="361">
        <v>760368</v>
      </c>
      <c r="E154" s="361">
        <f t="shared" si="16"/>
        <v>-53650</v>
      </c>
      <c r="F154" s="362">
        <f t="shared" si="17"/>
        <v>-6.5907633492134077E-2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0.32381881345703944</v>
      </c>
      <c r="D155" s="366">
        <f>IF(LN_IE1=0,0,LN_IE2/LN_IE1)</f>
        <v>0.33479485686961563</v>
      </c>
      <c r="E155" s="367">
        <f t="shared" si="16"/>
        <v>1.0976043412576186E-2</v>
      </c>
      <c r="F155" s="362">
        <f t="shared" si="17"/>
        <v>3.3895632237662933E-2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170</v>
      </c>
      <c r="D156" s="419">
        <v>148</v>
      </c>
      <c r="E156" s="419">
        <f t="shared" si="16"/>
        <v>-22</v>
      </c>
      <c r="F156" s="362">
        <f t="shared" si="17"/>
        <v>-0.12941176470588237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0.86509999999999998</v>
      </c>
      <c r="D157" s="372">
        <v>0.95279999999999998</v>
      </c>
      <c r="E157" s="373">
        <f t="shared" si="16"/>
        <v>8.77E-2</v>
      </c>
      <c r="F157" s="362">
        <f t="shared" si="17"/>
        <v>0.10137556351866836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147.06700000000001</v>
      </c>
      <c r="D158" s="376">
        <f>LN_IE4*LN_IE5</f>
        <v>141.01439999999999</v>
      </c>
      <c r="E158" s="376">
        <f t="shared" si="16"/>
        <v>-6.0526000000000124</v>
      </c>
      <c r="F158" s="362">
        <f t="shared" si="17"/>
        <v>-4.1155391760218214E-2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5535.0146531852824</v>
      </c>
      <c r="D159" s="378">
        <f>IF(LN_IE6=0,0,LN_IE2/LN_IE6)</f>
        <v>5392.1301654299141</v>
      </c>
      <c r="E159" s="378">
        <f t="shared" si="16"/>
        <v>-142.88448775536835</v>
      </c>
      <c r="F159" s="362">
        <f t="shared" si="17"/>
        <v>-2.5814653927454627E-2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2026.2606175746478</v>
      </c>
      <c r="D160" s="378">
        <f>LN_IB7-LN_IE7</f>
        <v>3512.12832106117</v>
      </c>
      <c r="E160" s="378">
        <f t="shared" si="16"/>
        <v>1485.8677034865223</v>
      </c>
      <c r="F160" s="362">
        <f t="shared" si="17"/>
        <v>0.7333053263725996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3022.5738141595411</v>
      </c>
      <c r="D161" s="378">
        <f>LN_IA7-LN_IE7</f>
        <v>4048.0097349617872</v>
      </c>
      <c r="E161" s="378">
        <f t="shared" si="16"/>
        <v>1025.4359208022461</v>
      </c>
      <c r="F161" s="362">
        <f t="shared" si="17"/>
        <v>0.33925918235594171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444520.86312700127</v>
      </c>
      <c r="D162" s="391">
        <f>LN_IE9*LN_IE6</f>
        <v>570827.66396979545</v>
      </c>
      <c r="E162" s="391">
        <f t="shared" si="16"/>
        <v>126306.80084279418</v>
      </c>
      <c r="F162" s="362">
        <f t="shared" si="17"/>
        <v>0.28414144603761343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595</v>
      </c>
      <c r="D163" s="369">
        <v>490</v>
      </c>
      <c r="E163" s="419">
        <f t="shared" si="16"/>
        <v>-105</v>
      </c>
      <c r="F163" s="362">
        <f t="shared" si="17"/>
        <v>-0.17647058823529413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1368.0974789915967</v>
      </c>
      <c r="D164" s="378">
        <f>IF(LN_IE11=0,0,LN_IE2/LN_IE11)</f>
        <v>1551.7714285714285</v>
      </c>
      <c r="E164" s="378">
        <f t="shared" si="16"/>
        <v>183.67394957983174</v>
      </c>
      <c r="F164" s="362">
        <f t="shared" si="17"/>
        <v>0.13425501647383703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3.5</v>
      </c>
      <c r="D165" s="379">
        <f>IF(LN_IE4=0,0,LN_IE11/LN_IE4)</f>
        <v>3.310810810810811</v>
      </c>
      <c r="E165" s="379">
        <f t="shared" si="16"/>
        <v>-0.18918918918918903</v>
      </c>
      <c r="F165" s="362">
        <f t="shared" si="17"/>
        <v>-5.4054054054054008E-2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2788114</v>
      </c>
      <c r="D168" s="424">
        <v>2518791</v>
      </c>
      <c r="E168" s="424">
        <f t="shared" ref="E168:E176" si="18">D168-C168</f>
        <v>-269323</v>
      </c>
      <c r="F168" s="362">
        <f t="shared" ref="F168:F176" si="19">IF(C168=0,0,E168/C168)</f>
        <v>-9.6596839297101916E-2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449216</v>
      </c>
      <c r="D169" s="424">
        <v>347112</v>
      </c>
      <c r="E169" s="424">
        <f t="shared" si="18"/>
        <v>-102104</v>
      </c>
      <c r="F169" s="362">
        <f t="shared" si="19"/>
        <v>-0.2272937740418863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0.16111823261172248</v>
      </c>
      <c r="D170" s="366">
        <f>IF(LN_IE14=0,0,LN_IE15/LN_IE14)</f>
        <v>0.13780897263806327</v>
      </c>
      <c r="E170" s="367">
        <f t="shared" si="18"/>
        <v>-2.3309259973659208E-2</v>
      </c>
      <c r="F170" s="362">
        <f t="shared" si="19"/>
        <v>-0.14467177051173349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1.1091201512287936</v>
      </c>
      <c r="D171" s="366">
        <f>IF(LN_IE1=0,0,LN_IE14/LN_IE1)</f>
        <v>1.1090396654376249</v>
      </c>
      <c r="E171" s="367">
        <f t="shared" si="18"/>
        <v>-8.0485791168705134E-5</v>
      </c>
      <c r="F171" s="362">
        <f t="shared" si="19"/>
        <v>-7.2567242673875296E-5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188.55042570889492</v>
      </c>
      <c r="D172" s="376">
        <f>LN_IE17*LN_IE4</f>
        <v>164.13787048476848</v>
      </c>
      <c r="E172" s="376">
        <f t="shared" si="18"/>
        <v>-24.412555224126436</v>
      </c>
      <c r="F172" s="362">
        <f t="shared" si="19"/>
        <v>-0.12947494089362199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2382.4714174528012</v>
      </c>
      <c r="D173" s="378">
        <f>IF(LN_IE18=0,0,LN_IE15/LN_IE18)</f>
        <v>2114.7587633178841</v>
      </c>
      <c r="E173" s="378">
        <f t="shared" si="18"/>
        <v>-267.7126541349171</v>
      </c>
      <c r="F173" s="362">
        <f t="shared" si="19"/>
        <v>-0.11236762471683281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6112.0043056596096</v>
      </c>
      <c r="D174" s="378">
        <f>LN_IB18-LN_IE19</f>
        <v>6296.4888634916333</v>
      </c>
      <c r="E174" s="378">
        <f t="shared" si="18"/>
        <v>184.48455783202371</v>
      </c>
      <c r="F174" s="362">
        <f t="shared" si="19"/>
        <v>3.0183970528488376E-2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2661.0035286408088</v>
      </c>
      <c r="D175" s="378">
        <f>LN_IA16-LN_IE19</f>
        <v>3289.2007708928963</v>
      </c>
      <c r="E175" s="378">
        <f t="shared" si="18"/>
        <v>628.19724225208756</v>
      </c>
      <c r="F175" s="362">
        <f t="shared" si="19"/>
        <v>0.23607531350135377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501733.34813809604</v>
      </c>
      <c r="D176" s="353">
        <f>LN_IE21*LN_IE18</f>
        <v>539882.41013121884</v>
      </c>
      <c r="E176" s="353">
        <f t="shared" si="18"/>
        <v>38149.061993122799</v>
      </c>
      <c r="F176" s="362">
        <f t="shared" si="19"/>
        <v>7.6034535345700663E-2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5301921</v>
      </c>
      <c r="D179" s="361">
        <f>LN_IE1+LN_IE14</f>
        <v>4789937</v>
      </c>
      <c r="E179" s="361">
        <f>D179-C179</f>
        <v>-511984</v>
      </c>
      <c r="F179" s="362">
        <f>IF(C179=0,0,E179/C179)</f>
        <v>-9.6565754186077088E-2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1263234</v>
      </c>
      <c r="D180" s="361">
        <f>LN_IE15+LN_IE2</f>
        <v>1107480</v>
      </c>
      <c r="E180" s="361">
        <f>D180-C180</f>
        <v>-155754</v>
      </c>
      <c r="F180" s="362">
        <f>IF(C180=0,0,E180/C180)</f>
        <v>-0.12329782130626629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4038687</v>
      </c>
      <c r="D181" s="361">
        <f>LN_IE23-LN_IE24</f>
        <v>3682457</v>
      </c>
      <c r="E181" s="361">
        <f>D181-C181</f>
        <v>-356230</v>
      </c>
      <c r="F181" s="362">
        <f>IF(C181=0,0,E181/C181)</f>
        <v>-8.8204409007184764E-2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946254.21126509737</v>
      </c>
      <c r="D183" s="361">
        <f>LN_IE10+LN_IE22</f>
        <v>1110710.0741010143</v>
      </c>
      <c r="E183" s="353">
        <f>D183-C183</f>
        <v>164455.86283591692</v>
      </c>
      <c r="F183" s="362">
        <f>IF(C183=0,0,E183/C183)</f>
        <v>0.17379670375896891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4529001</v>
      </c>
      <c r="D188" s="361">
        <f>LN_ID1+LN_IE1</f>
        <v>5531096</v>
      </c>
      <c r="E188" s="361">
        <f t="shared" ref="E188:E200" si="20">D188-C188</f>
        <v>1002095</v>
      </c>
      <c r="F188" s="362">
        <f t="shared" ref="F188:F200" si="21">IF(C188=0,0,E188/C188)</f>
        <v>0.2212618191075692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1564743</v>
      </c>
      <c r="D189" s="361">
        <f>LN_1D2+LN_IE2</f>
        <v>1765749</v>
      </c>
      <c r="E189" s="361">
        <f t="shared" si="20"/>
        <v>201006</v>
      </c>
      <c r="F189" s="362">
        <f t="shared" si="21"/>
        <v>0.12845943391342859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0.34549407253387665</v>
      </c>
      <c r="D190" s="366">
        <f>IF(LN_IF1=0,0,LN_IF2/LN_IF1)</f>
        <v>0.31924034585550493</v>
      </c>
      <c r="E190" s="367">
        <f t="shared" si="20"/>
        <v>-2.6253726678371725E-2</v>
      </c>
      <c r="F190" s="362">
        <f t="shared" si="21"/>
        <v>-7.598893516703524E-2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387</v>
      </c>
      <c r="D191" s="369">
        <f>LN_ID4+LN_IE4</f>
        <v>371</v>
      </c>
      <c r="E191" s="369">
        <f t="shared" si="20"/>
        <v>-16</v>
      </c>
      <c r="F191" s="362">
        <f t="shared" si="21"/>
        <v>-4.1343669250645997E-2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0.85926847545219642</v>
      </c>
      <c r="D192" s="372">
        <f>IF((LN_ID4+LN_IE4)=0,0,(LN_ID6+LN_IE6)/(LN_ID4+LN_IE4))</f>
        <v>0.89058840970350406</v>
      </c>
      <c r="E192" s="373">
        <f t="shared" si="20"/>
        <v>3.1319934251307635E-2</v>
      </c>
      <c r="F192" s="362">
        <f t="shared" si="21"/>
        <v>3.6449532533851296E-2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332.5369</v>
      </c>
      <c r="D193" s="376">
        <f>LN_IF4*LN_IF5</f>
        <v>330.4083</v>
      </c>
      <c r="E193" s="376">
        <f t="shared" si="20"/>
        <v>-2.1286000000000058</v>
      </c>
      <c r="F193" s="362">
        <f t="shared" si="21"/>
        <v>-6.4010941342148974E-3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4705.4717837328726</v>
      </c>
      <c r="D194" s="378">
        <f>IF(LN_IF6=0,0,LN_IF2/LN_IF6)</f>
        <v>5344.1423838323672</v>
      </c>
      <c r="E194" s="378">
        <f t="shared" si="20"/>
        <v>638.67060009949455</v>
      </c>
      <c r="F194" s="362">
        <f t="shared" si="21"/>
        <v>0.1357293443576521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2855.8034870270576</v>
      </c>
      <c r="D195" s="378">
        <f>LN_IB7-LN_IF7</f>
        <v>3560.116102658717</v>
      </c>
      <c r="E195" s="378">
        <f t="shared" si="20"/>
        <v>704.31261563165936</v>
      </c>
      <c r="F195" s="362">
        <f t="shared" si="21"/>
        <v>0.24662502823850158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3852.116683611951</v>
      </c>
      <c r="D196" s="378">
        <f>LN_IA7-LN_IF7</f>
        <v>4095.9975165593341</v>
      </c>
      <c r="E196" s="378">
        <f t="shared" si="20"/>
        <v>243.88083294738317</v>
      </c>
      <c r="F196" s="362">
        <f t="shared" si="21"/>
        <v>6.3310863345579504E-2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1280970.9404065988</v>
      </c>
      <c r="D197" s="391">
        <f>LN_IF9*LN_IF6</f>
        <v>1353351.5762505913</v>
      </c>
      <c r="E197" s="391">
        <f t="shared" si="20"/>
        <v>72380.635843992466</v>
      </c>
      <c r="F197" s="362">
        <f t="shared" si="21"/>
        <v>5.6504510415371169E-2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1184</v>
      </c>
      <c r="D198" s="369">
        <f>LN_ID11+LN_IE11</f>
        <v>1252</v>
      </c>
      <c r="E198" s="369">
        <f t="shared" si="20"/>
        <v>68</v>
      </c>
      <c r="F198" s="362">
        <f t="shared" si="21"/>
        <v>5.7432432432432436E-2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1321.5734797297298</v>
      </c>
      <c r="D199" s="432">
        <f>IF(LN_IF11=0,0,LN_IF2/LN_IF11)</f>
        <v>1410.3426517571886</v>
      </c>
      <c r="E199" s="432">
        <f t="shared" si="20"/>
        <v>88.769172027458808</v>
      </c>
      <c r="F199" s="362">
        <f t="shared" si="21"/>
        <v>6.7169304914935696E-2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3.0594315245478034</v>
      </c>
      <c r="D200" s="379">
        <f>IF(LN_IF4=0,0,LN_IF11/LN_IF4)</f>
        <v>3.3746630727762805</v>
      </c>
      <c r="E200" s="379">
        <f t="shared" si="20"/>
        <v>0.3152315482284771</v>
      </c>
      <c r="F200" s="362">
        <f t="shared" si="21"/>
        <v>0.10303598746994987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5608950</v>
      </c>
      <c r="D203" s="361">
        <f>LN_ID14+LN_IE14</f>
        <v>6370689</v>
      </c>
      <c r="E203" s="361">
        <f t="shared" ref="E203:E211" si="22">D203-C203</f>
        <v>761739</v>
      </c>
      <c r="F203" s="362">
        <f t="shared" ref="F203:F211" si="23">IF(C203=0,0,E203/C203)</f>
        <v>0.13580777150803627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1179064</v>
      </c>
      <c r="D204" s="361">
        <f>LN_ID15+LN_IE15</f>
        <v>1279860</v>
      </c>
      <c r="E204" s="361">
        <f t="shared" si="22"/>
        <v>100796</v>
      </c>
      <c r="F204" s="362">
        <f t="shared" si="23"/>
        <v>8.5488149922311255E-2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0.2102111803456975</v>
      </c>
      <c r="D205" s="366">
        <f>IF(LN_IF14=0,0,LN_IF15/LN_IF14)</f>
        <v>0.200898207399545</v>
      </c>
      <c r="E205" s="367">
        <f t="shared" si="22"/>
        <v>-9.3129729461524924E-3</v>
      </c>
      <c r="F205" s="362">
        <f t="shared" si="23"/>
        <v>-4.4302938268255175E-2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1.2384519235036602</v>
      </c>
      <c r="D206" s="366">
        <f>IF(LN_IF1=0,0,LN_IF14/LN_IF1)</f>
        <v>1.1517950511074115</v>
      </c>
      <c r="E206" s="367">
        <f t="shared" si="22"/>
        <v>-8.6656872396248641E-2</v>
      </c>
      <c r="F206" s="362">
        <f t="shared" si="23"/>
        <v>-6.9971930885367573E-2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492.30351945570044</v>
      </c>
      <c r="D207" s="376">
        <f>LN_ID18+LN_IE18</f>
        <v>427.63064000577339</v>
      </c>
      <c r="E207" s="376">
        <f t="shared" si="22"/>
        <v>-64.672879449927052</v>
      </c>
      <c r="F207" s="362">
        <f t="shared" si="23"/>
        <v>-0.1313678998708572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2394.9940502225013</v>
      </c>
      <c r="D208" s="378">
        <f>IF(LN_IF18=0,0,LN_IF15/LN_IF18)</f>
        <v>2992.909956084346</v>
      </c>
      <c r="E208" s="378">
        <f t="shared" si="22"/>
        <v>597.91590586184475</v>
      </c>
      <c r="F208" s="362">
        <f t="shared" si="23"/>
        <v>0.24965235542288583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6099.4816728899095</v>
      </c>
      <c r="D209" s="378">
        <f>LN_IB18-LN_IF19</f>
        <v>5418.3376707251718</v>
      </c>
      <c r="E209" s="378">
        <f t="shared" si="22"/>
        <v>-681.14400216473769</v>
      </c>
      <c r="F209" s="362">
        <f t="shared" si="23"/>
        <v>-0.11167244016687314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2648.4808958711087</v>
      </c>
      <c r="D210" s="378">
        <f>LN_IA16-LN_IF19</f>
        <v>2411.0495781264344</v>
      </c>
      <c r="E210" s="378">
        <f t="shared" si="22"/>
        <v>-237.43131774467429</v>
      </c>
      <c r="F210" s="362">
        <f t="shared" si="23"/>
        <v>-8.9648114175496452E-2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1303856.4662485332</v>
      </c>
      <c r="D211" s="353">
        <f>LN_IF21*LN_IF18</f>
        <v>1031038.6741798571</v>
      </c>
      <c r="E211" s="353">
        <f t="shared" si="22"/>
        <v>-272817.79206867609</v>
      </c>
      <c r="F211" s="362">
        <f t="shared" si="23"/>
        <v>-0.20923912955973578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10137951</v>
      </c>
      <c r="D214" s="361">
        <f>LN_IF1+LN_IF14</f>
        <v>11901785</v>
      </c>
      <c r="E214" s="361">
        <f>D214-C214</f>
        <v>1763834</v>
      </c>
      <c r="F214" s="362">
        <f>IF(C214=0,0,E214/C214)</f>
        <v>0.17398328320979259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2743807</v>
      </c>
      <c r="D215" s="361">
        <f>LN_IF2+LN_IF15</f>
        <v>3045609</v>
      </c>
      <c r="E215" s="361">
        <f>D215-C215</f>
        <v>301802</v>
      </c>
      <c r="F215" s="362">
        <f>IF(C215=0,0,E215/C215)</f>
        <v>0.1099938880540796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7394144</v>
      </c>
      <c r="D216" s="361">
        <f>LN_IF23-LN_IF24</f>
        <v>8856176</v>
      </c>
      <c r="E216" s="361">
        <f>D216-C216</f>
        <v>1462032</v>
      </c>
      <c r="F216" s="362">
        <f>IF(C216=0,0,E216/C216)</f>
        <v>0.19772836450033973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56762</v>
      </c>
      <c r="D221" s="361">
        <v>69552</v>
      </c>
      <c r="E221" s="361">
        <f t="shared" ref="E221:E230" si="24">D221-C221</f>
        <v>12790</v>
      </c>
      <c r="F221" s="362">
        <f t="shared" ref="F221:F230" si="25">IF(C221=0,0,E221/C221)</f>
        <v>0.22532680314294776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47179</v>
      </c>
      <c r="D222" s="361">
        <v>67675</v>
      </c>
      <c r="E222" s="361">
        <f t="shared" si="24"/>
        <v>20496</v>
      </c>
      <c r="F222" s="362">
        <f t="shared" si="25"/>
        <v>0.43443057292439435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0.83117226313378667</v>
      </c>
      <c r="D223" s="366">
        <f>IF(LN_IG1=0,0,LN_IG2/LN_IG1)</f>
        <v>0.97301299746951919</v>
      </c>
      <c r="E223" s="367">
        <f t="shared" si="24"/>
        <v>0.14184073433573252</v>
      </c>
      <c r="F223" s="362">
        <f t="shared" si="25"/>
        <v>0.17065142886379214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7</v>
      </c>
      <c r="D224" s="369">
        <v>8</v>
      </c>
      <c r="E224" s="369">
        <f t="shared" si="24"/>
        <v>1</v>
      </c>
      <c r="F224" s="362">
        <f t="shared" si="25"/>
        <v>0.14285714285714285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0.68889999999999996</v>
      </c>
      <c r="D225" s="372">
        <v>0.66390000000000005</v>
      </c>
      <c r="E225" s="373">
        <f t="shared" si="24"/>
        <v>-2.4999999999999911E-2</v>
      </c>
      <c r="F225" s="362">
        <f t="shared" si="25"/>
        <v>-3.6289737262302092E-2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4.8222999999999994</v>
      </c>
      <c r="D226" s="376">
        <f>LN_IG3*LN_IG4</f>
        <v>5.3112000000000004</v>
      </c>
      <c r="E226" s="376">
        <f t="shared" si="24"/>
        <v>0.488900000000001</v>
      </c>
      <c r="F226" s="362">
        <f t="shared" si="25"/>
        <v>0.10138315741451197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9783.5057959894675</v>
      </c>
      <c r="D227" s="378">
        <f>IF(LN_IG5=0,0,LN_IG2/LN_IG5)</f>
        <v>12741.941557463473</v>
      </c>
      <c r="E227" s="378">
        <f t="shared" si="24"/>
        <v>2958.4357614740056</v>
      </c>
      <c r="F227" s="362">
        <f t="shared" si="25"/>
        <v>0.30239014757744109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16</v>
      </c>
      <c r="D228" s="369">
        <v>16</v>
      </c>
      <c r="E228" s="369">
        <f t="shared" si="24"/>
        <v>0</v>
      </c>
      <c r="F228" s="362">
        <f t="shared" si="25"/>
        <v>0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2948.6875</v>
      </c>
      <c r="D229" s="378">
        <f>IF(LN_IG6=0,0,LN_IG2/LN_IG6)</f>
        <v>4229.6875</v>
      </c>
      <c r="E229" s="378">
        <f t="shared" si="24"/>
        <v>1281</v>
      </c>
      <c r="F229" s="362">
        <f t="shared" si="25"/>
        <v>0.43443057292439435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2.2857142857142856</v>
      </c>
      <c r="D230" s="379">
        <f>IF(LN_IG3=0,0,LN_IG6/LN_IG3)</f>
        <v>2</v>
      </c>
      <c r="E230" s="379">
        <f t="shared" si="24"/>
        <v>-0.28571428571428559</v>
      </c>
      <c r="F230" s="362">
        <f t="shared" si="25"/>
        <v>-0.12499999999999994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58414</v>
      </c>
      <c r="D233" s="361">
        <v>140523</v>
      </c>
      <c r="E233" s="361">
        <f>D233-C233</f>
        <v>82109</v>
      </c>
      <c r="F233" s="362">
        <f>IF(C233=0,0,E233/C233)</f>
        <v>1.4056390591296608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24014</v>
      </c>
      <c r="D234" s="361">
        <v>40440</v>
      </c>
      <c r="E234" s="361">
        <f>D234-C234</f>
        <v>16426</v>
      </c>
      <c r="F234" s="362">
        <f>IF(C234=0,0,E234/C234)</f>
        <v>0.6840176563671192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115176</v>
      </c>
      <c r="D237" s="361">
        <f>LN_IG1+LN_IG9</f>
        <v>210075</v>
      </c>
      <c r="E237" s="361">
        <f>D237-C237</f>
        <v>94899</v>
      </c>
      <c r="F237" s="362">
        <f>IF(C237=0,0,E237/C237)</f>
        <v>0.82394769743696605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71193</v>
      </c>
      <c r="D238" s="361">
        <f>LN_IG2+LN_IG10</f>
        <v>108115</v>
      </c>
      <c r="E238" s="361">
        <f>D238-C238</f>
        <v>36922</v>
      </c>
      <c r="F238" s="362">
        <f>IF(C238=0,0,E238/C238)</f>
        <v>0.51861840349472565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43983</v>
      </c>
      <c r="D239" s="361">
        <f>LN_IG13-LN_IG14</f>
        <v>101960</v>
      </c>
      <c r="E239" s="361">
        <f>D239-C239</f>
        <v>57977</v>
      </c>
      <c r="F239" s="362">
        <f>IF(C239=0,0,E239/C239)</f>
        <v>1.3181683832389788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530398</v>
      </c>
      <c r="D243" s="361">
        <v>457560</v>
      </c>
      <c r="E243" s="353">
        <f>D243-C243</f>
        <v>-72838</v>
      </c>
      <c r="F243" s="415">
        <f>IF(C243=0,0,E243/C243)</f>
        <v>-0.13732706382754084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48108598</v>
      </c>
      <c r="D244" s="361">
        <v>53061849</v>
      </c>
      <c r="E244" s="353">
        <f>D244-C244</f>
        <v>4953251</v>
      </c>
      <c r="F244" s="415">
        <f>IF(C244=0,0,E244/C244)</f>
        <v>0.10295978693870896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251652</v>
      </c>
      <c r="D245" s="400">
        <v>0</v>
      </c>
      <c r="E245" s="400">
        <f>D245-C245</f>
        <v>-251652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767288</v>
      </c>
      <c r="D248" s="353">
        <v>942411</v>
      </c>
      <c r="E248" s="353">
        <f>D248-C248</f>
        <v>175123</v>
      </c>
      <c r="F248" s="362">
        <f>IF(C248=0,0,E248/C248)</f>
        <v>0.2282363336843532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1748130</v>
      </c>
      <c r="D249" s="353">
        <v>3537228</v>
      </c>
      <c r="E249" s="353">
        <f>D249-C249</f>
        <v>1789098</v>
      </c>
      <c r="F249" s="362">
        <f>IF(C249=0,0,E249/C249)</f>
        <v>1.0234353280362445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2515418</v>
      </c>
      <c r="D250" s="353">
        <f>LN_IH4+LN_IH5</f>
        <v>4479639</v>
      </c>
      <c r="E250" s="353">
        <f>D250-C250</f>
        <v>1964221</v>
      </c>
      <c r="F250" s="362">
        <f>IF(C250=0,0,E250/C250)</f>
        <v>0.7808726024859487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1012653.1207371118</v>
      </c>
      <c r="D251" s="353">
        <f>LN_IH6*LN_III10</f>
        <v>1774414.1946289085</v>
      </c>
      <c r="E251" s="353">
        <f>D251-C251</f>
        <v>761761.07389179675</v>
      </c>
      <c r="F251" s="362">
        <f>IF(C251=0,0,E251/C251)</f>
        <v>0.75224285423355008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10137951</v>
      </c>
      <c r="D254" s="353">
        <f>LN_IF23</f>
        <v>11901785</v>
      </c>
      <c r="E254" s="353">
        <f>D254-C254</f>
        <v>1763834</v>
      </c>
      <c r="F254" s="362">
        <f>IF(C254=0,0,E254/C254)</f>
        <v>0.17398328320979259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2743807</v>
      </c>
      <c r="D255" s="353">
        <f>LN_IF24</f>
        <v>3045609</v>
      </c>
      <c r="E255" s="353">
        <f>D255-C255</f>
        <v>301802</v>
      </c>
      <c r="F255" s="362">
        <f>IF(C255=0,0,E255/C255)</f>
        <v>0.1099938880540796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4081320.7657852187</v>
      </c>
      <c r="D256" s="353">
        <f>LN_IH8*LN_III10</f>
        <v>4714374.5836263644</v>
      </c>
      <c r="E256" s="353">
        <f>D256-C256</f>
        <v>633053.81784114568</v>
      </c>
      <c r="F256" s="362">
        <f>IF(C256=0,0,E256/C256)</f>
        <v>0.15511003769862974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1337513.7657852187</v>
      </c>
      <c r="D257" s="353">
        <f>LN_IH10-LN_IH9</f>
        <v>1668765.5836263644</v>
      </c>
      <c r="E257" s="353">
        <f>D257-C257</f>
        <v>331251.81784114568</v>
      </c>
      <c r="F257" s="362">
        <f>IF(C257=0,0,E257/C257)</f>
        <v>0.24766236155085594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50003842</v>
      </c>
      <c r="D261" s="361">
        <f>LN_IA1+LN_IB1+LN_IF1+LN_IG1</f>
        <v>56413431</v>
      </c>
      <c r="E261" s="361">
        <f t="shared" ref="E261:E274" si="26">D261-C261</f>
        <v>6409589</v>
      </c>
      <c r="F261" s="415">
        <f t="shared" ref="F261:F274" si="27">IF(C261=0,0,E261/C261)</f>
        <v>0.12818193050046034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22185442</v>
      </c>
      <c r="D262" s="361">
        <f>+LN_IA2+LN_IB2+LN_IF2+LN_IG2</f>
        <v>26410507</v>
      </c>
      <c r="E262" s="361">
        <f t="shared" si="26"/>
        <v>4225065</v>
      </c>
      <c r="F262" s="415">
        <f t="shared" si="27"/>
        <v>0.19044312932778171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0.44367474803236118</v>
      </c>
      <c r="D263" s="366">
        <f>IF(LN_IIA1=0,0,LN_IIA2/LN_IIA1)</f>
        <v>0.46815991390419065</v>
      </c>
      <c r="E263" s="367">
        <f t="shared" si="26"/>
        <v>2.4485165871829473E-2</v>
      </c>
      <c r="F263" s="371">
        <f t="shared" si="27"/>
        <v>5.5187197334123576E-2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2681</v>
      </c>
      <c r="D264" s="369">
        <f>LN_IA4+LN_IB4+LN_IF4+LN_IG3</f>
        <v>2703</v>
      </c>
      <c r="E264" s="369">
        <f t="shared" si="26"/>
        <v>22</v>
      </c>
      <c r="F264" s="415">
        <f t="shared" si="27"/>
        <v>8.2058933233867953E-3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1.0572486758672137</v>
      </c>
      <c r="D265" s="439">
        <f>IF(LN_IIA4=0,0,LN_IIA6/LN_IIA4)</f>
        <v>1.1042657417684054</v>
      </c>
      <c r="E265" s="439">
        <f t="shared" si="26"/>
        <v>4.7017065901191701E-2</v>
      </c>
      <c r="F265" s="415">
        <f t="shared" si="27"/>
        <v>4.4471151370916319E-2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2834.4836999999998</v>
      </c>
      <c r="D266" s="376">
        <f>LN_IA6+LN_IB6+LN_IF6+LN_IG5</f>
        <v>2984.8303000000001</v>
      </c>
      <c r="E266" s="376">
        <f t="shared" si="26"/>
        <v>150.34660000000031</v>
      </c>
      <c r="F266" s="415">
        <f t="shared" si="27"/>
        <v>5.3041970218421199E-2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71084105</v>
      </c>
      <c r="D267" s="361">
        <f>LN_IA11+LN_IB13+LN_IF14+LN_IG9</f>
        <v>73329474</v>
      </c>
      <c r="E267" s="361">
        <f t="shared" si="26"/>
        <v>2245369</v>
      </c>
      <c r="F267" s="415">
        <f t="shared" si="27"/>
        <v>3.1587497655066486E-2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1.4215728663409504</v>
      </c>
      <c r="D268" s="366">
        <f>IF(LN_IIA1=0,0,LN_IIA7/LN_IIA1)</f>
        <v>1.2998584326487783</v>
      </c>
      <c r="E268" s="367">
        <f t="shared" si="26"/>
        <v>-0.12171443369217205</v>
      </c>
      <c r="F268" s="371">
        <f t="shared" si="27"/>
        <v>-8.5619553224491579E-2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26310307</v>
      </c>
      <c r="D269" s="361">
        <f>LN_IA12+LN_IB14+LN_IF15+LN_IG10</f>
        <v>24981504</v>
      </c>
      <c r="E269" s="361">
        <f t="shared" si="26"/>
        <v>-1328803</v>
      </c>
      <c r="F269" s="415">
        <f t="shared" si="27"/>
        <v>-5.0505035916152553E-2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0.3701292574479203</v>
      </c>
      <c r="D270" s="366">
        <f>IF(LN_IIA7=0,0,LN_IIA9/LN_IIA7)</f>
        <v>0.34067480151296325</v>
      </c>
      <c r="E270" s="367">
        <f t="shared" si="26"/>
        <v>-2.9454455934957047E-2</v>
      </c>
      <c r="F270" s="371">
        <f t="shared" si="27"/>
        <v>-7.9578837236614533E-2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121087947</v>
      </c>
      <c r="D271" s="353">
        <f>LN_IIA1+LN_IIA7</f>
        <v>129742905</v>
      </c>
      <c r="E271" s="353">
        <f t="shared" si="26"/>
        <v>8654958</v>
      </c>
      <c r="F271" s="415">
        <f t="shared" si="27"/>
        <v>7.1476626819017744E-2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48495749</v>
      </c>
      <c r="D272" s="353">
        <f>LN_IIA2+LN_IIA9</f>
        <v>51392011</v>
      </c>
      <c r="E272" s="353">
        <f t="shared" si="26"/>
        <v>2896262</v>
      </c>
      <c r="F272" s="415">
        <f t="shared" si="27"/>
        <v>5.9721976868529238E-2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0.40050021659050838</v>
      </c>
      <c r="D273" s="366">
        <f>IF(LN_IIA11=0,0,LN_IIA12/LN_IIA11)</f>
        <v>0.39610652312741107</v>
      </c>
      <c r="E273" s="367">
        <f t="shared" si="26"/>
        <v>-4.3936934630973146E-3</v>
      </c>
      <c r="F273" s="371">
        <f t="shared" si="27"/>
        <v>-1.0970514574252148E-2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11622</v>
      </c>
      <c r="D274" s="421">
        <f>LN_IA8+LN_IB10+LN_IF11+LN_IG6</f>
        <v>12355</v>
      </c>
      <c r="E274" s="442">
        <f t="shared" si="26"/>
        <v>733</v>
      </c>
      <c r="F274" s="371">
        <f t="shared" si="27"/>
        <v>6.3070039580106693E-2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36114896</v>
      </c>
      <c r="D277" s="361">
        <f>LN_IA1+LN_IF1+LN_IG1</f>
        <v>41642051</v>
      </c>
      <c r="E277" s="361">
        <f t="shared" ref="E277:E291" si="28">D277-C277</f>
        <v>5527155</v>
      </c>
      <c r="F277" s="415">
        <f t="shared" ref="F277:F291" si="29">IF(C277=0,0,E277/C277)</f>
        <v>0.15304363606640317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16145580</v>
      </c>
      <c r="D278" s="361">
        <f>LN_IA2+LN_IF2+LN_IG2</f>
        <v>19250737</v>
      </c>
      <c r="E278" s="361">
        <f t="shared" si="28"/>
        <v>3105157</v>
      </c>
      <c r="F278" s="415">
        <f t="shared" si="29"/>
        <v>0.19232241889111448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0.44706151168204944</v>
      </c>
      <c r="D279" s="366">
        <f>IF(D277=0,0,LN_IIB2/D277)</f>
        <v>0.4622907983086616</v>
      </c>
      <c r="E279" s="367">
        <f t="shared" si="28"/>
        <v>1.522928662661216E-2</v>
      </c>
      <c r="F279" s="371">
        <f t="shared" si="29"/>
        <v>3.4065304725769463E-2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1873</v>
      </c>
      <c r="D280" s="369">
        <f>LN_IA4+LN_IF4+LN_IG3</f>
        <v>1909</v>
      </c>
      <c r="E280" s="369">
        <f t="shared" si="28"/>
        <v>36</v>
      </c>
      <c r="F280" s="415">
        <f t="shared" si="29"/>
        <v>1.9220501868659905E-2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1.0868632674853178</v>
      </c>
      <c r="D281" s="439">
        <f>IF(LN_IIB4=0,0,LN_IIB6/LN_IIB4)</f>
        <v>1.142350183342064</v>
      </c>
      <c r="E281" s="439">
        <f t="shared" si="28"/>
        <v>5.5486915856746144E-2</v>
      </c>
      <c r="F281" s="415">
        <f t="shared" si="29"/>
        <v>5.1052342568469133E-2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2035.6949000000002</v>
      </c>
      <c r="D282" s="376">
        <f>LN_IA6+LN_IF6+LN_IG5</f>
        <v>2180.7465000000002</v>
      </c>
      <c r="E282" s="376">
        <f t="shared" si="28"/>
        <v>145.05160000000001</v>
      </c>
      <c r="F282" s="415">
        <f t="shared" si="29"/>
        <v>7.1254096082865856E-2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33696327</v>
      </c>
      <c r="D283" s="361">
        <f>LN_IA11+LN_IF14+LN_IG9</f>
        <v>35916017</v>
      </c>
      <c r="E283" s="361">
        <f t="shared" si="28"/>
        <v>2219690</v>
      </c>
      <c r="F283" s="415">
        <f t="shared" si="29"/>
        <v>6.5873351715752287E-2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0.93303126222487254</v>
      </c>
      <c r="D284" s="366">
        <f>IF(D277=0,0,LN_IIB7/D277)</f>
        <v>0.86249394872505203</v>
      </c>
      <c r="E284" s="367">
        <f t="shared" si="28"/>
        <v>-7.0537313499820509E-2</v>
      </c>
      <c r="F284" s="371">
        <f t="shared" si="29"/>
        <v>-7.5600160847365164E-2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7834292</v>
      </c>
      <c r="D285" s="361">
        <f>LN_IA12+LN_IF15+LN_IG10</f>
        <v>8065893</v>
      </c>
      <c r="E285" s="361">
        <f t="shared" si="28"/>
        <v>231601</v>
      </c>
      <c r="F285" s="415">
        <f t="shared" si="29"/>
        <v>2.9562467163593086E-2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0.23249691279408582</v>
      </c>
      <c r="D286" s="366">
        <f>IF(LN_IIB7=0,0,LN_IIB9/LN_IIB7)</f>
        <v>0.22457648909120406</v>
      </c>
      <c r="E286" s="367">
        <f t="shared" si="28"/>
        <v>-7.9204237028817626E-3</v>
      </c>
      <c r="F286" s="371">
        <f t="shared" si="29"/>
        <v>-3.4066790856257939E-2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69811223</v>
      </c>
      <c r="D287" s="353">
        <f>D277+LN_IIB7</f>
        <v>77558068</v>
      </c>
      <c r="E287" s="353">
        <f t="shared" si="28"/>
        <v>7746845</v>
      </c>
      <c r="F287" s="415">
        <f t="shared" si="29"/>
        <v>0.11096847565612766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23979872</v>
      </c>
      <c r="D288" s="353">
        <f>LN_IIB2+LN_IIB9</f>
        <v>27316630</v>
      </c>
      <c r="E288" s="353">
        <f t="shared" si="28"/>
        <v>3336758</v>
      </c>
      <c r="F288" s="415">
        <f t="shared" si="29"/>
        <v>0.13914828235947213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0.3434959447709432</v>
      </c>
      <c r="D289" s="366">
        <f>IF(LN_IIB11=0,0,LN_IIB12/LN_IIB11)</f>
        <v>0.35220874764441013</v>
      </c>
      <c r="E289" s="367">
        <f t="shared" si="28"/>
        <v>8.7128028734669294E-3</v>
      </c>
      <c r="F289" s="371">
        <f t="shared" si="29"/>
        <v>2.5365082197045946E-2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9345</v>
      </c>
      <c r="D290" s="421">
        <f>LN_IA8+LN_IF11+LN_IG6</f>
        <v>9953</v>
      </c>
      <c r="E290" s="442">
        <f t="shared" si="28"/>
        <v>608</v>
      </c>
      <c r="F290" s="371">
        <f t="shared" si="29"/>
        <v>6.5061530230069553E-2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45831351</v>
      </c>
      <c r="D291" s="429">
        <f>LN_IIB11-LN_IIB12</f>
        <v>50241438</v>
      </c>
      <c r="E291" s="353">
        <f t="shared" si="28"/>
        <v>4410087</v>
      </c>
      <c r="F291" s="415">
        <f t="shared" si="29"/>
        <v>9.622424178593382E-2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5.5070993914807298</v>
      </c>
      <c r="D294" s="379">
        <f>IF(LN_IA4=0,0,LN_IA8/LN_IA4)</f>
        <v>5.6764705882352944</v>
      </c>
      <c r="E294" s="379">
        <f t="shared" ref="E294:E300" si="30">D294-C294</f>
        <v>0.16937119675456458</v>
      </c>
      <c r="F294" s="415">
        <f t="shared" ref="F294:F300" si="31">IF(C294=0,0,E294/C294)</f>
        <v>3.0755064456722041E-2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2.8180693069306932</v>
      </c>
      <c r="D295" s="379">
        <f>IF(LN_IB4=0,0,(LN_IB10)/(LN_IB4))</f>
        <v>3.0251889168765742</v>
      </c>
      <c r="E295" s="379">
        <f t="shared" si="30"/>
        <v>0.20711960994588097</v>
      </c>
      <c r="F295" s="415">
        <f t="shared" si="31"/>
        <v>7.3496989387910328E-2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2.7384615384615385</v>
      </c>
      <c r="D296" s="379">
        <f>IF(LN_IC4=0,0,LN_IC11/LN_IC4)</f>
        <v>3.263157894736842</v>
      </c>
      <c r="E296" s="379">
        <f t="shared" si="30"/>
        <v>0.52469635627530353</v>
      </c>
      <c r="F296" s="415">
        <f t="shared" si="31"/>
        <v>0.19160260201064455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2.7142857142857144</v>
      </c>
      <c r="D297" s="379">
        <f>IF(LN_ID4=0,0,LN_ID11/LN_ID4)</f>
        <v>3.4170403587443947</v>
      </c>
      <c r="E297" s="379">
        <f t="shared" si="30"/>
        <v>0.7027546444586803</v>
      </c>
      <c r="F297" s="415">
        <f t="shared" si="31"/>
        <v>0.258909605853198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3.5</v>
      </c>
      <c r="D298" s="379">
        <f>IF(LN_IE4=0,0,LN_IE11/LN_IE4)</f>
        <v>3.310810810810811</v>
      </c>
      <c r="E298" s="379">
        <f t="shared" si="30"/>
        <v>-0.18918918918918903</v>
      </c>
      <c r="F298" s="415">
        <f t="shared" si="31"/>
        <v>-5.4054054054054008E-2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2.2857142857142856</v>
      </c>
      <c r="D299" s="379">
        <f>IF(LN_IG3=0,0,LN_IG6/LN_IG3)</f>
        <v>2</v>
      </c>
      <c r="E299" s="379">
        <f t="shared" si="30"/>
        <v>-0.28571428571428559</v>
      </c>
      <c r="F299" s="415">
        <f t="shared" si="31"/>
        <v>-0.12499999999999994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4.3349496456546062</v>
      </c>
      <c r="D300" s="379">
        <f>IF(LN_IIA4=0,0,LN_IIA14/LN_IIA4)</f>
        <v>4.570847206807251</v>
      </c>
      <c r="E300" s="379">
        <f t="shared" si="30"/>
        <v>0.23589756115264482</v>
      </c>
      <c r="F300" s="415">
        <f t="shared" si="31"/>
        <v>5.4417601226143593E-2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121087947</v>
      </c>
      <c r="D304" s="353">
        <f>LN_IIA11</f>
        <v>129742905</v>
      </c>
      <c r="E304" s="353">
        <f t="shared" ref="E304:E316" si="32">D304-C304</f>
        <v>8654958</v>
      </c>
      <c r="F304" s="362">
        <f>IF(C304=0,0,E304/C304)</f>
        <v>7.1476626819017744E-2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45831351</v>
      </c>
      <c r="D305" s="353">
        <f>LN_IIB14</f>
        <v>50241438</v>
      </c>
      <c r="E305" s="353">
        <f t="shared" si="32"/>
        <v>4410087</v>
      </c>
      <c r="F305" s="362">
        <f>IF(C305=0,0,E305/C305)</f>
        <v>9.622424178593382E-2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2515418</v>
      </c>
      <c r="D306" s="353">
        <f>LN_IH6</f>
        <v>4479639</v>
      </c>
      <c r="E306" s="353">
        <f t="shared" si="32"/>
        <v>1964221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23219443</v>
      </c>
      <c r="D307" s="353">
        <f>LN_IB32-LN_IB33</f>
        <v>22512589</v>
      </c>
      <c r="E307" s="353">
        <f t="shared" si="32"/>
        <v>-706854</v>
      </c>
      <c r="F307" s="362">
        <f t="shared" ref="F307:F316" si="33">IF(C307=0,0,E307/C307)</f>
        <v>-3.0442332316068046E-2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1025987</v>
      </c>
      <c r="D308" s="353">
        <v>1117229</v>
      </c>
      <c r="E308" s="353">
        <f t="shared" si="32"/>
        <v>91242</v>
      </c>
      <c r="F308" s="362">
        <f t="shared" si="33"/>
        <v>8.8930951366830185E-2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72592199</v>
      </c>
      <c r="D309" s="353">
        <f>LN_III2+LN_III3+LN_III4+LN_III5</f>
        <v>78350895</v>
      </c>
      <c r="E309" s="353">
        <f t="shared" si="32"/>
        <v>5758696</v>
      </c>
      <c r="F309" s="362">
        <f t="shared" si="33"/>
        <v>7.9329405629384508E-2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48495748</v>
      </c>
      <c r="D310" s="353">
        <f>LN_III1-LN_III6</f>
        <v>51392010</v>
      </c>
      <c r="E310" s="353">
        <f t="shared" si="32"/>
        <v>2896262</v>
      </c>
      <c r="F310" s="362">
        <f t="shared" si="33"/>
        <v>5.9721978100018169E-2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251652</v>
      </c>
      <c r="D311" s="353">
        <f>LN_IH3</f>
        <v>0</v>
      </c>
      <c r="E311" s="353">
        <f t="shared" si="32"/>
        <v>-251652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48747400</v>
      </c>
      <c r="D312" s="353">
        <f>LN_III7+LN_III8</f>
        <v>51392010</v>
      </c>
      <c r="E312" s="353">
        <f t="shared" si="32"/>
        <v>2644610</v>
      </c>
      <c r="F312" s="362">
        <f t="shared" si="33"/>
        <v>5.4251303659272082E-2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0.40257846637700445</v>
      </c>
      <c r="D313" s="448">
        <f>IF(LN_III1=0,0,LN_III9/LN_III1)</f>
        <v>0.39610651541986053</v>
      </c>
      <c r="E313" s="448">
        <f t="shared" si="32"/>
        <v>-6.4719509571439238E-3</v>
      </c>
      <c r="F313" s="362">
        <f t="shared" si="33"/>
        <v>-1.6076247235447282E-2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1012653.1207371118</v>
      </c>
      <c r="D314" s="353">
        <f>D313*LN_III5</f>
        <v>1774414.1946289085</v>
      </c>
      <c r="E314" s="353">
        <f t="shared" si="32"/>
        <v>761761.07389179675</v>
      </c>
      <c r="F314" s="362">
        <f t="shared" si="33"/>
        <v>0.75224285423355008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1337513.7657852187</v>
      </c>
      <c r="D315" s="353">
        <f>D313*LN_IH8-LN_IH9</f>
        <v>1668765.5836263644</v>
      </c>
      <c r="E315" s="353">
        <f t="shared" si="32"/>
        <v>331251.81784114568</v>
      </c>
      <c r="F315" s="362">
        <f t="shared" si="33"/>
        <v>0.24766236155085594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2350166.8865223303</v>
      </c>
      <c r="D318" s="353">
        <f>D314+D315+D316</f>
        <v>3443179.7782552727</v>
      </c>
      <c r="E318" s="353">
        <f>D318-C318</f>
        <v>1093012.8917329423</v>
      </c>
      <c r="F318" s="362">
        <f>IF(C318=0,0,E318/C318)</f>
        <v>0.46507884099683361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802123.1181104373</v>
      </c>
      <c r="D322" s="353">
        <f>LN_ID22</f>
        <v>491156.26404863823</v>
      </c>
      <c r="E322" s="353">
        <f>LN_IV2-C322</f>
        <v>-310966.85406179907</v>
      </c>
      <c r="F322" s="362">
        <f>IF(C322=0,0,E322/C322)</f>
        <v>-0.38767970532297358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946254.21126509737</v>
      </c>
      <c r="D323" s="353">
        <f>LN_IE10+LN_IE22</f>
        <v>1110710.0741010143</v>
      </c>
      <c r="E323" s="353">
        <f>LN_IV3-C323</f>
        <v>164455.86283591692</v>
      </c>
      <c r="F323" s="362">
        <f>IF(C323=0,0,E323/C323)</f>
        <v>0.17379670375896891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483383.38760720554</v>
      </c>
      <c r="D324" s="353">
        <f>LN_IC10+LN_IC22</f>
        <v>1031038.3531800957</v>
      </c>
      <c r="E324" s="353">
        <f>LN_IV1-C324</f>
        <v>547654.96557289013</v>
      </c>
      <c r="F324" s="362">
        <f>IF(C324=0,0,E324/C324)</f>
        <v>1.1329619089390621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2231760.71698274</v>
      </c>
      <c r="D325" s="429">
        <f>LN_IV1+LN_IV2+LN_IV3</f>
        <v>2632904.6913297484</v>
      </c>
      <c r="E325" s="353">
        <f>LN_IV4-C325</f>
        <v>401143.97434700839</v>
      </c>
      <c r="F325" s="362">
        <f>IF(C325=0,0,E325/C325)</f>
        <v>0.17974327233850615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1806458</v>
      </c>
      <c r="D329" s="431">
        <v>1967108</v>
      </c>
      <c r="E329" s="431">
        <f t="shared" ref="E329:E335" si="34">D329-C329</f>
        <v>160650</v>
      </c>
      <c r="F329" s="462">
        <f t="shared" ref="F329:F335" si="35">IF(C329=0,0,E329/C329)</f>
        <v>8.8930935565620678E-2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1748130</v>
      </c>
      <c r="D330" s="429">
        <v>4145549</v>
      </c>
      <c r="E330" s="431">
        <f t="shared" si="34"/>
        <v>2397419</v>
      </c>
      <c r="F330" s="463">
        <f t="shared" si="35"/>
        <v>1.3714191736312518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50495530</v>
      </c>
      <c r="D331" s="429">
        <v>55537559</v>
      </c>
      <c r="E331" s="431">
        <f t="shared" si="34"/>
        <v>5042029</v>
      </c>
      <c r="F331" s="462">
        <f t="shared" si="35"/>
        <v>9.985099671198619E-2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121087948</v>
      </c>
      <c r="D333" s="429">
        <v>129742905</v>
      </c>
      <c r="E333" s="431">
        <f t="shared" si="34"/>
        <v>8654957</v>
      </c>
      <c r="F333" s="462">
        <f t="shared" si="35"/>
        <v>7.1476617970270662E-2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2515418</v>
      </c>
      <c r="D335" s="429">
        <v>4479639</v>
      </c>
      <c r="E335" s="429">
        <f t="shared" si="34"/>
        <v>1964221</v>
      </c>
      <c r="F335" s="462">
        <f t="shared" si="35"/>
        <v>0.7808726024859487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FILING&amp;RESSENT-SHARON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85546875" style="330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13888946</v>
      </c>
      <c r="D14" s="513">
        <v>14771380</v>
      </c>
      <c r="E14" s="514">
        <f t="shared" ref="E14:E22" si="0">D14-C14</f>
        <v>882434</v>
      </c>
    </row>
    <row r="15" spans="1:5" s="506" customFormat="1" x14ac:dyDescent="0.2">
      <c r="A15" s="512">
        <v>2</v>
      </c>
      <c r="B15" s="511" t="s">
        <v>605</v>
      </c>
      <c r="C15" s="513">
        <v>31529133</v>
      </c>
      <c r="D15" s="515">
        <v>36041403</v>
      </c>
      <c r="E15" s="514">
        <f t="shared" si="0"/>
        <v>4512270</v>
      </c>
    </row>
    <row r="16" spans="1:5" s="506" customFormat="1" x14ac:dyDescent="0.2">
      <c r="A16" s="512">
        <v>3</v>
      </c>
      <c r="B16" s="511" t="s">
        <v>751</v>
      </c>
      <c r="C16" s="513">
        <v>4529001</v>
      </c>
      <c r="D16" s="515">
        <v>5531096</v>
      </c>
      <c r="E16" s="514">
        <f t="shared" si="0"/>
        <v>1002095</v>
      </c>
    </row>
    <row r="17" spans="1:5" s="506" customFormat="1" x14ac:dyDescent="0.2">
      <c r="A17" s="512">
        <v>4</v>
      </c>
      <c r="B17" s="511" t="s">
        <v>114</v>
      </c>
      <c r="C17" s="513">
        <v>2015194</v>
      </c>
      <c r="D17" s="515">
        <v>3259950</v>
      </c>
      <c r="E17" s="514">
        <f t="shared" si="0"/>
        <v>1244756</v>
      </c>
    </row>
    <row r="18" spans="1:5" s="506" customFormat="1" x14ac:dyDescent="0.2">
      <c r="A18" s="512">
        <v>5</v>
      </c>
      <c r="B18" s="511" t="s">
        <v>718</v>
      </c>
      <c r="C18" s="513">
        <v>2513807</v>
      </c>
      <c r="D18" s="515">
        <v>2271146</v>
      </c>
      <c r="E18" s="514">
        <f t="shared" si="0"/>
        <v>-242661</v>
      </c>
    </row>
    <row r="19" spans="1:5" s="506" customFormat="1" x14ac:dyDescent="0.2">
      <c r="A19" s="512">
        <v>6</v>
      </c>
      <c r="B19" s="511" t="s">
        <v>418</v>
      </c>
      <c r="C19" s="513">
        <v>56762</v>
      </c>
      <c r="D19" s="515">
        <v>69552</v>
      </c>
      <c r="E19" s="514">
        <f t="shared" si="0"/>
        <v>12790</v>
      </c>
    </row>
    <row r="20" spans="1:5" s="506" customFormat="1" x14ac:dyDescent="0.2">
      <c r="A20" s="512">
        <v>7</v>
      </c>
      <c r="B20" s="511" t="s">
        <v>733</v>
      </c>
      <c r="C20" s="513">
        <v>1035642</v>
      </c>
      <c r="D20" s="515">
        <v>998989</v>
      </c>
      <c r="E20" s="514">
        <f t="shared" si="0"/>
        <v>-36653</v>
      </c>
    </row>
    <row r="21" spans="1:5" s="506" customFormat="1" x14ac:dyDescent="0.2">
      <c r="A21" s="512"/>
      <c r="B21" s="516" t="s">
        <v>752</v>
      </c>
      <c r="C21" s="517">
        <f>SUM(C15+C16+C19)</f>
        <v>36114896</v>
      </c>
      <c r="D21" s="517">
        <f>SUM(D15+D16+D19)</f>
        <v>41642051</v>
      </c>
      <c r="E21" s="517">
        <f t="shared" si="0"/>
        <v>5527155</v>
      </c>
    </row>
    <row r="22" spans="1:5" s="506" customFormat="1" x14ac:dyDescent="0.2">
      <c r="A22" s="512"/>
      <c r="B22" s="516" t="s">
        <v>692</v>
      </c>
      <c r="C22" s="517">
        <f>SUM(C14+C21)</f>
        <v>50003842</v>
      </c>
      <c r="D22" s="517">
        <f>SUM(D14+D21)</f>
        <v>56413431</v>
      </c>
      <c r="E22" s="517">
        <f t="shared" si="0"/>
        <v>6409589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37387778</v>
      </c>
      <c r="D25" s="513">
        <v>37413457</v>
      </c>
      <c r="E25" s="514">
        <f t="shared" ref="E25:E33" si="1">D25-C25</f>
        <v>25679</v>
      </c>
    </row>
    <row r="26" spans="1:5" s="506" customFormat="1" x14ac:dyDescent="0.2">
      <c r="A26" s="512">
        <v>2</v>
      </c>
      <c r="B26" s="511" t="s">
        <v>605</v>
      </c>
      <c r="C26" s="513">
        <v>28028963</v>
      </c>
      <c r="D26" s="515">
        <v>29404805</v>
      </c>
      <c r="E26" s="514">
        <f t="shared" si="1"/>
        <v>1375842</v>
      </c>
    </row>
    <row r="27" spans="1:5" s="506" customFormat="1" x14ac:dyDescent="0.2">
      <c r="A27" s="512">
        <v>3</v>
      </c>
      <c r="B27" s="511" t="s">
        <v>751</v>
      </c>
      <c r="C27" s="513">
        <v>5608950</v>
      </c>
      <c r="D27" s="515">
        <v>6370689</v>
      </c>
      <c r="E27" s="514">
        <f t="shared" si="1"/>
        <v>761739</v>
      </c>
    </row>
    <row r="28" spans="1:5" s="506" customFormat="1" x14ac:dyDescent="0.2">
      <c r="A28" s="512">
        <v>4</v>
      </c>
      <c r="B28" s="511" t="s">
        <v>114</v>
      </c>
      <c r="C28" s="513">
        <v>2820836</v>
      </c>
      <c r="D28" s="515">
        <v>3851898</v>
      </c>
      <c r="E28" s="514">
        <f t="shared" si="1"/>
        <v>1031062</v>
      </c>
    </row>
    <row r="29" spans="1:5" s="506" customFormat="1" x14ac:dyDescent="0.2">
      <c r="A29" s="512">
        <v>5</v>
      </c>
      <c r="B29" s="511" t="s">
        <v>718</v>
      </c>
      <c r="C29" s="513">
        <v>2788114</v>
      </c>
      <c r="D29" s="515">
        <v>2518791</v>
      </c>
      <c r="E29" s="514">
        <f t="shared" si="1"/>
        <v>-269323</v>
      </c>
    </row>
    <row r="30" spans="1:5" s="506" customFormat="1" x14ac:dyDescent="0.2">
      <c r="A30" s="512">
        <v>6</v>
      </c>
      <c r="B30" s="511" t="s">
        <v>418</v>
      </c>
      <c r="C30" s="513">
        <v>58414</v>
      </c>
      <c r="D30" s="515">
        <v>140523</v>
      </c>
      <c r="E30" s="514">
        <f t="shared" si="1"/>
        <v>82109</v>
      </c>
    </row>
    <row r="31" spans="1:5" s="506" customFormat="1" x14ac:dyDescent="0.2">
      <c r="A31" s="512">
        <v>7</v>
      </c>
      <c r="B31" s="511" t="s">
        <v>733</v>
      </c>
      <c r="C31" s="514">
        <v>2361759</v>
      </c>
      <c r="D31" s="518">
        <v>2223498</v>
      </c>
      <c r="E31" s="514">
        <f t="shared" si="1"/>
        <v>-138261</v>
      </c>
    </row>
    <row r="32" spans="1:5" s="506" customFormat="1" x14ac:dyDescent="0.2">
      <c r="A32" s="512"/>
      <c r="B32" s="516" t="s">
        <v>754</v>
      </c>
      <c r="C32" s="517">
        <f>SUM(C26+C27+C30)</f>
        <v>33696327</v>
      </c>
      <c r="D32" s="517">
        <f>SUM(D26+D27+D30)</f>
        <v>35916017</v>
      </c>
      <c r="E32" s="517">
        <f t="shared" si="1"/>
        <v>2219690</v>
      </c>
    </row>
    <row r="33" spans="1:5" s="506" customFormat="1" x14ac:dyDescent="0.2">
      <c r="A33" s="512"/>
      <c r="B33" s="516" t="s">
        <v>698</v>
      </c>
      <c r="C33" s="517">
        <f>SUM(C25+C32)</f>
        <v>71084105</v>
      </c>
      <c r="D33" s="517">
        <f>SUM(D25+D32)</f>
        <v>73329474</v>
      </c>
      <c r="E33" s="517">
        <f t="shared" si="1"/>
        <v>2245369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51276724</v>
      </c>
      <c r="D36" s="514">
        <f t="shared" si="2"/>
        <v>52184837</v>
      </c>
      <c r="E36" s="514">
        <f t="shared" ref="E36:E44" si="3">D36-C36</f>
        <v>908113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59558096</v>
      </c>
      <c r="D37" s="514">
        <f t="shared" si="2"/>
        <v>65446208</v>
      </c>
      <c r="E37" s="514">
        <f t="shared" si="3"/>
        <v>5888112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10137951</v>
      </c>
      <c r="D38" s="514">
        <f t="shared" si="2"/>
        <v>11901785</v>
      </c>
      <c r="E38" s="514">
        <f t="shared" si="3"/>
        <v>1763834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4836030</v>
      </c>
      <c r="D39" s="514">
        <f t="shared" si="2"/>
        <v>7111848</v>
      </c>
      <c r="E39" s="514">
        <f t="shared" si="3"/>
        <v>2275818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5301921</v>
      </c>
      <c r="D40" s="514">
        <f t="shared" si="2"/>
        <v>4789937</v>
      </c>
      <c r="E40" s="514">
        <f t="shared" si="3"/>
        <v>-511984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115176</v>
      </c>
      <c r="D41" s="514">
        <f t="shared" si="2"/>
        <v>210075</v>
      </c>
      <c r="E41" s="514">
        <f t="shared" si="3"/>
        <v>94899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3397401</v>
      </c>
      <c r="D42" s="514">
        <f t="shared" si="2"/>
        <v>3222487</v>
      </c>
      <c r="E42" s="514">
        <f t="shared" si="3"/>
        <v>-174914</v>
      </c>
    </row>
    <row r="43" spans="1:5" s="506" customFormat="1" x14ac:dyDescent="0.2">
      <c r="A43" s="512"/>
      <c r="B43" s="516" t="s">
        <v>762</v>
      </c>
      <c r="C43" s="517">
        <f>SUM(C37+C38+C41)</f>
        <v>69811223</v>
      </c>
      <c r="D43" s="517">
        <f>SUM(D37+D38+D41)</f>
        <v>77558068</v>
      </c>
      <c r="E43" s="517">
        <f t="shared" si="3"/>
        <v>7746845</v>
      </c>
    </row>
    <row r="44" spans="1:5" s="506" customFormat="1" x14ac:dyDescent="0.2">
      <c r="A44" s="512"/>
      <c r="B44" s="516" t="s">
        <v>700</v>
      </c>
      <c r="C44" s="517">
        <f>SUM(C36+C43)</f>
        <v>121087947</v>
      </c>
      <c r="D44" s="517">
        <f>SUM(D36+D43)</f>
        <v>129742905</v>
      </c>
      <c r="E44" s="517">
        <f t="shared" si="3"/>
        <v>8654958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6039862</v>
      </c>
      <c r="D47" s="513">
        <v>7159770</v>
      </c>
      <c r="E47" s="514">
        <f t="shared" ref="E47:E55" si="4">D47-C47</f>
        <v>1119908</v>
      </c>
    </row>
    <row r="48" spans="1:5" s="506" customFormat="1" x14ac:dyDescent="0.2">
      <c r="A48" s="512">
        <v>2</v>
      </c>
      <c r="B48" s="511" t="s">
        <v>605</v>
      </c>
      <c r="C48" s="513">
        <v>14533658</v>
      </c>
      <c r="D48" s="515">
        <v>17417313</v>
      </c>
      <c r="E48" s="514">
        <f t="shared" si="4"/>
        <v>2883655</v>
      </c>
    </row>
    <row r="49" spans="1:5" s="506" customFormat="1" x14ac:dyDescent="0.2">
      <c r="A49" s="512">
        <v>3</v>
      </c>
      <c r="B49" s="511" t="s">
        <v>751</v>
      </c>
      <c r="C49" s="513">
        <v>1564743</v>
      </c>
      <c r="D49" s="515">
        <v>1765749</v>
      </c>
      <c r="E49" s="514">
        <f t="shared" si="4"/>
        <v>201006</v>
      </c>
    </row>
    <row r="50" spans="1:5" s="506" customFormat="1" x14ac:dyDescent="0.2">
      <c r="A50" s="512">
        <v>4</v>
      </c>
      <c r="B50" s="511" t="s">
        <v>114</v>
      </c>
      <c r="C50" s="513">
        <v>750725</v>
      </c>
      <c r="D50" s="515">
        <v>1005381</v>
      </c>
      <c r="E50" s="514">
        <f t="shared" si="4"/>
        <v>254656</v>
      </c>
    </row>
    <row r="51" spans="1:5" s="506" customFormat="1" x14ac:dyDescent="0.2">
      <c r="A51" s="512">
        <v>5</v>
      </c>
      <c r="B51" s="511" t="s">
        <v>718</v>
      </c>
      <c r="C51" s="513">
        <v>814018</v>
      </c>
      <c r="D51" s="515">
        <v>760368</v>
      </c>
      <c r="E51" s="514">
        <f t="shared" si="4"/>
        <v>-53650</v>
      </c>
    </row>
    <row r="52" spans="1:5" s="506" customFormat="1" x14ac:dyDescent="0.2">
      <c r="A52" s="512">
        <v>6</v>
      </c>
      <c r="B52" s="511" t="s">
        <v>418</v>
      </c>
      <c r="C52" s="513">
        <v>47179</v>
      </c>
      <c r="D52" s="515">
        <v>67675</v>
      </c>
      <c r="E52" s="514">
        <f t="shared" si="4"/>
        <v>20496</v>
      </c>
    </row>
    <row r="53" spans="1:5" s="506" customFormat="1" x14ac:dyDescent="0.2">
      <c r="A53" s="512">
        <v>7</v>
      </c>
      <c r="B53" s="511" t="s">
        <v>733</v>
      </c>
      <c r="C53" s="513">
        <v>92627</v>
      </c>
      <c r="D53" s="515">
        <v>123857</v>
      </c>
      <c r="E53" s="514">
        <f t="shared" si="4"/>
        <v>31230</v>
      </c>
    </row>
    <row r="54" spans="1:5" s="506" customFormat="1" x14ac:dyDescent="0.2">
      <c r="A54" s="512"/>
      <c r="B54" s="516" t="s">
        <v>764</v>
      </c>
      <c r="C54" s="517">
        <f>SUM(C48+C49+C52)</f>
        <v>16145580</v>
      </c>
      <c r="D54" s="517">
        <f>SUM(D48+D49+D52)</f>
        <v>19250737</v>
      </c>
      <c r="E54" s="517">
        <f t="shared" si="4"/>
        <v>3105157</v>
      </c>
    </row>
    <row r="55" spans="1:5" s="506" customFormat="1" x14ac:dyDescent="0.2">
      <c r="A55" s="512"/>
      <c r="B55" s="516" t="s">
        <v>693</v>
      </c>
      <c r="C55" s="517">
        <f>SUM(C47+C54)</f>
        <v>22185442</v>
      </c>
      <c r="D55" s="517">
        <f>SUM(D47+D54)</f>
        <v>26410507</v>
      </c>
      <c r="E55" s="517">
        <f t="shared" si="4"/>
        <v>4225065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18476015</v>
      </c>
      <c r="D58" s="513">
        <v>16915611</v>
      </c>
      <c r="E58" s="514">
        <f t="shared" ref="E58:E66" si="5">D58-C58</f>
        <v>-1560404</v>
      </c>
    </row>
    <row r="59" spans="1:5" s="506" customFormat="1" x14ac:dyDescent="0.2">
      <c r="A59" s="512">
        <v>2</v>
      </c>
      <c r="B59" s="511" t="s">
        <v>605</v>
      </c>
      <c r="C59" s="513">
        <v>6631214</v>
      </c>
      <c r="D59" s="515">
        <v>6745593</v>
      </c>
      <c r="E59" s="514">
        <f t="shared" si="5"/>
        <v>114379</v>
      </c>
    </row>
    <row r="60" spans="1:5" s="506" customFormat="1" x14ac:dyDescent="0.2">
      <c r="A60" s="512">
        <v>3</v>
      </c>
      <c r="B60" s="511" t="s">
        <v>751</v>
      </c>
      <c r="C60" s="513">
        <f>C61+C62</f>
        <v>1179064</v>
      </c>
      <c r="D60" s="515">
        <f>D61+D62</f>
        <v>1279860</v>
      </c>
      <c r="E60" s="514">
        <f t="shared" si="5"/>
        <v>100796</v>
      </c>
    </row>
    <row r="61" spans="1:5" s="506" customFormat="1" x14ac:dyDescent="0.2">
      <c r="A61" s="512">
        <v>4</v>
      </c>
      <c r="B61" s="511" t="s">
        <v>114</v>
      </c>
      <c r="C61" s="513">
        <v>729848</v>
      </c>
      <c r="D61" s="515">
        <v>932748</v>
      </c>
      <c r="E61" s="514">
        <f t="shared" si="5"/>
        <v>202900</v>
      </c>
    </row>
    <row r="62" spans="1:5" s="506" customFormat="1" x14ac:dyDescent="0.2">
      <c r="A62" s="512">
        <v>5</v>
      </c>
      <c r="B62" s="511" t="s">
        <v>718</v>
      </c>
      <c r="C62" s="513">
        <v>449216</v>
      </c>
      <c r="D62" s="515">
        <v>347112</v>
      </c>
      <c r="E62" s="514">
        <f t="shared" si="5"/>
        <v>-102104</v>
      </c>
    </row>
    <row r="63" spans="1:5" s="506" customFormat="1" x14ac:dyDescent="0.2">
      <c r="A63" s="512">
        <v>6</v>
      </c>
      <c r="B63" s="511" t="s">
        <v>418</v>
      </c>
      <c r="C63" s="513">
        <v>24014</v>
      </c>
      <c r="D63" s="515">
        <v>40440</v>
      </c>
      <c r="E63" s="514">
        <f t="shared" si="5"/>
        <v>16426</v>
      </c>
    </row>
    <row r="64" spans="1:5" s="506" customFormat="1" x14ac:dyDescent="0.2">
      <c r="A64" s="512">
        <v>7</v>
      </c>
      <c r="B64" s="511" t="s">
        <v>733</v>
      </c>
      <c r="C64" s="513">
        <v>623982</v>
      </c>
      <c r="D64" s="515">
        <v>127109</v>
      </c>
      <c r="E64" s="514">
        <f t="shared" si="5"/>
        <v>-496873</v>
      </c>
    </row>
    <row r="65" spans="1:5" s="506" customFormat="1" x14ac:dyDescent="0.2">
      <c r="A65" s="512"/>
      <c r="B65" s="516" t="s">
        <v>766</v>
      </c>
      <c r="C65" s="517">
        <f>SUM(C59+C60+C63)</f>
        <v>7834292</v>
      </c>
      <c r="D65" s="517">
        <f>SUM(D59+D60+D63)</f>
        <v>8065893</v>
      </c>
      <c r="E65" s="517">
        <f t="shared" si="5"/>
        <v>231601</v>
      </c>
    </row>
    <row r="66" spans="1:5" s="506" customFormat="1" x14ac:dyDescent="0.2">
      <c r="A66" s="512"/>
      <c r="B66" s="516" t="s">
        <v>699</v>
      </c>
      <c r="C66" s="517">
        <f>SUM(C58+C65)</f>
        <v>26310307</v>
      </c>
      <c r="D66" s="517">
        <f>SUM(D58+D65)</f>
        <v>24981504</v>
      </c>
      <c r="E66" s="517">
        <f t="shared" si="5"/>
        <v>-1328803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24515877</v>
      </c>
      <c r="D69" s="514">
        <f t="shared" si="6"/>
        <v>24075381</v>
      </c>
      <c r="E69" s="514">
        <f t="shared" ref="E69:E77" si="7">D69-C69</f>
        <v>-440496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21164872</v>
      </c>
      <c r="D70" s="514">
        <f t="shared" si="6"/>
        <v>24162906</v>
      </c>
      <c r="E70" s="514">
        <f t="shared" si="7"/>
        <v>2998034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2743807</v>
      </c>
      <c r="D71" s="514">
        <f t="shared" si="6"/>
        <v>3045609</v>
      </c>
      <c r="E71" s="514">
        <f t="shared" si="7"/>
        <v>301802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1480573</v>
      </c>
      <c r="D72" s="514">
        <f t="shared" si="6"/>
        <v>1938129</v>
      </c>
      <c r="E72" s="514">
        <f t="shared" si="7"/>
        <v>457556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1263234</v>
      </c>
      <c r="D73" s="514">
        <f t="shared" si="6"/>
        <v>1107480</v>
      </c>
      <c r="E73" s="514">
        <f t="shared" si="7"/>
        <v>-155754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71193</v>
      </c>
      <c r="D74" s="514">
        <f t="shared" si="6"/>
        <v>108115</v>
      </c>
      <c r="E74" s="514">
        <f t="shared" si="7"/>
        <v>36922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716609</v>
      </c>
      <c r="D75" s="514">
        <f t="shared" si="6"/>
        <v>250966</v>
      </c>
      <c r="E75" s="514">
        <f t="shared" si="7"/>
        <v>-465643</v>
      </c>
    </row>
    <row r="76" spans="1:5" s="506" customFormat="1" x14ac:dyDescent="0.2">
      <c r="A76" s="512"/>
      <c r="B76" s="516" t="s">
        <v>767</v>
      </c>
      <c r="C76" s="517">
        <f>SUM(C70+C71+C74)</f>
        <v>23979872</v>
      </c>
      <c r="D76" s="517">
        <f>SUM(D70+D71+D74)</f>
        <v>27316630</v>
      </c>
      <c r="E76" s="517">
        <f t="shared" si="7"/>
        <v>3336758</v>
      </c>
    </row>
    <row r="77" spans="1:5" s="506" customFormat="1" x14ac:dyDescent="0.2">
      <c r="A77" s="512"/>
      <c r="B77" s="516" t="s">
        <v>701</v>
      </c>
      <c r="C77" s="517">
        <f>SUM(C69+C76)</f>
        <v>48495749</v>
      </c>
      <c r="D77" s="517">
        <f>SUM(D69+D76)</f>
        <v>51392011</v>
      </c>
      <c r="E77" s="517">
        <f t="shared" si="7"/>
        <v>2896262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0.11470130879335166</v>
      </c>
      <c r="D83" s="523">
        <f t="shared" si="8"/>
        <v>0.11385115818086546</v>
      </c>
      <c r="E83" s="523">
        <f t="shared" ref="E83:E91" si="9">D83-C83</f>
        <v>-8.5015061248620849E-4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0.26038209236465126</v>
      </c>
      <c r="D84" s="523">
        <f t="shared" si="8"/>
        <v>0.27779093585117431</v>
      </c>
      <c r="E84" s="523">
        <f t="shared" si="9"/>
        <v>1.7408843486523051E-2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3.7402574840912944E-2</v>
      </c>
      <c r="D85" s="523">
        <f t="shared" si="8"/>
        <v>4.2631202068429096E-2</v>
      </c>
      <c r="E85" s="523">
        <f t="shared" si="9"/>
        <v>5.2286272275161513E-3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1.6642399594073553E-2</v>
      </c>
      <c r="D86" s="523">
        <f t="shared" si="8"/>
        <v>2.5126229445841374E-2</v>
      </c>
      <c r="E86" s="523">
        <f t="shared" si="9"/>
        <v>8.4838298517678212E-3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2.0760175246839391E-2</v>
      </c>
      <c r="D87" s="523">
        <f t="shared" si="8"/>
        <v>1.7504972622587725E-2</v>
      </c>
      <c r="E87" s="523">
        <f t="shared" si="9"/>
        <v>-3.2552026242516664E-3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4.6876672209167109E-4</v>
      </c>
      <c r="D88" s="523">
        <f t="shared" si="8"/>
        <v>5.3607555650152889E-4</v>
      </c>
      <c r="E88" s="523">
        <f t="shared" si="9"/>
        <v>6.7308834409857804E-5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8.5528083154304373E-3</v>
      </c>
      <c r="D89" s="523">
        <f t="shared" si="8"/>
        <v>7.6997582257002798E-3</v>
      </c>
      <c r="E89" s="523">
        <f t="shared" si="9"/>
        <v>-8.5305008973015749E-4</v>
      </c>
    </row>
    <row r="90" spans="1:5" s="506" customFormat="1" x14ac:dyDescent="0.2">
      <c r="A90" s="512"/>
      <c r="B90" s="516" t="s">
        <v>770</v>
      </c>
      <c r="C90" s="524">
        <f>SUM(C84+C85+C88)</f>
        <v>0.29825343392765585</v>
      </c>
      <c r="D90" s="524">
        <f>SUM(D84+D85+D88)</f>
        <v>0.32095821347610493</v>
      </c>
      <c r="E90" s="525">
        <f t="shared" si="9"/>
        <v>2.2704779548449072E-2</v>
      </c>
    </row>
    <row r="91" spans="1:5" s="506" customFormat="1" x14ac:dyDescent="0.2">
      <c r="A91" s="512"/>
      <c r="B91" s="516" t="s">
        <v>771</v>
      </c>
      <c r="C91" s="524">
        <f>SUM(C83+C90)</f>
        <v>0.41295474272100752</v>
      </c>
      <c r="D91" s="524">
        <f>SUM(D83+D90)</f>
        <v>0.43480937165697037</v>
      </c>
      <c r="E91" s="525">
        <f t="shared" si="9"/>
        <v>2.185462893596285E-2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0.30876547935856902</v>
      </c>
      <c r="D95" s="523">
        <f t="shared" si="10"/>
        <v>0.28836611142628571</v>
      </c>
      <c r="E95" s="523">
        <f t="shared" ref="E95:E103" si="11">D95-C95</f>
        <v>-2.0399367932283308E-2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0.2314760774662403</v>
      </c>
      <c r="D96" s="523">
        <f t="shared" si="10"/>
        <v>0.2266390212243205</v>
      </c>
      <c r="E96" s="523">
        <f t="shared" si="11"/>
        <v>-4.837056241919796E-3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4.6321290755718239E-2</v>
      </c>
      <c r="D97" s="523">
        <f t="shared" si="10"/>
        <v>4.9102407565176684E-2</v>
      </c>
      <c r="E97" s="523">
        <f t="shared" si="11"/>
        <v>2.7811168094584449E-3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2.3295762046407476E-2</v>
      </c>
      <c r="D98" s="523">
        <f t="shared" si="10"/>
        <v>2.9688698584327211E-2</v>
      </c>
      <c r="E98" s="523">
        <f t="shared" si="11"/>
        <v>6.3929365379197349E-3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2.3025528709310763E-2</v>
      </c>
      <c r="D99" s="523">
        <f t="shared" si="10"/>
        <v>1.9413708980849473E-2</v>
      </c>
      <c r="E99" s="523">
        <f t="shared" si="11"/>
        <v>-3.61181972846129E-3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4.8240969846486867E-4</v>
      </c>
      <c r="D100" s="523">
        <f t="shared" si="10"/>
        <v>1.0830881272467269E-3</v>
      </c>
      <c r="E100" s="523">
        <f t="shared" si="11"/>
        <v>6.0067842878185822E-4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1.9504492879047656E-2</v>
      </c>
      <c r="D101" s="523">
        <f t="shared" si="10"/>
        <v>1.7137723253537449E-2</v>
      </c>
      <c r="E101" s="523">
        <f t="shared" si="11"/>
        <v>-2.3667696255102073E-3</v>
      </c>
    </row>
    <row r="102" spans="1:5" s="506" customFormat="1" x14ac:dyDescent="0.2">
      <c r="A102" s="512"/>
      <c r="B102" s="516" t="s">
        <v>773</v>
      </c>
      <c r="C102" s="524">
        <f>SUM(C96+C97+C100)</f>
        <v>0.27827977792042341</v>
      </c>
      <c r="D102" s="524">
        <f>SUM(D96+D97+D100)</f>
        <v>0.27682451691674392</v>
      </c>
      <c r="E102" s="525">
        <f t="shared" si="11"/>
        <v>-1.4552610036794866E-3</v>
      </c>
    </row>
    <row r="103" spans="1:5" s="506" customFormat="1" x14ac:dyDescent="0.2">
      <c r="A103" s="512"/>
      <c r="B103" s="516" t="s">
        <v>774</v>
      </c>
      <c r="C103" s="524">
        <f>SUM(C95+C102)</f>
        <v>0.58704525727899237</v>
      </c>
      <c r="D103" s="524">
        <f>SUM(D95+D102)</f>
        <v>0.56519062834302969</v>
      </c>
      <c r="E103" s="525">
        <f t="shared" si="11"/>
        <v>-2.1854628935962683E-2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0.99999999999999989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0.12454415334424467</v>
      </c>
      <c r="D109" s="523">
        <f t="shared" si="12"/>
        <v>0.13931678991896232</v>
      </c>
      <c r="E109" s="523">
        <f t="shared" ref="E109:E117" si="13">D109-C109</f>
        <v>1.4772636574717654E-2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0.29968931916073716</v>
      </c>
      <c r="D110" s="523">
        <f t="shared" si="12"/>
        <v>0.33891090582152933</v>
      </c>
      <c r="E110" s="523">
        <f t="shared" si="13"/>
        <v>3.9221586660792174E-2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3.2265570328648803E-2</v>
      </c>
      <c r="D111" s="523">
        <f t="shared" si="12"/>
        <v>3.4358433648373869E-2</v>
      </c>
      <c r="E111" s="523">
        <f t="shared" si="13"/>
        <v>2.0928633197250662E-3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1.54802228129315E-2</v>
      </c>
      <c r="D112" s="523">
        <f t="shared" si="12"/>
        <v>1.9562982269753951E-2</v>
      </c>
      <c r="E112" s="523">
        <f t="shared" si="13"/>
        <v>4.0827594568224514E-3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1.6785347515717305E-2</v>
      </c>
      <c r="D113" s="523">
        <f t="shared" si="12"/>
        <v>1.4795451378619918E-2</v>
      </c>
      <c r="E113" s="523">
        <f t="shared" si="13"/>
        <v>-1.9898961370973869E-3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9.728481562373642E-4</v>
      </c>
      <c r="D114" s="523">
        <f t="shared" si="12"/>
        <v>1.3168389149044975E-3</v>
      </c>
      <c r="E114" s="523">
        <f t="shared" si="13"/>
        <v>3.4399075866713331E-4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1.910002462277673E-3</v>
      </c>
      <c r="D115" s="523">
        <f t="shared" si="12"/>
        <v>2.410043849033267E-3</v>
      </c>
      <c r="E115" s="523">
        <f t="shared" si="13"/>
        <v>5.0004138675559403E-4</v>
      </c>
    </row>
    <row r="116" spans="1:5" s="506" customFormat="1" x14ac:dyDescent="0.2">
      <c r="A116" s="512"/>
      <c r="B116" s="516" t="s">
        <v>770</v>
      </c>
      <c r="C116" s="524">
        <f>SUM(C110+C111+C114)</f>
        <v>0.33292773764562333</v>
      </c>
      <c r="D116" s="524">
        <f>SUM(D110+D111+D114)</f>
        <v>0.37458617838480768</v>
      </c>
      <c r="E116" s="525">
        <f t="shared" si="13"/>
        <v>4.1658440739184344E-2</v>
      </c>
    </row>
    <row r="117" spans="1:5" s="506" customFormat="1" x14ac:dyDescent="0.2">
      <c r="A117" s="512"/>
      <c r="B117" s="516" t="s">
        <v>771</v>
      </c>
      <c r="C117" s="524">
        <f>SUM(C109+C116)</f>
        <v>0.45747189098986801</v>
      </c>
      <c r="D117" s="524">
        <f>SUM(D109+D116)</f>
        <v>0.51390296830377002</v>
      </c>
      <c r="E117" s="525">
        <f t="shared" si="13"/>
        <v>5.6431077313902012E-2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0.38098215577616917</v>
      </c>
      <c r="D121" s="523">
        <f t="shared" si="14"/>
        <v>0.32914864919374337</v>
      </c>
      <c r="E121" s="523">
        <f t="shared" ref="E121:E129" si="15">D121-C121</f>
        <v>-5.1833506582425803E-2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0.13673804687499516</v>
      </c>
      <c r="D122" s="523">
        <f t="shared" si="14"/>
        <v>0.13125761901008309</v>
      </c>
      <c r="E122" s="523">
        <f t="shared" si="15"/>
        <v>-5.4804278649120686E-3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2.4312728936303263E-2</v>
      </c>
      <c r="D123" s="523">
        <f t="shared" si="14"/>
        <v>2.4903870759211973E-2</v>
      </c>
      <c r="E123" s="523">
        <f t="shared" si="15"/>
        <v>5.9114182290870981E-4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1.5049731472339978E-2</v>
      </c>
      <c r="D124" s="523">
        <f t="shared" si="14"/>
        <v>1.8149669216096641E-2</v>
      </c>
      <c r="E124" s="523">
        <f t="shared" si="15"/>
        <v>3.0999377437566627E-3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9.2629974639632847E-3</v>
      </c>
      <c r="D125" s="523">
        <f t="shared" si="14"/>
        <v>6.7542015431153301E-3</v>
      </c>
      <c r="E125" s="523">
        <f t="shared" si="15"/>
        <v>-2.5087959208479546E-3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4.9517742266440713E-4</v>
      </c>
      <c r="D126" s="523">
        <f t="shared" si="14"/>
        <v>7.8689273319154608E-4</v>
      </c>
      <c r="E126" s="523">
        <f t="shared" si="15"/>
        <v>2.9171531052713895E-4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1.2866736010201637E-2</v>
      </c>
      <c r="D127" s="523">
        <f t="shared" si="14"/>
        <v>2.4733221667468898E-3</v>
      </c>
      <c r="E127" s="523">
        <f t="shared" si="15"/>
        <v>-1.0393413843454748E-2</v>
      </c>
    </row>
    <row r="128" spans="1:5" s="506" customFormat="1" x14ac:dyDescent="0.2">
      <c r="A128" s="512"/>
      <c r="B128" s="516" t="s">
        <v>773</v>
      </c>
      <c r="C128" s="524">
        <f>SUM(C122+C123+C126)</f>
        <v>0.16154595323396284</v>
      </c>
      <c r="D128" s="524">
        <f>SUM(D122+D123+D126)</f>
        <v>0.15694838250248661</v>
      </c>
      <c r="E128" s="525">
        <f t="shared" si="15"/>
        <v>-4.597570731476236E-3</v>
      </c>
    </row>
    <row r="129" spans="1:5" s="506" customFormat="1" x14ac:dyDescent="0.2">
      <c r="A129" s="512"/>
      <c r="B129" s="516" t="s">
        <v>774</v>
      </c>
      <c r="C129" s="524">
        <f>SUM(C121+C128)</f>
        <v>0.54252810901013204</v>
      </c>
      <c r="D129" s="524">
        <f>SUM(D121+D128)</f>
        <v>0.48609703169622998</v>
      </c>
      <c r="E129" s="525">
        <f t="shared" si="15"/>
        <v>-5.6431077313902067E-2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808</v>
      </c>
      <c r="D137" s="530">
        <v>794</v>
      </c>
      <c r="E137" s="531">
        <f t="shared" ref="E137:E145" si="16">D137-C137</f>
        <v>-14</v>
      </c>
    </row>
    <row r="138" spans="1:5" s="506" customFormat="1" x14ac:dyDescent="0.2">
      <c r="A138" s="512">
        <v>2</v>
      </c>
      <c r="B138" s="511" t="s">
        <v>605</v>
      </c>
      <c r="C138" s="530">
        <v>1479</v>
      </c>
      <c r="D138" s="530">
        <v>1530</v>
      </c>
      <c r="E138" s="531">
        <f t="shared" si="16"/>
        <v>51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387</v>
      </c>
      <c r="D139" s="530">
        <f>D140+D141</f>
        <v>371</v>
      </c>
      <c r="E139" s="531">
        <f t="shared" si="16"/>
        <v>-16</v>
      </c>
    </row>
    <row r="140" spans="1:5" s="506" customFormat="1" x14ac:dyDescent="0.2">
      <c r="A140" s="512">
        <v>4</v>
      </c>
      <c r="B140" s="511" t="s">
        <v>114</v>
      </c>
      <c r="C140" s="530">
        <v>217</v>
      </c>
      <c r="D140" s="530">
        <v>223</v>
      </c>
      <c r="E140" s="531">
        <f t="shared" si="16"/>
        <v>6</v>
      </c>
    </row>
    <row r="141" spans="1:5" s="506" customFormat="1" x14ac:dyDescent="0.2">
      <c r="A141" s="512">
        <v>5</v>
      </c>
      <c r="B141" s="511" t="s">
        <v>718</v>
      </c>
      <c r="C141" s="530">
        <v>170</v>
      </c>
      <c r="D141" s="530">
        <v>148</v>
      </c>
      <c r="E141" s="531">
        <f t="shared" si="16"/>
        <v>-22</v>
      </c>
    </row>
    <row r="142" spans="1:5" s="506" customFormat="1" x14ac:dyDescent="0.2">
      <c r="A142" s="512">
        <v>6</v>
      </c>
      <c r="B142" s="511" t="s">
        <v>418</v>
      </c>
      <c r="C142" s="530">
        <v>7</v>
      </c>
      <c r="D142" s="530">
        <v>8</v>
      </c>
      <c r="E142" s="531">
        <f t="shared" si="16"/>
        <v>1</v>
      </c>
    </row>
    <row r="143" spans="1:5" s="506" customFormat="1" x14ac:dyDescent="0.2">
      <c r="A143" s="512">
        <v>7</v>
      </c>
      <c r="B143" s="511" t="s">
        <v>733</v>
      </c>
      <c r="C143" s="530">
        <v>65</v>
      </c>
      <c r="D143" s="530">
        <v>57</v>
      </c>
      <c r="E143" s="531">
        <f t="shared" si="16"/>
        <v>-8</v>
      </c>
    </row>
    <row r="144" spans="1:5" s="506" customFormat="1" x14ac:dyDescent="0.2">
      <c r="A144" s="512"/>
      <c r="B144" s="516" t="s">
        <v>781</v>
      </c>
      <c r="C144" s="532">
        <f>SUM(C138+C139+C142)</f>
        <v>1873</v>
      </c>
      <c r="D144" s="532">
        <f>SUM(D138+D139+D142)</f>
        <v>1909</v>
      </c>
      <c r="E144" s="533">
        <f t="shared" si="16"/>
        <v>36</v>
      </c>
    </row>
    <row r="145" spans="1:5" s="506" customFormat="1" x14ac:dyDescent="0.2">
      <c r="A145" s="512"/>
      <c r="B145" s="516" t="s">
        <v>695</v>
      </c>
      <c r="C145" s="532">
        <f>SUM(C137+C144)</f>
        <v>2681</v>
      </c>
      <c r="D145" s="532">
        <f>SUM(D137+D144)</f>
        <v>2703</v>
      </c>
      <c r="E145" s="533">
        <f t="shared" si="16"/>
        <v>22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2277</v>
      </c>
      <c r="D149" s="534">
        <v>2402</v>
      </c>
      <c r="E149" s="531">
        <f t="shared" ref="E149:E157" si="17">D149-C149</f>
        <v>125</v>
      </c>
    </row>
    <row r="150" spans="1:5" s="506" customFormat="1" x14ac:dyDescent="0.2">
      <c r="A150" s="512">
        <v>2</v>
      </c>
      <c r="B150" s="511" t="s">
        <v>605</v>
      </c>
      <c r="C150" s="534">
        <v>8145</v>
      </c>
      <c r="D150" s="534">
        <v>8685</v>
      </c>
      <c r="E150" s="531">
        <f t="shared" si="17"/>
        <v>540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1184</v>
      </c>
      <c r="D151" s="534">
        <f>D152+D153</f>
        <v>1252</v>
      </c>
      <c r="E151" s="531">
        <f t="shared" si="17"/>
        <v>68</v>
      </c>
    </row>
    <row r="152" spans="1:5" s="506" customFormat="1" x14ac:dyDescent="0.2">
      <c r="A152" s="512">
        <v>4</v>
      </c>
      <c r="B152" s="511" t="s">
        <v>114</v>
      </c>
      <c r="C152" s="534">
        <v>589</v>
      </c>
      <c r="D152" s="534">
        <v>762</v>
      </c>
      <c r="E152" s="531">
        <f t="shared" si="17"/>
        <v>173</v>
      </c>
    </row>
    <row r="153" spans="1:5" s="506" customFormat="1" x14ac:dyDescent="0.2">
      <c r="A153" s="512">
        <v>5</v>
      </c>
      <c r="B153" s="511" t="s">
        <v>718</v>
      </c>
      <c r="C153" s="535">
        <v>595</v>
      </c>
      <c r="D153" s="534">
        <v>490</v>
      </c>
      <c r="E153" s="531">
        <f t="shared" si="17"/>
        <v>-105</v>
      </c>
    </row>
    <row r="154" spans="1:5" s="506" customFormat="1" x14ac:dyDescent="0.2">
      <c r="A154" s="512">
        <v>6</v>
      </c>
      <c r="B154" s="511" t="s">
        <v>418</v>
      </c>
      <c r="C154" s="534">
        <v>16</v>
      </c>
      <c r="D154" s="534">
        <v>16</v>
      </c>
      <c r="E154" s="531">
        <f t="shared" si="17"/>
        <v>0</v>
      </c>
    </row>
    <row r="155" spans="1:5" s="506" customFormat="1" x14ac:dyDescent="0.2">
      <c r="A155" s="512">
        <v>7</v>
      </c>
      <c r="B155" s="511" t="s">
        <v>733</v>
      </c>
      <c r="C155" s="534">
        <v>178</v>
      </c>
      <c r="D155" s="534">
        <v>186</v>
      </c>
      <c r="E155" s="531">
        <f t="shared" si="17"/>
        <v>8</v>
      </c>
    </row>
    <row r="156" spans="1:5" s="506" customFormat="1" x14ac:dyDescent="0.2">
      <c r="A156" s="512"/>
      <c r="B156" s="516" t="s">
        <v>782</v>
      </c>
      <c r="C156" s="532">
        <f>SUM(C150+C151+C154)</f>
        <v>9345</v>
      </c>
      <c r="D156" s="532">
        <f>SUM(D150+D151+D154)</f>
        <v>9953</v>
      </c>
      <c r="E156" s="533">
        <f t="shared" si="17"/>
        <v>608</v>
      </c>
    </row>
    <row r="157" spans="1:5" s="506" customFormat="1" x14ac:dyDescent="0.2">
      <c r="A157" s="512"/>
      <c r="B157" s="516" t="s">
        <v>783</v>
      </c>
      <c r="C157" s="532">
        <f>SUM(C149+C156)</f>
        <v>11622</v>
      </c>
      <c r="D157" s="532">
        <f>SUM(D149+D156)</f>
        <v>12355</v>
      </c>
      <c r="E157" s="533">
        <f t="shared" si="17"/>
        <v>733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2.8180693069306932</v>
      </c>
      <c r="D161" s="536">
        <f t="shared" si="18"/>
        <v>3.0251889168765742</v>
      </c>
      <c r="E161" s="537">
        <f t="shared" ref="E161:E169" si="19">D161-C161</f>
        <v>0.20711960994588097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5.5070993914807298</v>
      </c>
      <c r="D162" s="536">
        <f t="shared" si="18"/>
        <v>5.6764705882352944</v>
      </c>
      <c r="E162" s="537">
        <f t="shared" si="19"/>
        <v>0.16937119675456458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3.0594315245478034</v>
      </c>
      <c r="D163" s="536">
        <f t="shared" si="18"/>
        <v>3.3746630727762805</v>
      </c>
      <c r="E163" s="537">
        <f t="shared" si="19"/>
        <v>0.3152315482284771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2.7142857142857144</v>
      </c>
      <c r="D164" s="536">
        <f t="shared" si="18"/>
        <v>3.4170403587443947</v>
      </c>
      <c r="E164" s="537">
        <f t="shared" si="19"/>
        <v>0.7027546444586803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3.5</v>
      </c>
      <c r="D165" s="536">
        <f t="shared" si="18"/>
        <v>3.310810810810811</v>
      </c>
      <c r="E165" s="537">
        <f t="shared" si="19"/>
        <v>-0.18918918918918903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2.2857142857142856</v>
      </c>
      <c r="D166" s="536">
        <f t="shared" si="18"/>
        <v>2</v>
      </c>
      <c r="E166" s="537">
        <f t="shared" si="19"/>
        <v>-0.28571428571428559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2.7384615384615385</v>
      </c>
      <c r="D167" s="536">
        <f t="shared" si="18"/>
        <v>3.263157894736842</v>
      </c>
      <c r="E167" s="537">
        <f t="shared" si="19"/>
        <v>0.52469635627530353</v>
      </c>
    </row>
    <row r="168" spans="1:5" s="506" customFormat="1" x14ac:dyDescent="0.2">
      <c r="A168" s="512"/>
      <c r="B168" s="516" t="s">
        <v>785</v>
      </c>
      <c r="C168" s="538">
        <f t="shared" si="18"/>
        <v>4.9893219434063001</v>
      </c>
      <c r="D168" s="538">
        <f t="shared" si="18"/>
        <v>5.2137244630696697</v>
      </c>
      <c r="E168" s="539">
        <f t="shared" si="19"/>
        <v>0.22440251966336966</v>
      </c>
    </row>
    <row r="169" spans="1:5" s="506" customFormat="1" x14ac:dyDescent="0.2">
      <c r="A169" s="512"/>
      <c r="B169" s="516" t="s">
        <v>719</v>
      </c>
      <c r="C169" s="538">
        <f t="shared" si="18"/>
        <v>4.3349496456546062</v>
      </c>
      <c r="D169" s="538">
        <f t="shared" si="18"/>
        <v>4.570847206807251</v>
      </c>
      <c r="E169" s="539">
        <f t="shared" si="19"/>
        <v>0.23589756115264482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0.98860000000000003</v>
      </c>
      <c r="D173" s="541">
        <f t="shared" si="20"/>
        <v>1.0126999999999999</v>
      </c>
      <c r="E173" s="542">
        <f t="shared" ref="E173:E181" si="21">D173-C173</f>
        <v>2.4099999999999899E-2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1.1483000000000001</v>
      </c>
      <c r="D174" s="541">
        <f t="shared" si="20"/>
        <v>1.2059</v>
      </c>
      <c r="E174" s="542">
        <f t="shared" si="21"/>
        <v>5.7599999999999874E-2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0.85926847545219642</v>
      </c>
      <c r="D175" s="541">
        <f t="shared" si="20"/>
        <v>0.89058840970350406</v>
      </c>
      <c r="E175" s="542">
        <f t="shared" si="21"/>
        <v>3.1319934251307635E-2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0.85470000000000002</v>
      </c>
      <c r="D176" s="541">
        <f t="shared" si="20"/>
        <v>0.84930000000000005</v>
      </c>
      <c r="E176" s="542">
        <f t="shared" si="21"/>
        <v>-5.3999999999999604E-3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0.86510000000000009</v>
      </c>
      <c r="D177" s="541">
        <f t="shared" si="20"/>
        <v>0.95279999999999998</v>
      </c>
      <c r="E177" s="542">
        <f t="shared" si="21"/>
        <v>8.7699999999999889E-2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0.68889999999999996</v>
      </c>
      <c r="D178" s="541">
        <f t="shared" si="20"/>
        <v>0.66390000000000005</v>
      </c>
      <c r="E178" s="542">
        <f t="shared" si="21"/>
        <v>-2.4999999999999911E-2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0.81330000000000002</v>
      </c>
      <c r="D179" s="541">
        <f t="shared" si="20"/>
        <v>1.1084000000000001</v>
      </c>
      <c r="E179" s="542">
        <f t="shared" si="21"/>
        <v>0.29510000000000003</v>
      </c>
    </row>
    <row r="180" spans="1:5" s="506" customFormat="1" x14ac:dyDescent="0.2">
      <c r="A180" s="512"/>
      <c r="B180" s="516" t="s">
        <v>787</v>
      </c>
      <c r="C180" s="543">
        <f t="shared" si="20"/>
        <v>1.0868632674853178</v>
      </c>
      <c r="D180" s="543">
        <f t="shared" si="20"/>
        <v>1.142350183342064</v>
      </c>
      <c r="E180" s="544">
        <f t="shared" si="21"/>
        <v>5.5486915856746144E-2</v>
      </c>
    </row>
    <row r="181" spans="1:5" s="506" customFormat="1" x14ac:dyDescent="0.2">
      <c r="A181" s="512"/>
      <c r="B181" s="516" t="s">
        <v>696</v>
      </c>
      <c r="C181" s="543">
        <f t="shared" si="20"/>
        <v>1.0572486758672137</v>
      </c>
      <c r="D181" s="543">
        <f t="shared" si="20"/>
        <v>1.1042657417684054</v>
      </c>
      <c r="E181" s="544">
        <f t="shared" si="21"/>
        <v>4.7017065901191701E-2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51276724</v>
      </c>
      <c r="D185" s="513">
        <v>52184837</v>
      </c>
      <c r="E185" s="514">
        <f>D185-C185</f>
        <v>908113</v>
      </c>
    </row>
    <row r="186" spans="1:5" s="506" customFormat="1" ht="25.5" x14ac:dyDescent="0.2">
      <c r="A186" s="512">
        <v>2</v>
      </c>
      <c r="B186" s="511" t="s">
        <v>790</v>
      </c>
      <c r="C186" s="513">
        <v>28057281</v>
      </c>
      <c r="D186" s="513">
        <v>29672248</v>
      </c>
      <c r="E186" s="514">
        <f>D186-C186</f>
        <v>1614967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23219443</v>
      </c>
      <c r="D188" s="546">
        <f>+D185-D186</f>
        <v>22512589</v>
      </c>
      <c r="E188" s="514">
        <f t="shared" ref="E188:E197" si="22">D188-C188</f>
        <v>-706854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0.45282617898912575</v>
      </c>
      <c r="D189" s="547">
        <f>IF(D185=0,0,+D188/D185)</f>
        <v>0.43140096423028013</v>
      </c>
      <c r="E189" s="523">
        <f t="shared" si="22"/>
        <v>-2.1425214758845623E-2</v>
      </c>
    </row>
    <row r="190" spans="1:5" s="506" customFormat="1" x14ac:dyDescent="0.2">
      <c r="A190" s="512">
        <v>5</v>
      </c>
      <c r="B190" s="511" t="s">
        <v>737</v>
      </c>
      <c r="C190" s="513">
        <v>1806458</v>
      </c>
      <c r="D190" s="513">
        <v>1967108</v>
      </c>
      <c r="E190" s="546">
        <f t="shared" si="22"/>
        <v>160650</v>
      </c>
    </row>
    <row r="191" spans="1:5" s="506" customFormat="1" x14ac:dyDescent="0.2">
      <c r="A191" s="512">
        <v>6</v>
      </c>
      <c r="B191" s="511" t="s">
        <v>723</v>
      </c>
      <c r="C191" s="513">
        <v>1025987</v>
      </c>
      <c r="D191" s="513">
        <v>1117229</v>
      </c>
      <c r="E191" s="546">
        <f t="shared" si="22"/>
        <v>91242</v>
      </c>
    </row>
    <row r="192" spans="1:5" ht="29.25" x14ac:dyDescent="0.2">
      <c r="A192" s="512">
        <v>7</v>
      </c>
      <c r="B192" s="548" t="s">
        <v>791</v>
      </c>
      <c r="C192" s="513">
        <v>251652</v>
      </c>
      <c r="D192" s="513">
        <v>0</v>
      </c>
      <c r="E192" s="546">
        <f t="shared" si="22"/>
        <v>-251652</v>
      </c>
    </row>
    <row r="193" spans="1:5" s="506" customFormat="1" x14ac:dyDescent="0.2">
      <c r="A193" s="512">
        <v>8</v>
      </c>
      <c r="B193" s="511" t="s">
        <v>792</v>
      </c>
      <c r="C193" s="513">
        <v>767288</v>
      </c>
      <c r="D193" s="513">
        <v>942411</v>
      </c>
      <c r="E193" s="546">
        <f t="shared" si="22"/>
        <v>175123</v>
      </c>
    </row>
    <row r="194" spans="1:5" s="506" customFormat="1" x14ac:dyDescent="0.2">
      <c r="A194" s="512">
        <v>9</v>
      </c>
      <c r="B194" s="511" t="s">
        <v>793</v>
      </c>
      <c r="C194" s="513">
        <v>1748130</v>
      </c>
      <c r="D194" s="513">
        <v>3537228</v>
      </c>
      <c r="E194" s="546">
        <f t="shared" si="22"/>
        <v>1789098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2515418</v>
      </c>
      <c r="D195" s="513">
        <f>+D193+D194</f>
        <v>4479639</v>
      </c>
      <c r="E195" s="549">
        <f t="shared" si="22"/>
        <v>1964221</v>
      </c>
    </row>
    <row r="196" spans="1:5" s="506" customFormat="1" x14ac:dyDescent="0.2">
      <c r="A196" s="512">
        <v>11</v>
      </c>
      <c r="B196" s="511" t="s">
        <v>795</v>
      </c>
      <c r="C196" s="513">
        <v>51276724</v>
      </c>
      <c r="D196" s="513">
        <v>52184837</v>
      </c>
      <c r="E196" s="546">
        <f t="shared" si="22"/>
        <v>908113</v>
      </c>
    </row>
    <row r="197" spans="1:5" s="506" customFormat="1" x14ac:dyDescent="0.2">
      <c r="A197" s="512">
        <v>12</v>
      </c>
      <c r="B197" s="511" t="s">
        <v>680</v>
      </c>
      <c r="C197" s="513">
        <v>48108598</v>
      </c>
      <c r="D197" s="513">
        <v>53061849</v>
      </c>
      <c r="E197" s="546">
        <f t="shared" si="22"/>
        <v>4953251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798.78880000000004</v>
      </c>
      <c r="D203" s="553">
        <v>804.0838</v>
      </c>
      <c r="E203" s="554">
        <f t="shared" ref="E203:E211" si="23">D203-C203</f>
        <v>5.2949999999999591</v>
      </c>
    </row>
    <row r="204" spans="1:5" s="506" customFormat="1" x14ac:dyDescent="0.2">
      <c r="A204" s="512">
        <v>2</v>
      </c>
      <c r="B204" s="511" t="s">
        <v>605</v>
      </c>
      <c r="C204" s="553">
        <v>1698.3357000000001</v>
      </c>
      <c r="D204" s="553">
        <v>1845.027</v>
      </c>
      <c r="E204" s="554">
        <f t="shared" si="23"/>
        <v>146.69129999999996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332.5369</v>
      </c>
      <c r="D205" s="553">
        <f>D206+D207</f>
        <v>330.4083</v>
      </c>
      <c r="E205" s="554">
        <f t="shared" si="23"/>
        <v>-2.1286000000000058</v>
      </c>
    </row>
    <row r="206" spans="1:5" s="506" customFormat="1" x14ac:dyDescent="0.2">
      <c r="A206" s="512">
        <v>4</v>
      </c>
      <c r="B206" s="511" t="s">
        <v>114</v>
      </c>
      <c r="C206" s="553">
        <v>185.4699</v>
      </c>
      <c r="D206" s="553">
        <v>189.3939</v>
      </c>
      <c r="E206" s="554">
        <f t="shared" si="23"/>
        <v>3.9240000000000066</v>
      </c>
    </row>
    <row r="207" spans="1:5" s="506" customFormat="1" x14ac:dyDescent="0.2">
      <c r="A207" s="512">
        <v>5</v>
      </c>
      <c r="B207" s="511" t="s">
        <v>718</v>
      </c>
      <c r="C207" s="553">
        <v>147.06700000000001</v>
      </c>
      <c r="D207" s="553">
        <v>141.01439999999999</v>
      </c>
      <c r="E207" s="554">
        <f t="shared" si="23"/>
        <v>-6.0526000000000124</v>
      </c>
    </row>
    <row r="208" spans="1:5" s="506" customFormat="1" x14ac:dyDescent="0.2">
      <c r="A208" s="512">
        <v>6</v>
      </c>
      <c r="B208" s="511" t="s">
        <v>418</v>
      </c>
      <c r="C208" s="553">
        <v>4.8222999999999994</v>
      </c>
      <c r="D208" s="553">
        <v>5.3112000000000004</v>
      </c>
      <c r="E208" s="554">
        <f t="shared" si="23"/>
        <v>0.488900000000001</v>
      </c>
    </row>
    <row r="209" spans="1:5" s="506" customFormat="1" x14ac:dyDescent="0.2">
      <c r="A209" s="512">
        <v>7</v>
      </c>
      <c r="B209" s="511" t="s">
        <v>733</v>
      </c>
      <c r="C209" s="553">
        <v>52.8645</v>
      </c>
      <c r="D209" s="553">
        <v>63.178800000000003</v>
      </c>
      <c r="E209" s="554">
        <f t="shared" si="23"/>
        <v>10.314300000000003</v>
      </c>
    </row>
    <row r="210" spans="1:5" s="506" customFormat="1" x14ac:dyDescent="0.2">
      <c r="A210" s="512"/>
      <c r="B210" s="516" t="s">
        <v>798</v>
      </c>
      <c r="C210" s="555">
        <f>C204+C205+C208</f>
        <v>2035.6949000000002</v>
      </c>
      <c r="D210" s="555">
        <f>D204+D205+D208</f>
        <v>2180.7465000000002</v>
      </c>
      <c r="E210" s="556">
        <f t="shared" si="23"/>
        <v>145.05160000000001</v>
      </c>
    </row>
    <row r="211" spans="1:5" s="506" customFormat="1" x14ac:dyDescent="0.2">
      <c r="A211" s="512"/>
      <c r="B211" s="516" t="s">
        <v>697</v>
      </c>
      <c r="C211" s="555">
        <f>C210+C203</f>
        <v>2834.4837000000002</v>
      </c>
      <c r="D211" s="555">
        <f>D210+D203</f>
        <v>2984.8303000000001</v>
      </c>
      <c r="E211" s="556">
        <f t="shared" si="23"/>
        <v>150.34659999999985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2175.0624290712917</v>
      </c>
      <c r="D215" s="557">
        <f>IF(D14*D137=0,0,D25/D14*D137)</f>
        <v>2011.0703846221545</v>
      </c>
      <c r="E215" s="557">
        <f t="shared" ref="E215:E223" si="24">D215-C215</f>
        <v>-163.99204444913721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1314.8105365599492</v>
      </c>
      <c r="D216" s="557">
        <f>IF(D15*D138=0,0,D26/D15*D138)</f>
        <v>1248.2685995880904</v>
      </c>
      <c r="E216" s="557">
        <f t="shared" si="24"/>
        <v>-66.541936971858831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492.30351945570044</v>
      </c>
      <c r="D217" s="557">
        <f>D218+D219</f>
        <v>427.63064000577339</v>
      </c>
      <c r="E217" s="557">
        <f t="shared" si="24"/>
        <v>-64.672879449927052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303.75309374680552</v>
      </c>
      <c r="D218" s="557">
        <f t="shared" si="25"/>
        <v>263.4927695210049</v>
      </c>
      <c r="E218" s="557">
        <f t="shared" si="24"/>
        <v>-40.260324225800616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188.55042570889492</v>
      </c>
      <c r="D219" s="557">
        <f t="shared" si="25"/>
        <v>164.13787048476848</v>
      </c>
      <c r="E219" s="557">
        <f t="shared" si="24"/>
        <v>-24.412555224126436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7.2037278460942176</v>
      </c>
      <c r="D220" s="557">
        <f t="shared" si="25"/>
        <v>16.163216011042099</v>
      </c>
      <c r="E220" s="557">
        <f t="shared" si="24"/>
        <v>8.9594881649478815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148.23108274867184</v>
      </c>
      <c r="D221" s="557">
        <f t="shared" si="25"/>
        <v>126.86764919333446</v>
      </c>
      <c r="E221" s="557">
        <f t="shared" si="24"/>
        <v>-21.36343355533738</v>
      </c>
    </row>
    <row r="222" spans="1:5" s="506" customFormat="1" x14ac:dyDescent="0.2">
      <c r="A222" s="512"/>
      <c r="B222" s="516" t="s">
        <v>800</v>
      </c>
      <c r="C222" s="558">
        <f>C216+C218+C219+C220</f>
        <v>1814.3177838617437</v>
      </c>
      <c r="D222" s="558">
        <f>D216+D218+D219+D220</f>
        <v>1692.0624556049058</v>
      </c>
      <c r="E222" s="558">
        <f t="shared" si="24"/>
        <v>-122.25532825683786</v>
      </c>
    </row>
    <row r="223" spans="1:5" s="506" customFormat="1" x14ac:dyDescent="0.2">
      <c r="A223" s="512"/>
      <c r="B223" s="516" t="s">
        <v>801</v>
      </c>
      <c r="C223" s="558">
        <f>C215+C222</f>
        <v>3989.3802129330352</v>
      </c>
      <c r="D223" s="558">
        <f>D215+D222</f>
        <v>3703.1328402270601</v>
      </c>
      <c r="E223" s="558">
        <f t="shared" si="24"/>
        <v>-286.24737270597507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7561.2752707599302</v>
      </c>
      <c r="D227" s="560">
        <f t="shared" si="26"/>
        <v>8904.2584864910841</v>
      </c>
      <c r="E227" s="560">
        <f t="shared" ref="E227:E235" si="27">D227-C227</f>
        <v>1342.9832157311539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8557.5884673448236</v>
      </c>
      <c r="D228" s="560">
        <f t="shared" si="26"/>
        <v>9440.1399003917013</v>
      </c>
      <c r="E228" s="560">
        <f t="shared" si="27"/>
        <v>882.55143304687772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4705.4717837328726</v>
      </c>
      <c r="D229" s="560">
        <f t="shared" si="26"/>
        <v>5344.1423838323672</v>
      </c>
      <c r="E229" s="560">
        <f t="shared" si="27"/>
        <v>638.67060009949455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4047.6918357102691</v>
      </c>
      <c r="D230" s="560">
        <f t="shared" si="26"/>
        <v>5308.4127841498594</v>
      </c>
      <c r="E230" s="560">
        <f t="shared" si="27"/>
        <v>1260.7209484395903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5535.0146531852824</v>
      </c>
      <c r="D231" s="560">
        <f t="shared" si="26"/>
        <v>5392.1301654299141</v>
      </c>
      <c r="E231" s="560">
        <f t="shared" si="27"/>
        <v>-142.88448775536835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9783.5057959894675</v>
      </c>
      <c r="D232" s="560">
        <f t="shared" si="26"/>
        <v>12741.941557463473</v>
      </c>
      <c r="E232" s="560">
        <f t="shared" si="27"/>
        <v>2958.4357614740056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1752.1588211370579</v>
      </c>
      <c r="D233" s="560">
        <f t="shared" si="26"/>
        <v>1960.4202675581048</v>
      </c>
      <c r="E233" s="560">
        <f t="shared" si="27"/>
        <v>208.26144642104691</v>
      </c>
    </row>
    <row r="234" spans="1:5" x14ac:dyDescent="0.2">
      <c r="A234" s="512"/>
      <c r="B234" s="516" t="s">
        <v>803</v>
      </c>
      <c r="C234" s="561">
        <f t="shared" si="26"/>
        <v>7931.2376329085455</v>
      </c>
      <c r="D234" s="561">
        <f t="shared" si="26"/>
        <v>8827.5904604226107</v>
      </c>
      <c r="E234" s="561">
        <f t="shared" si="27"/>
        <v>896.35282751406521</v>
      </c>
    </row>
    <row r="235" spans="1:5" s="506" customFormat="1" x14ac:dyDescent="0.2">
      <c r="A235" s="512"/>
      <c r="B235" s="516" t="s">
        <v>804</v>
      </c>
      <c r="C235" s="561">
        <f t="shared" si="26"/>
        <v>7826.9781547870598</v>
      </c>
      <c r="D235" s="561">
        <f t="shared" si="26"/>
        <v>8848.2440693529534</v>
      </c>
      <c r="E235" s="561">
        <f t="shared" si="27"/>
        <v>1021.2659145658936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8494.4757231124113</v>
      </c>
      <c r="D239" s="560">
        <f t="shared" si="28"/>
        <v>8411.2476268095179</v>
      </c>
      <c r="E239" s="562">
        <f t="shared" ref="E239:E247" si="29">D239-C239</f>
        <v>-83.228096302893391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5043.47494609361</v>
      </c>
      <c r="D240" s="560">
        <f t="shared" si="28"/>
        <v>5403.9595342107805</v>
      </c>
      <c r="E240" s="562">
        <f t="shared" si="29"/>
        <v>360.48458811717046</v>
      </c>
    </row>
    <row r="241" spans="1:5" x14ac:dyDescent="0.2">
      <c r="A241" s="512">
        <v>3</v>
      </c>
      <c r="B241" s="511" t="s">
        <v>751</v>
      </c>
      <c r="C241" s="560">
        <f t="shared" si="28"/>
        <v>2394.9940502225013</v>
      </c>
      <c r="D241" s="560">
        <f t="shared" si="28"/>
        <v>2992.909956084346</v>
      </c>
      <c r="E241" s="562">
        <f t="shared" si="29"/>
        <v>597.91590586184475</v>
      </c>
    </row>
    <row r="242" spans="1:5" x14ac:dyDescent="0.2">
      <c r="A242" s="512">
        <v>4</v>
      </c>
      <c r="B242" s="511" t="s">
        <v>114</v>
      </c>
      <c r="C242" s="560">
        <f t="shared" si="28"/>
        <v>2402.7672969427181</v>
      </c>
      <c r="D242" s="560">
        <f t="shared" si="28"/>
        <v>3539.937743626183</v>
      </c>
      <c r="E242" s="562">
        <f t="shared" si="29"/>
        <v>1137.1704466834649</v>
      </c>
    </row>
    <row r="243" spans="1:5" x14ac:dyDescent="0.2">
      <c r="A243" s="512">
        <v>5</v>
      </c>
      <c r="B243" s="511" t="s">
        <v>718</v>
      </c>
      <c r="C243" s="560">
        <f t="shared" si="28"/>
        <v>2382.4714174528012</v>
      </c>
      <c r="D243" s="560">
        <f t="shared" si="28"/>
        <v>2114.7587633178841</v>
      </c>
      <c r="E243" s="562">
        <f t="shared" si="29"/>
        <v>-267.7126541349171</v>
      </c>
    </row>
    <row r="244" spans="1:5" x14ac:dyDescent="0.2">
      <c r="A244" s="512">
        <v>6</v>
      </c>
      <c r="B244" s="511" t="s">
        <v>418</v>
      </c>
      <c r="C244" s="560">
        <f t="shared" si="28"/>
        <v>3333.5518099868427</v>
      </c>
      <c r="D244" s="560">
        <f t="shared" si="28"/>
        <v>2501.9773275549196</v>
      </c>
      <c r="E244" s="562">
        <f t="shared" si="29"/>
        <v>-831.57448243192312</v>
      </c>
    </row>
    <row r="245" spans="1:5" x14ac:dyDescent="0.2">
      <c r="A245" s="512">
        <v>7</v>
      </c>
      <c r="B245" s="511" t="s">
        <v>733</v>
      </c>
      <c r="C245" s="560">
        <f t="shared" si="28"/>
        <v>4209.5219735928895</v>
      </c>
      <c r="D245" s="560">
        <f t="shared" si="28"/>
        <v>1001.9023825868937</v>
      </c>
      <c r="E245" s="562">
        <f t="shared" si="29"/>
        <v>-3207.619591005996</v>
      </c>
    </row>
    <row r="246" spans="1:5" ht="25.5" x14ac:dyDescent="0.2">
      <c r="A246" s="512"/>
      <c r="B246" s="516" t="s">
        <v>806</v>
      </c>
      <c r="C246" s="561">
        <f t="shared" si="28"/>
        <v>4318.0373745358138</v>
      </c>
      <c r="D246" s="561">
        <f t="shared" si="28"/>
        <v>4766.9002839002624</v>
      </c>
      <c r="E246" s="563">
        <f t="shared" si="29"/>
        <v>448.86290936444857</v>
      </c>
    </row>
    <row r="247" spans="1:5" x14ac:dyDescent="0.2">
      <c r="A247" s="512"/>
      <c r="B247" s="516" t="s">
        <v>807</v>
      </c>
      <c r="C247" s="561">
        <f t="shared" si="28"/>
        <v>6595.0863531897803</v>
      </c>
      <c r="D247" s="561">
        <f t="shared" si="28"/>
        <v>6746.0458692235952</v>
      </c>
      <c r="E247" s="563">
        <f t="shared" si="29"/>
        <v>150.95951603381491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802123.1181104373</v>
      </c>
      <c r="D251" s="546">
        <f>((IF((IF(D15=0,0,D26/D15)*D138)=0,0,D59/(IF(D15=0,0,D26/D15)*D138)))-(IF((IF(D17=0,0,D28/D17)*D140)=0,0,D61/(IF(D17=0,0,D28/D17)*D140))))*(IF(D17=0,0,D28/D17)*D140)</f>
        <v>491156.26404863823</v>
      </c>
      <c r="E251" s="546">
        <f>D251-C251</f>
        <v>-310966.85406179907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946254.21126509737</v>
      </c>
      <c r="D252" s="546">
        <f>IF(D231=0,0,(D228-D231)*D207)+IF(D243=0,0,(D240-D243)*D219)</f>
        <v>1110710.0741010143</v>
      </c>
      <c r="E252" s="546">
        <f>D252-C252</f>
        <v>164455.86283591692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483383.38760720554</v>
      </c>
      <c r="D253" s="546">
        <f>IF(D233=0,0,(D228-D233)*D209+IF(D221=0,0,(D240-D245)*D221))</f>
        <v>1031038.3531800957</v>
      </c>
      <c r="E253" s="546">
        <f>D253-C253</f>
        <v>547654.96557289013</v>
      </c>
    </row>
    <row r="254" spans="1:5" ht="15" customHeight="1" x14ac:dyDescent="0.2">
      <c r="A254" s="512"/>
      <c r="B254" s="516" t="s">
        <v>734</v>
      </c>
      <c r="C254" s="564">
        <f>+C251+C252+C253</f>
        <v>2231760.7169827404</v>
      </c>
      <c r="D254" s="564">
        <f>+D251+D252+D253</f>
        <v>2632904.6913297484</v>
      </c>
      <c r="E254" s="564">
        <f>D254-C254</f>
        <v>401143.97434700793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121087947</v>
      </c>
      <c r="D258" s="549">
        <f>+D44</f>
        <v>129742905</v>
      </c>
      <c r="E258" s="546">
        <f t="shared" ref="E258:E271" si="30">D258-C258</f>
        <v>8654958</v>
      </c>
    </row>
    <row r="259" spans="1:5" x14ac:dyDescent="0.2">
      <c r="A259" s="512">
        <v>2</v>
      </c>
      <c r="B259" s="511" t="s">
        <v>717</v>
      </c>
      <c r="C259" s="546">
        <f>+(C43-C76)</f>
        <v>45831351</v>
      </c>
      <c r="D259" s="549">
        <f>+(D43-D76)</f>
        <v>50241438</v>
      </c>
      <c r="E259" s="546">
        <f t="shared" si="30"/>
        <v>4410087</v>
      </c>
    </row>
    <row r="260" spans="1:5" x14ac:dyDescent="0.2">
      <c r="A260" s="512">
        <v>3</v>
      </c>
      <c r="B260" s="511" t="s">
        <v>721</v>
      </c>
      <c r="C260" s="546">
        <f>C195</f>
        <v>2515418</v>
      </c>
      <c r="D260" s="546">
        <f>D195</f>
        <v>4479639</v>
      </c>
      <c r="E260" s="546">
        <f t="shared" si="30"/>
        <v>1964221</v>
      </c>
    </row>
    <row r="261" spans="1:5" x14ac:dyDescent="0.2">
      <c r="A261" s="512">
        <v>4</v>
      </c>
      <c r="B261" s="511" t="s">
        <v>722</v>
      </c>
      <c r="C261" s="546">
        <f>C188</f>
        <v>23219443</v>
      </c>
      <c r="D261" s="546">
        <f>D188</f>
        <v>22512589</v>
      </c>
      <c r="E261" s="546">
        <f t="shared" si="30"/>
        <v>-706854</v>
      </c>
    </row>
    <row r="262" spans="1:5" x14ac:dyDescent="0.2">
      <c r="A262" s="512">
        <v>5</v>
      </c>
      <c r="B262" s="511" t="s">
        <v>723</v>
      </c>
      <c r="C262" s="546">
        <f>C191</f>
        <v>1025987</v>
      </c>
      <c r="D262" s="546">
        <f>D191</f>
        <v>1117229</v>
      </c>
      <c r="E262" s="546">
        <f t="shared" si="30"/>
        <v>91242</v>
      </c>
    </row>
    <row r="263" spans="1:5" x14ac:dyDescent="0.2">
      <c r="A263" s="512">
        <v>6</v>
      </c>
      <c r="B263" s="511" t="s">
        <v>724</v>
      </c>
      <c r="C263" s="546">
        <f>+C259+C260+C261+C262</f>
        <v>72592199</v>
      </c>
      <c r="D263" s="546">
        <f>+D259+D260+D261+D262</f>
        <v>78350895</v>
      </c>
      <c r="E263" s="546">
        <f t="shared" si="30"/>
        <v>5758696</v>
      </c>
    </row>
    <row r="264" spans="1:5" x14ac:dyDescent="0.2">
      <c r="A264" s="512">
        <v>7</v>
      </c>
      <c r="B264" s="511" t="s">
        <v>624</v>
      </c>
      <c r="C264" s="546">
        <f>+C258-C263</f>
        <v>48495748</v>
      </c>
      <c r="D264" s="546">
        <f>+D258-D263</f>
        <v>51392010</v>
      </c>
      <c r="E264" s="546">
        <f t="shared" si="30"/>
        <v>2896262</v>
      </c>
    </row>
    <row r="265" spans="1:5" x14ac:dyDescent="0.2">
      <c r="A265" s="512">
        <v>8</v>
      </c>
      <c r="B265" s="511" t="s">
        <v>810</v>
      </c>
      <c r="C265" s="565">
        <f>C192</f>
        <v>251652</v>
      </c>
      <c r="D265" s="565">
        <f>D192</f>
        <v>0</v>
      </c>
      <c r="E265" s="546">
        <f t="shared" si="30"/>
        <v>-251652</v>
      </c>
    </row>
    <row r="266" spans="1:5" x14ac:dyDescent="0.2">
      <c r="A266" s="512">
        <v>9</v>
      </c>
      <c r="B266" s="511" t="s">
        <v>811</v>
      </c>
      <c r="C266" s="546">
        <f>+C264+C265</f>
        <v>48747400</v>
      </c>
      <c r="D266" s="546">
        <f>+D264+D265</f>
        <v>51392010</v>
      </c>
      <c r="E266" s="565">
        <f t="shared" si="30"/>
        <v>2644610</v>
      </c>
    </row>
    <row r="267" spans="1:5" x14ac:dyDescent="0.2">
      <c r="A267" s="512">
        <v>10</v>
      </c>
      <c r="B267" s="511" t="s">
        <v>812</v>
      </c>
      <c r="C267" s="566">
        <f>IF(C258=0,0,C266/C258)</f>
        <v>0.40257846637700445</v>
      </c>
      <c r="D267" s="566">
        <f>IF(D258=0,0,D266/D258)</f>
        <v>0.39610651541986053</v>
      </c>
      <c r="E267" s="567">
        <f t="shared" si="30"/>
        <v>-6.4719509571439238E-3</v>
      </c>
    </row>
    <row r="268" spans="1:5" x14ac:dyDescent="0.2">
      <c r="A268" s="512">
        <v>11</v>
      </c>
      <c r="B268" s="511" t="s">
        <v>686</v>
      </c>
      <c r="C268" s="546">
        <f>+C260*C267</f>
        <v>1012653.1207371118</v>
      </c>
      <c r="D268" s="568">
        <f>+D260*D267</f>
        <v>1774414.1946289085</v>
      </c>
      <c r="E268" s="546">
        <f t="shared" si="30"/>
        <v>761761.07389179675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1337513.7657852187</v>
      </c>
      <c r="D269" s="568">
        <f>((D17+D18+D28+D29)*D267)-(D50+D51+D61+D62)</f>
        <v>1668765.5836263644</v>
      </c>
      <c r="E269" s="546">
        <f t="shared" si="30"/>
        <v>331251.81784114568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2350166.8865223303</v>
      </c>
      <c r="D271" s="546">
        <f>+D268+D269+D270</f>
        <v>3443179.7782552727</v>
      </c>
      <c r="E271" s="549">
        <f t="shared" si="30"/>
        <v>1093012.8917329423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0.43486827582164983</v>
      </c>
      <c r="D276" s="547">
        <f t="shared" si="31"/>
        <v>0.484705558993134</v>
      </c>
      <c r="E276" s="574">
        <f t="shared" ref="E276:E284" si="32">D276-C276</f>
        <v>4.983728317148417E-2</v>
      </c>
    </row>
    <row r="277" spans="1:5" x14ac:dyDescent="0.2">
      <c r="A277" s="512">
        <v>2</v>
      </c>
      <c r="B277" s="511" t="s">
        <v>605</v>
      </c>
      <c r="C277" s="547">
        <f t="shared" si="31"/>
        <v>0.46095964643239634</v>
      </c>
      <c r="D277" s="547">
        <f t="shared" si="31"/>
        <v>0.48325846249659038</v>
      </c>
      <c r="E277" s="574">
        <f t="shared" si="32"/>
        <v>2.2298816064194038E-2</v>
      </c>
    </row>
    <row r="278" spans="1:5" x14ac:dyDescent="0.2">
      <c r="A278" s="512">
        <v>3</v>
      </c>
      <c r="B278" s="511" t="s">
        <v>751</v>
      </c>
      <c r="C278" s="547">
        <f t="shared" si="31"/>
        <v>0.34549407253387665</v>
      </c>
      <c r="D278" s="547">
        <f t="shared" si="31"/>
        <v>0.31924034585550493</v>
      </c>
      <c r="E278" s="574">
        <f t="shared" si="32"/>
        <v>-2.6253726678371725E-2</v>
      </c>
    </row>
    <row r="279" spans="1:5" x14ac:dyDescent="0.2">
      <c r="A279" s="512">
        <v>4</v>
      </c>
      <c r="B279" s="511" t="s">
        <v>114</v>
      </c>
      <c r="C279" s="547">
        <f t="shared" si="31"/>
        <v>0.37253237157315872</v>
      </c>
      <c r="D279" s="547">
        <f t="shared" si="31"/>
        <v>0.30840380987438459</v>
      </c>
      <c r="E279" s="574">
        <f t="shared" si="32"/>
        <v>-6.4128561698774122E-2</v>
      </c>
    </row>
    <row r="280" spans="1:5" x14ac:dyDescent="0.2">
      <c r="A280" s="512">
        <v>5</v>
      </c>
      <c r="B280" s="511" t="s">
        <v>718</v>
      </c>
      <c r="C280" s="547">
        <f t="shared" si="31"/>
        <v>0.32381881345703944</v>
      </c>
      <c r="D280" s="547">
        <f t="shared" si="31"/>
        <v>0.33479485686961563</v>
      </c>
      <c r="E280" s="574">
        <f t="shared" si="32"/>
        <v>1.0976043412576186E-2</v>
      </c>
    </row>
    <row r="281" spans="1:5" x14ac:dyDescent="0.2">
      <c r="A281" s="512">
        <v>6</v>
      </c>
      <c r="B281" s="511" t="s">
        <v>418</v>
      </c>
      <c r="C281" s="547">
        <f t="shared" si="31"/>
        <v>0.83117226313378667</v>
      </c>
      <c r="D281" s="547">
        <f t="shared" si="31"/>
        <v>0.97301299746951919</v>
      </c>
      <c r="E281" s="574">
        <f t="shared" si="32"/>
        <v>0.14184073433573252</v>
      </c>
    </row>
    <row r="282" spans="1:5" x14ac:dyDescent="0.2">
      <c r="A282" s="512">
        <v>7</v>
      </c>
      <c r="B282" s="511" t="s">
        <v>733</v>
      </c>
      <c r="C282" s="547">
        <f t="shared" si="31"/>
        <v>8.9439207757120706E-2</v>
      </c>
      <c r="D282" s="547">
        <f t="shared" si="31"/>
        <v>0.12398234615195963</v>
      </c>
      <c r="E282" s="574">
        <f t="shared" si="32"/>
        <v>3.4543138394838926E-2</v>
      </c>
    </row>
    <row r="283" spans="1:5" ht="29.25" customHeight="1" x14ac:dyDescent="0.2">
      <c r="A283" s="512"/>
      <c r="B283" s="516" t="s">
        <v>819</v>
      </c>
      <c r="C283" s="575">
        <f t="shared" si="31"/>
        <v>0.44706151168204944</v>
      </c>
      <c r="D283" s="575">
        <f t="shared" si="31"/>
        <v>0.4622907983086616</v>
      </c>
      <c r="E283" s="576">
        <f t="shared" si="32"/>
        <v>1.522928662661216E-2</v>
      </c>
    </row>
    <row r="284" spans="1:5" x14ac:dyDescent="0.2">
      <c r="A284" s="512"/>
      <c r="B284" s="516" t="s">
        <v>820</v>
      </c>
      <c r="C284" s="575">
        <f t="shared" si="31"/>
        <v>0.44367474803236118</v>
      </c>
      <c r="D284" s="575">
        <f t="shared" si="31"/>
        <v>0.46815991390419065</v>
      </c>
      <c r="E284" s="576">
        <f t="shared" si="32"/>
        <v>2.4485165871829473E-2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0.49417258763010735</v>
      </c>
      <c r="D287" s="547">
        <f t="shared" si="33"/>
        <v>0.45212638329572163</v>
      </c>
      <c r="E287" s="574">
        <f t="shared" ref="E287:E295" si="34">D287-C287</f>
        <v>-4.2046204334385717E-2</v>
      </c>
    </row>
    <row r="288" spans="1:5" x14ac:dyDescent="0.2">
      <c r="A288" s="512">
        <v>2</v>
      </c>
      <c r="B288" s="511" t="s">
        <v>605</v>
      </c>
      <c r="C288" s="547">
        <f t="shared" si="33"/>
        <v>0.23658435026654392</v>
      </c>
      <c r="D288" s="547">
        <f t="shared" si="33"/>
        <v>0.22940444597405085</v>
      </c>
      <c r="E288" s="574">
        <f t="shared" si="34"/>
        <v>-7.1799042924930723E-3</v>
      </c>
    </row>
    <row r="289" spans="1:5" x14ac:dyDescent="0.2">
      <c r="A289" s="512">
        <v>3</v>
      </c>
      <c r="B289" s="511" t="s">
        <v>751</v>
      </c>
      <c r="C289" s="547">
        <f t="shared" si="33"/>
        <v>0.2102111803456975</v>
      </c>
      <c r="D289" s="547">
        <f t="shared" si="33"/>
        <v>0.200898207399545</v>
      </c>
      <c r="E289" s="574">
        <f t="shared" si="34"/>
        <v>-9.3129729461524924E-3</v>
      </c>
    </row>
    <row r="290" spans="1:5" x14ac:dyDescent="0.2">
      <c r="A290" s="512">
        <v>4</v>
      </c>
      <c r="B290" s="511" t="s">
        <v>114</v>
      </c>
      <c r="C290" s="547">
        <f t="shared" si="33"/>
        <v>0.25873464462308338</v>
      </c>
      <c r="D290" s="547">
        <f t="shared" si="33"/>
        <v>0.24215282959206086</v>
      </c>
      <c r="E290" s="574">
        <f t="shared" si="34"/>
        <v>-1.6581815031022518E-2</v>
      </c>
    </row>
    <row r="291" spans="1:5" x14ac:dyDescent="0.2">
      <c r="A291" s="512">
        <v>5</v>
      </c>
      <c r="B291" s="511" t="s">
        <v>718</v>
      </c>
      <c r="C291" s="547">
        <f t="shared" si="33"/>
        <v>0.16111823261172248</v>
      </c>
      <c r="D291" s="547">
        <f t="shared" si="33"/>
        <v>0.13780897263806327</v>
      </c>
      <c r="E291" s="574">
        <f t="shared" si="34"/>
        <v>-2.3309259973659208E-2</v>
      </c>
    </row>
    <row r="292" spans="1:5" x14ac:dyDescent="0.2">
      <c r="A292" s="512">
        <v>6</v>
      </c>
      <c r="B292" s="511" t="s">
        <v>418</v>
      </c>
      <c r="C292" s="547">
        <f t="shared" si="33"/>
        <v>0.41110007874824528</v>
      </c>
      <c r="D292" s="547">
        <f t="shared" si="33"/>
        <v>0.28778207126235561</v>
      </c>
      <c r="E292" s="574">
        <f t="shared" si="34"/>
        <v>-0.12331800748588967</v>
      </c>
    </row>
    <row r="293" spans="1:5" x14ac:dyDescent="0.2">
      <c r="A293" s="512">
        <v>7</v>
      </c>
      <c r="B293" s="511" t="s">
        <v>733</v>
      </c>
      <c r="C293" s="547">
        <f t="shared" si="33"/>
        <v>0.2642022323192163</v>
      </c>
      <c r="D293" s="547">
        <f t="shared" si="33"/>
        <v>5.7166230866859333E-2</v>
      </c>
      <c r="E293" s="574">
        <f t="shared" si="34"/>
        <v>-0.20703600145235695</v>
      </c>
    </row>
    <row r="294" spans="1:5" ht="29.25" customHeight="1" x14ac:dyDescent="0.2">
      <c r="A294" s="512"/>
      <c r="B294" s="516" t="s">
        <v>822</v>
      </c>
      <c r="C294" s="575">
        <f t="shared" si="33"/>
        <v>0.23249691279408582</v>
      </c>
      <c r="D294" s="575">
        <f t="shared" si="33"/>
        <v>0.22457648909120406</v>
      </c>
      <c r="E294" s="576">
        <f t="shared" si="34"/>
        <v>-7.9204237028817626E-3</v>
      </c>
    </row>
    <row r="295" spans="1:5" x14ac:dyDescent="0.2">
      <c r="A295" s="512"/>
      <c r="B295" s="516" t="s">
        <v>823</v>
      </c>
      <c r="C295" s="575">
        <f t="shared" si="33"/>
        <v>0.3701292574479203</v>
      </c>
      <c r="D295" s="575">
        <f t="shared" si="33"/>
        <v>0.34067480151296325</v>
      </c>
      <c r="E295" s="576">
        <f t="shared" si="34"/>
        <v>-2.9454455934957047E-2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48495749</v>
      </c>
      <c r="D301" s="514">
        <f>+D48+D47+D50+D51+D52+D59+D58+D61+D62+D63</f>
        <v>51392011</v>
      </c>
      <c r="E301" s="514">
        <f>D301-C301</f>
        <v>2896262</v>
      </c>
    </row>
    <row r="302" spans="1:5" ht="25.5" x14ac:dyDescent="0.2">
      <c r="A302" s="512">
        <v>2</v>
      </c>
      <c r="B302" s="511" t="s">
        <v>827</v>
      </c>
      <c r="C302" s="546">
        <f>C265</f>
        <v>251652</v>
      </c>
      <c r="D302" s="546">
        <f>D265</f>
        <v>0</v>
      </c>
      <c r="E302" s="514">
        <f>D302-C302</f>
        <v>-251652</v>
      </c>
    </row>
    <row r="303" spans="1:5" x14ac:dyDescent="0.2">
      <c r="A303" s="512"/>
      <c r="B303" s="516" t="s">
        <v>828</v>
      </c>
      <c r="C303" s="517">
        <f>+C301+C302</f>
        <v>48747401</v>
      </c>
      <c r="D303" s="517">
        <f>+D301+D302</f>
        <v>51392011</v>
      </c>
      <c r="E303" s="517">
        <f>D303-C303</f>
        <v>2644610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1748130</v>
      </c>
      <c r="D305" s="578">
        <v>4145549</v>
      </c>
      <c r="E305" s="579">
        <f>D305-C305</f>
        <v>2397419</v>
      </c>
    </row>
    <row r="306" spans="1:5" x14ac:dyDescent="0.2">
      <c r="A306" s="512">
        <v>4</v>
      </c>
      <c r="B306" s="516" t="s">
        <v>830</v>
      </c>
      <c r="C306" s="580">
        <f>+C303+C305</f>
        <v>50495531</v>
      </c>
      <c r="D306" s="580">
        <f>+D303+D305</f>
        <v>55537560</v>
      </c>
      <c r="E306" s="580">
        <f>D306-C306</f>
        <v>5042029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50495530</v>
      </c>
      <c r="D308" s="513">
        <v>55537559</v>
      </c>
      <c r="E308" s="514">
        <f>D308-C308</f>
        <v>5042029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1</v>
      </c>
      <c r="D310" s="582">
        <f>D306-D308</f>
        <v>1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121087947</v>
      </c>
      <c r="D314" s="514">
        <f>+D14+D15+D16+D19+D25+D26+D27+D30</f>
        <v>129742905</v>
      </c>
      <c r="E314" s="514">
        <f>D314-C314</f>
        <v>8654958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121087947</v>
      </c>
      <c r="D316" s="581">
        <f>D314+D315</f>
        <v>129742905</v>
      </c>
      <c r="E316" s="517">
        <f>D316-C316</f>
        <v>8654958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121087948</v>
      </c>
      <c r="D318" s="513">
        <v>129742905</v>
      </c>
      <c r="E318" s="514">
        <f>D318-C318</f>
        <v>8654957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-1</v>
      </c>
      <c r="D320" s="581">
        <f>D316-D318</f>
        <v>0</v>
      </c>
      <c r="E320" s="517">
        <f>D320-C320</f>
        <v>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2515418</v>
      </c>
      <c r="D324" s="513">
        <f>+D193+D194</f>
        <v>4479639</v>
      </c>
      <c r="E324" s="514">
        <f>D324-C324</f>
        <v>1964221</v>
      </c>
    </row>
    <row r="325" spans="1:5" x14ac:dyDescent="0.2">
      <c r="A325" s="512">
        <v>2</v>
      </c>
      <c r="B325" s="511" t="s">
        <v>840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841</v>
      </c>
      <c r="C326" s="581">
        <f>C324+C325</f>
        <v>2515418</v>
      </c>
      <c r="D326" s="581">
        <f>D324+D325</f>
        <v>4479639</v>
      </c>
      <c r="E326" s="517">
        <f>D326-C326</f>
        <v>1964221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2515418</v>
      </c>
      <c r="D328" s="513">
        <v>4479639</v>
      </c>
      <c r="E328" s="514">
        <f>D328-C328</f>
        <v>1964221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FILING&amp;RESSENT-SHARON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14771380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36041403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5531096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3259950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2271146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69552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998989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41642051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56413431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37413457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29404805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6370689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3851898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2518791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140523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2223498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35916017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73329474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52184837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77558068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129742905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7159770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17417313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1765749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1005381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760368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67675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123857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19250737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26410507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16915611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6745593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1279860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932748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347112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40440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127109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8065893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24981504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24075381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27316630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51392011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794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1530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371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223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148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57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1909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2703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1.0126999999999999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1.2059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0.89058840970350406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0.84930000000000005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0.95279999999999998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0.66390000000000005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1.1084000000000001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1.142350183342064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1.1042657417684054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52184837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29672248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22512589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0.43140096423028013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1967108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1117229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942411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3537228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4479639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457560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53061849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51392011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51392011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4145549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55537560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55537559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129742905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129742905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129742905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4479639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4479639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4479639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FILING&amp;RESSENT-SHARON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103</v>
      </c>
      <c r="D12" s="49">
        <v>71</v>
      </c>
      <c r="E12" s="49">
        <f>+D12-C12</f>
        <v>-32</v>
      </c>
      <c r="F12" s="70">
        <f>IF(C12=0,0,+E12/C12)</f>
        <v>-0.31067961165048541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100</v>
      </c>
      <c r="D13" s="49">
        <v>71</v>
      </c>
      <c r="E13" s="49">
        <f>+D13-C13</f>
        <v>-29</v>
      </c>
      <c r="F13" s="70">
        <f>IF(C13=0,0,+E13/C13)</f>
        <v>-0.28999999999999998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767288</v>
      </c>
      <c r="D15" s="51">
        <v>942411</v>
      </c>
      <c r="E15" s="51">
        <f>+D15-C15</f>
        <v>175123</v>
      </c>
      <c r="F15" s="70">
        <f>IF(C15=0,0,+E15/C15)</f>
        <v>0.2282363336843532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7672.88</v>
      </c>
      <c r="D16" s="27">
        <f>IF(D13=0,0,+D15/+D13)</f>
        <v>13273.394366197183</v>
      </c>
      <c r="E16" s="27">
        <f>+D16-C16</f>
        <v>5600.5143661971824</v>
      </c>
      <c r="F16" s="28">
        <f>IF(C16=0,0,+E16/C16)</f>
        <v>0.72991032913289178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0.43204500000000001</v>
      </c>
      <c r="D18" s="210">
        <v>0.39556999999999998</v>
      </c>
      <c r="E18" s="210">
        <f>+D18-C18</f>
        <v>-3.6475000000000035E-2</v>
      </c>
      <c r="F18" s="70">
        <f>IF(C18=0,0,+E18/C18)</f>
        <v>-8.4424076195766723E-2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331502.94396</v>
      </c>
      <c r="D19" s="27">
        <f>+D15*D18</f>
        <v>372789.51926999999</v>
      </c>
      <c r="E19" s="27">
        <f>+D19-C19</f>
        <v>41286.575309999986</v>
      </c>
      <c r="F19" s="28">
        <f>IF(C19=0,0,+E19/C19)</f>
        <v>0.12454361586297626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3315.0294395999999</v>
      </c>
      <c r="D20" s="27">
        <f>IF(D13=0,0,+D19/D13)</f>
        <v>5250.5566094366195</v>
      </c>
      <c r="E20" s="27">
        <f>+D20-C20</f>
        <v>1935.5271698366196</v>
      </c>
      <c r="F20" s="28">
        <f>IF(C20=0,0,+E20/C20)</f>
        <v>0.58386424769433276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438193</v>
      </c>
      <c r="D22" s="51">
        <v>378321</v>
      </c>
      <c r="E22" s="51">
        <f>+D22-C22</f>
        <v>-59872</v>
      </c>
      <c r="F22" s="70">
        <f>IF(C22=0,0,+E22/C22)</f>
        <v>-0.13663385768371472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195123</v>
      </c>
      <c r="D23" s="49">
        <v>421562</v>
      </c>
      <c r="E23" s="49">
        <f>+D23-C23</f>
        <v>226439</v>
      </c>
      <c r="F23" s="70">
        <f>IF(C23=0,0,+E23/C23)</f>
        <v>1.1604936373466992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133972</v>
      </c>
      <c r="D24" s="49">
        <v>142528</v>
      </c>
      <c r="E24" s="49">
        <f>+D24-C24</f>
        <v>8556</v>
      </c>
      <c r="F24" s="70">
        <f>IF(C24=0,0,+E24/C24)</f>
        <v>6.3864091004090406E-2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767288</v>
      </c>
      <c r="D25" s="27">
        <f>+D22+D23+D24</f>
        <v>942411</v>
      </c>
      <c r="E25" s="27">
        <f>+E22+E23+E24</f>
        <v>175123</v>
      </c>
      <c r="F25" s="28">
        <f>IF(C25=0,0,+E25/C25)</f>
        <v>0.2282363336843532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152</v>
      </c>
      <c r="D27" s="49">
        <v>144</v>
      </c>
      <c r="E27" s="49">
        <f>+D27-C27</f>
        <v>-8</v>
      </c>
      <c r="F27" s="70">
        <f>IF(C27=0,0,+E27/C27)</f>
        <v>-5.2631578947368418E-2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45</v>
      </c>
      <c r="D28" s="49">
        <v>35</v>
      </c>
      <c r="E28" s="49">
        <f>+D28-C28</f>
        <v>-10</v>
      </c>
      <c r="F28" s="70">
        <f>IF(C28=0,0,+E28/C28)</f>
        <v>-0.22222222222222221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224</v>
      </c>
      <c r="D29" s="49">
        <v>125</v>
      </c>
      <c r="E29" s="49">
        <f>+D29-C29</f>
        <v>-99</v>
      </c>
      <c r="F29" s="70">
        <f>IF(C29=0,0,+E29/C29)</f>
        <v>-0.4419642857142857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281</v>
      </c>
      <c r="D30" s="49">
        <v>259</v>
      </c>
      <c r="E30" s="49">
        <f>+D30-C30</f>
        <v>-22</v>
      </c>
      <c r="F30" s="70">
        <f>IF(C30=0,0,+E30/C30)</f>
        <v>-7.8291814946619215E-2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312692</v>
      </c>
      <c r="D33" s="51">
        <v>958930</v>
      </c>
      <c r="E33" s="51">
        <f>+D33-C33</f>
        <v>646238</v>
      </c>
      <c r="F33" s="70">
        <f>IF(C33=0,0,+E33/C33)</f>
        <v>2.0666918245430006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710973</v>
      </c>
      <c r="D34" s="49">
        <v>1247446</v>
      </c>
      <c r="E34" s="49">
        <f>+D34-C34</f>
        <v>536473</v>
      </c>
      <c r="F34" s="70">
        <f>IF(C34=0,0,+E34/C34)</f>
        <v>0.75456170628139185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724465</v>
      </c>
      <c r="D35" s="49">
        <v>1330852</v>
      </c>
      <c r="E35" s="49">
        <f>+D35-C35</f>
        <v>606387</v>
      </c>
      <c r="F35" s="70">
        <f>IF(C35=0,0,+E35/C35)</f>
        <v>0.83701352032189269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1748130</v>
      </c>
      <c r="D36" s="27">
        <f>+D33+D34+D35</f>
        <v>3537228</v>
      </c>
      <c r="E36" s="27">
        <f>+E33+E34+E35</f>
        <v>1789098</v>
      </c>
      <c r="F36" s="28">
        <f>IF(C36=0,0,+E36/C36)</f>
        <v>1.0234353280362445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767288</v>
      </c>
      <c r="D39" s="51">
        <f>+D25</f>
        <v>942411</v>
      </c>
      <c r="E39" s="51">
        <f>+D39-C39</f>
        <v>175123</v>
      </c>
      <c r="F39" s="70">
        <f>IF(C39=0,0,+E39/C39)</f>
        <v>0.2282363336843532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1748130</v>
      </c>
      <c r="D40" s="49">
        <f>+D36</f>
        <v>3537228</v>
      </c>
      <c r="E40" s="49">
        <f>+D40-C40</f>
        <v>1789098</v>
      </c>
      <c r="F40" s="70">
        <f>IF(C40=0,0,+E40/C40)</f>
        <v>1.0234353280362445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2515418</v>
      </c>
      <c r="D41" s="27">
        <f>+D39+D40</f>
        <v>4479639</v>
      </c>
      <c r="E41" s="27">
        <f>+E39+E40</f>
        <v>1964221</v>
      </c>
      <c r="F41" s="28">
        <f>IF(C41=0,0,+E41/C41)</f>
        <v>0.7808726024859487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750885</v>
      </c>
      <c r="D43" s="51">
        <f t="shared" si="0"/>
        <v>1337251</v>
      </c>
      <c r="E43" s="51">
        <f>+D43-C43</f>
        <v>586366</v>
      </c>
      <c r="F43" s="70">
        <f>IF(C43=0,0,+E43/C43)</f>
        <v>0.78089987148498108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906096</v>
      </c>
      <c r="D44" s="49">
        <f t="shared" si="0"/>
        <v>1669008</v>
      </c>
      <c r="E44" s="49">
        <f>+D44-C44</f>
        <v>762912</v>
      </c>
      <c r="F44" s="70">
        <f>IF(C44=0,0,+E44/C44)</f>
        <v>0.84197700905864281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858437</v>
      </c>
      <c r="D45" s="49">
        <f t="shared" si="0"/>
        <v>1473380</v>
      </c>
      <c r="E45" s="49">
        <f>+D45-C45</f>
        <v>614943</v>
      </c>
      <c r="F45" s="70">
        <f>IF(C45=0,0,+E45/C45)</f>
        <v>0.7163519279807371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2515418</v>
      </c>
      <c r="D46" s="27">
        <f>+D43+D44+D45</f>
        <v>4479639</v>
      </c>
      <c r="E46" s="27">
        <f>+E43+E44+E45</f>
        <v>1964221</v>
      </c>
      <c r="F46" s="28">
        <f>IF(C46=0,0,+E46/C46)</f>
        <v>0.7808726024859487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FILING&amp;RESSENT-SHARON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51276724</v>
      </c>
      <c r="D15" s="51">
        <v>52184837</v>
      </c>
      <c r="E15" s="51">
        <f>+D15-C15</f>
        <v>908113</v>
      </c>
      <c r="F15" s="70">
        <f>+E15/C15</f>
        <v>1.7710043254713388E-2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23219443</v>
      </c>
      <c r="D17" s="51">
        <v>22512589</v>
      </c>
      <c r="E17" s="51">
        <f>+D17-C17</f>
        <v>-706854</v>
      </c>
      <c r="F17" s="70">
        <f>+E17/C17</f>
        <v>-3.0442332316068046E-2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28057281</v>
      </c>
      <c r="D19" s="27">
        <f>+D15-D17</f>
        <v>29672248</v>
      </c>
      <c r="E19" s="27">
        <f>+D19-C19</f>
        <v>1614967</v>
      </c>
      <c r="F19" s="28">
        <f>+E19/C19</f>
        <v>5.7559640223156336E-2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0.45282617898912575</v>
      </c>
      <c r="D21" s="628">
        <f>+D17/D15</f>
        <v>0.43140096423028013</v>
      </c>
      <c r="E21" s="628">
        <f>+D21-C21</f>
        <v>-2.1425214758845623E-2</v>
      </c>
      <c r="F21" s="28">
        <f>+E21/C21</f>
        <v>-4.731443488244113E-2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FILING&amp;R&amp;12ESSENT-SHARON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48499962</v>
      </c>
      <c r="D10" s="641">
        <v>50003842</v>
      </c>
      <c r="E10" s="641">
        <v>56413431</v>
      </c>
    </row>
    <row r="11" spans="1:6" ht="26.1" customHeight="1" x14ac:dyDescent="0.25">
      <c r="A11" s="639">
        <v>2</v>
      </c>
      <c r="B11" s="640" t="s">
        <v>907</v>
      </c>
      <c r="C11" s="641">
        <v>65952355</v>
      </c>
      <c r="D11" s="641">
        <v>71084105</v>
      </c>
      <c r="E11" s="641">
        <v>73329474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114452317</v>
      </c>
      <c r="D12" s="641">
        <f>+D11+D10</f>
        <v>121087947</v>
      </c>
      <c r="E12" s="641">
        <f>+E11+E10</f>
        <v>129742905</v>
      </c>
    </row>
    <row r="13" spans="1:6" ht="26.1" customHeight="1" x14ac:dyDescent="0.25">
      <c r="A13" s="639">
        <v>4</v>
      </c>
      <c r="B13" s="640" t="s">
        <v>484</v>
      </c>
      <c r="C13" s="641">
        <v>51853289</v>
      </c>
      <c r="D13" s="641">
        <v>50495530</v>
      </c>
      <c r="E13" s="641">
        <v>55537559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49683361</v>
      </c>
      <c r="D16" s="641">
        <v>48108598</v>
      </c>
      <c r="E16" s="641">
        <v>53061849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11466</v>
      </c>
      <c r="D19" s="644">
        <v>11622</v>
      </c>
      <c r="E19" s="644">
        <v>12355</v>
      </c>
    </row>
    <row r="20" spans="1:5" ht="26.1" customHeight="1" x14ac:dyDescent="0.25">
      <c r="A20" s="639">
        <v>2</v>
      </c>
      <c r="B20" s="640" t="s">
        <v>373</v>
      </c>
      <c r="C20" s="645">
        <v>2658</v>
      </c>
      <c r="D20" s="645">
        <v>2681</v>
      </c>
      <c r="E20" s="645">
        <v>2703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4.3137697516930027</v>
      </c>
      <c r="D21" s="646">
        <f>IF(D20=0,0,+D19/D20)</f>
        <v>4.3349496456546062</v>
      </c>
      <c r="E21" s="646">
        <f>IF(E20=0,0,+E19/E20)</f>
        <v>4.570847206807251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27057.964843807506</v>
      </c>
      <c r="D22" s="645">
        <f>IF(D10=0,0,D19*(D12/D10))</f>
        <v>28143.519852614525</v>
      </c>
      <c r="E22" s="645">
        <f>IF(E10=0,0,E19*(E12/E10))</f>
        <v>28414.750935375654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6272.4638544252875</v>
      </c>
      <c r="D23" s="645">
        <f>IF(D10=0,0,D20*(D12/D10))</f>
        <v>6492.2368546600883</v>
      </c>
      <c r="E23" s="645">
        <f>IF(E10=0,0,E20*(E12/E10))</f>
        <v>6216.5173434496473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1.0771837471783297</v>
      </c>
      <c r="D26" s="647">
        <v>1.0572486758672137</v>
      </c>
      <c r="E26" s="647">
        <v>1.1042657417684054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12350.988845146729</v>
      </c>
      <c r="D27" s="645">
        <f>D19*D26</f>
        <v>12287.344110928758</v>
      </c>
      <c r="E27" s="645">
        <f>E19*E26</f>
        <v>13643.203239548649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2863.1544000000004</v>
      </c>
      <c r="D28" s="645">
        <f>D20*D26</f>
        <v>2834.4836999999998</v>
      </c>
      <c r="E28" s="645">
        <f>E20*E26</f>
        <v>2984.8302999999996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29146.399961472078</v>
      </c>
      <c r="D29" s="645">
        <f>D22*D26</f>
        <v>29754.699098419347</v>
      </c>
      <c r="E29" s="645">
        <f>E22*E26</f>
        <v>31377.436018817087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6756.5961187504599</v>
      </c>
      <c r="D30" s="645">
        <f>D23*D26</f>
        <v>6863.9088180057024</v>
      </c>
      <c r="E30" s="645">
        <f>E23*E26</f>
        <v>6864.6871354805817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9981.8870573870572</v>
      </c>
      <c r="D33" s="641">
        <f>IF(D19=0,0,D12/D19)</f>
        <v>10418.856220960248</v>
      </c>
      <c r="E33" s="641">
        <f>IF(E19=0,0,E12/E19)</f>
        <v>10501.246863617969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43059.562452972161</v>
      </c>
      <c r="D34" s="641">
        <f>IF(D20=0,0,D12/D20)</f>
        <v>45165.217083177922</v>
      </c>
      <c r="E34" s="641">
        <f>IF(E20=0,0,E12/E20)</f>
        <v>47999.594894561596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4229.8937728937726</v>
      </c>
      <c r="D35" s="641">
        <f>IF(D22=0,0,D12/D22)</f>
        <v>4302.5160901738082</v>
      </c>
      <c r="E35" s="641">
        <f>IF(E22=0,0,E12/E22)</f>
        <v>4566.0405503844604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18246.78781038375</v>
      </c>
      <c r="D36" s="641">
        <f>IF(D23=0,0,D12/D23)</f>
        <v>18651.190600522194</v>
      </c>
      <c r="E36" s="641">
        <f>IF(E23=0,0,E12/E23)</f>
        <v>20870.673695893453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3926.8080157855429</v>
      </c>
      <c r="D37" s="641">
        <f>IF(D29=0,0,D12/D29)</f>
        <v>4069.5402967940795</v>
      </c>
      <c r="E37" s="641">
        <f>IF(E29=0,0,E12/E29)</f>
        <v>4134.9109889728725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16939.345639201296</v>
      </c>
      <c r="D38" s="641">
        <f>IF(D30=0,0,D12/D30)</f>
        <v>17641.252267564636</v>
      </c>
      <c r="E38" s="641">
        <f>IF(E30=0,0,E12/E30)</f>
        <v>18900.046344343264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1792.4467815656769</v>
      </c>
      <c r="D39" s="641">
        <f>IF(D22=0,0,D10/D22)</f>
        <v>1776.7444250707204</v>
      </c>
      <c r="E39" s="641">
        <f>IF(E22=0,0,E10/E22)</f>
        <v>1985.3572226729143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7732.2027078374922</v>
      </c>
      <c r="D40" s="641">
        <f>IF(D23=0,0,D10/D23)</f>
        <v>7702.0976158791163</v>
      </c>
      <c r="E40" s="641">
        <f>IF(E23=0,0,E10/E23)</f>
        <v>9074.7645157690913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4522.3520844235127</v>
      </c>
      <c r="D43" s="641">
        <f>IF(D19=0,0,D13/D19)</f>
        <v>4344.8227499569784</v>
      </c>
      <c r="E43" s="641">
        <f>IF(E19=0,0,E13/E19)</f>
        <v>4495.1484419263452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19508.385628291948</v>
      </c>
      <c r="D44" s="641">
        <f>IF(D20=0,0,D13/D20)</f>
        <v>18834.587840358075</v>
      </c>
      <c r="E44" s="641">
        <f>IF(E20=0,0,E13/E20)</f>
        <v>20546.636699963005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1916.3780165775165</v>
      </c>
      <c r="D45" s="641">
        <f>IF(D22=0,0,D13/D22)</f>
        <v>1794.2151608768645</v>
      </c>
      <c r="E45" s="641">
        <f>IF(E22=0,0,E13/E22)</f>
        <v>1954.5326695388039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8266.8135207215219</v>
      </c>
      <c r="D46" s="641">
        <f>IF(D23=0,0,D13/D23)</f>
        <v>7777.8323758712859</v>
      </c>
      <c r="E46" s="641">
        <f>IF(E23=0,0,E13/E23)</f>
        <v>8933.870193174962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1779.0632485845117</v>
      </c>
      <c r="D47" s="641">
        <f>IF(D29=0,0,D13/D29)</f>
        <v>1697.0606838595945</v>
      </c>
      <c r="E47" s="641">
        <f>IF(E29=0,0,E13/E29)</f>
        <v>1769.9839772342793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7674.4692280925556</v>
      </c>
      <c r="D48" s="641">
        <f>IF(D30=0,0,D13/D30)</f>
        <v>7356.6726101515133</v>
      </c>
      <c r="E48" s="641">
        <f>IF(E30=0,0,E13/E30)</f>
        <v>8090.3263184348953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4333.1031746031749</v>
      </c>
      <c r="D51" s="641">
        <f>IF(D19=0,0,D16/D19)</f>
        <v>4139.4422646704525</v>
      </c>
      <c r="E51" s="641">
        <f>IF(E19=0,0,E16/E19)</f>
        <v>4294.7672197490892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18692.009405568097</v>
      </c>
      <c r="D52" s="641">
        <f>IF(D20=0,0,D16/D20)</f>
        <v>17944.273778440882</v>
      </c>
      <c r="E52" s="641">
        <f>IF(E20=0,0,E16/E20)</f>
        <v>19630.72475027747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1836.1824803453594</v>
      </c>
      <c r="D53" s="641">
        <f>IF(D22=0,0,D16/D22)</f>
        <v>1709.4023154154518</v>
      </c>
      <c r="E53" s="641">
        <f>IF(E22=0,0,E16/E22)</f>
        <v>1867.4050362320552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7920.8684423024424</v>
      </c>
      <c r="D54" s="641">
        <f>IF(D23=0,0,D16/D23)</f>
        <v>7410.1729614913756</v>
      </c>
      <c r="E54" s="641">
        <f>IF(E23=0,0,E16/E23)</f>
        <v>8535.6230938390836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1704.6139854553301</v>
      </c>
      <c r="D55" s="641">
        <f>IF(D29=0,0,D16/D29)</f>
        <v>1616.8403464902008</v>
      </c>
      <c r="E55" s="641">
        <f>IF(E29=0,0,E16/E29)</f>
        <v>1691.0830116322679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7353.3122487700593</v>
      </c>
      <c r="D56" s="641">
        <f>IF(D30=0,0,D16/D30)</f>
        <v>7008.9214870977667</v>
      </c>
      <c r="E56" s="641">
        <f>IF(E30=0,0,E16/E30)</f>
        <v>7729.6820601985464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6533428</v>
      </c>
      <c r="D59" s="649">
        <v>6653099</v>
      </c>
      <c r="E59" s="649">
        <v>7087485</v>
      </c>
    </row>
    <row r="60" spans="1:6" ht="26.1" customHeight="1" x14ac:dyDescent="0.25">
      <c r="A60" s="639">
        <v>2</v>
      </c>
      <c r="B60" s="640" t="s">
        <v>943</v>
      </c>
      <c r="C60" s="649">
        <v>1425678</v>
      </c>
      <c r="D60" s="649">
        <v>1690804</v>
      </c>
      <c r="E60" s="649">
        <v>1809542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7959106</v>
      </c>
      <c r="D61" s="652">
        <f>D59+D60</f>
        <v>8343903</v>
      </c>
      <c r="E61" s="652">
        <f>E59+E60</f>
        <v>8897027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0</v>
      </c>
      <c r="D64" s="641">
        <v>0</v>
      </c>
      <c r="E64" s="649">
        <v>0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0</v>
      </c>
      <c r="D65" s="649">
        <v>0</v>
      </c>
      <c r="E65" s="649">
        <v>0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0</v>
      </c>
      <c r="D66" s="654">
        <f>D64+D65</f>
        <v>0</v>
      </c>
      <c r="E66" s="654">
        <f>E64+E65</f>
        <v>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9011172</v>
      </c>
      <c r="D69" s="649">
        <v>8799573</v>
      </c>
      <c r="E69" s="649">
        <v>9259124</v>
      </c>
    </row>
    <row r="70" spans="1:6" ht="26.1" customHeight="1" x14ac:dyDescent="0.25">
      <c r="A70" s="639">
        <v>2</v>
      </c>
      <c r="B70" s="640" t="s">
        <v>951</v>
      </c>
      <c r="C70" s="649">
        <v>1932907</v>
      </c>
      <c r="D70" s="649">
        <v>2271298</v>
      </c>
      <c r="E70" s="649">
        <v>2328842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10944079</v>
      </c>
      <c r="D71" s="652">
        <f>D69+D70</f>
        <v>11070871</v>
      </c>
      <c r="E71" s="652">
        <f>E69+E70</f>
        <v>11587966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15544600</v>
      </c>
      <c r="D75" s="641">
        <f t="shared" si="0"/>
        <v>15452672</v>
      </c>
      <c r="E75" s="641">
        <f t="shared" si="0"/>
        <v>16346609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3358585</v>
      </c>
      <c r="D76" s="641">
        <f t="shared" si="0"/>
        <v>3962102</v>
      </c>
      <c r="E76" s="641">
        <f t="shared" si="0"/>
        <v>4138384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18903185</v>
      </c>
      <c r="D77" s="654">
        <f>D75+D76</f>
        <v>19414774</v>
      </c>
      <c r="E77" s="654">
        <f>E75+E76</f>
        <v>20484993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81.3</v>
      </c>
      <c r="D80" s="646">
        <v>93.2</v>
      </c>
      <c r="E80" s="646">
        <v>97.2</v>
      </c>
    </row>
    <row r="81" spans="1:5" ht="26.1" customHeight="1" x14ac:dyDescent="0.25">
      <c r="A81" s="639">
        <v>2</v>
      </c>
      <c r="B81" s="640" t="s">
        <v>584</v>
      </c>
      <c r="C81" s="646">
        <v>0</v>
      </c>
      <c r="D81" s="646">
        <v>0</v>
      </c>
      <c r="E81" s="646">
        <v>0</v>
      </c>
    </row>
    <row r="82" spans="1:5" ht="26.1" customHeight="1" x14ac:dyDescent="0.25">
      <c r="A82" s="639">
        <v>3</v>
      </c>
      <c r="B82" s="640" t="s">
        <v>957</v>
      </c>
      <c r="C82" s="646">
        <v>174</v>
      </c>
      <c r="D82" s="646">
        <v>163.1</v>
      </c>
      <c r="E82" s="646">
        <v>174.3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255.3</v>
      </c>
      <c r="D83" s="656">
        <f>D80+D81+D82</f>
        <v>256.3</v>
      </c>
      <c r="E83" s="656">
        <f>E80+E81+E82</f>
        <v>271.5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80361.968019680193</v>
      </c>
      <c r="D86" s="649">
        <f>IF(D80=0,0,D59/D80)</f>
        <v>71385.182403433471</v>
      </c>
      <c r="E86" s="649">
        <f>IF(E80=0,0,E59/E80)</f>
        <v>72916.512345679017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17536.014760147602</v>
      </c>
      <c r="D87" s="649">
        <f>IF(D80=0,0,D60/D80)</f>
        <v>18141.673819742489</v>
      </c>
      <c r="E87" s="649">
        <f>IF(E80=0,0,E60/E80)</f>
        <v>18616.687242798354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97897.982779827798</v>
      </c>
      <c r="D88" s="652">
        <f>+D86+D87</f>
        <v>89526.856223175957</v>
      </c>
      <c r="E88" s="652">
        <f>+E86+E87</f>
        <v>91533.199588477379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0</v>
      </c>
      <c r="D91" s="641">
        <f>IF(D81=0,0,D64/D81)</f>
        <v>0</v>
      </c>
      <c r="E91" s="641">
        <f>IF(E81=0,0,E64/E81)</f>
        <v>0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0</v>
      </c>
      <c r="D92" s="641">
        <f>IF(D81=0,0,D65/D81)</f>
        <v>0</v>
      </c>
      <c r="E92" s="641">
        <f>IF(E81=0,0,E65/E81)</f>
        <v>0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0</v>
      </c>
      <c r="D93" s="654">
        <f>+D91+D92</f>
        <v>0</v>
      </c>
      <c r="E93" s="654">
        <f>+E91+E92</f>
        <v>0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51788.34482758621</v>
      </c>
      <c r="D96" s="649">
        <f>IF(D82=0,0,D69/D82)</f>
        <v>53952.011036174132</v>
      </c>
      <c r="E96" s="649">
        <f>IF(E82=0,0,E69/E82)</f>
        <v>53121.76706827309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11108.660919540231</v>
      </c>
      <c r="D97" s="649">
        <f>IF(D82=0,0,D70/D82)</f>
        <v>13925.800122624158</v>
      </c>
      <c r="E97" s="649">
        <f>IF(E82=0,0,E70/E82)</f>
        <v>13361.113023522661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62897.005747126444</v>
      </c>
      <c r="D98" s="654">
        <f>+D96+D97</f>
        <v>67877.811158798286</v>
      </c>
      <c r="E98" s="654">
        <f>+E96+E97</f>
        <v>66482.880091795756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60887.583235409322</v>
      </c>
      <c r="D101" s="641">
        <f>IF(D83=0,0,D75/D83)</f>
        <v>60291.346078813891</v>
      </c>
      <c r="E101" s="641">
        <f>IF(E83=0,0,E75/E83)</f>
        <v>60208.504604051566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13155.444575009791</v>
      </c>
      <c r="D102" s="658">
        <f>IF(D83=0,0,D76/D83)</f>
        <v>15458.845103394458</v>
      </c>
      <c r="E102" s="658">
        <f>IF(E83=0,0,E76/E83)</f>
        <v>15242.666666666666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74043.027810419109</v>
      </c>
      <c r="D103" s="654">
        <f>+D101+D102</f>
        <v>75750.191182208349</v>
      </c>
      <c r="E103" s="654">
        <f>+E101+E102</f>
        <v>75451.171270718231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1648.6294261294261</v>
      </c>
      <c r="D108" s="641">
        <f>IF(D19=0,0,D77/D19)</f>
        <v>1670.5191877473756</v>
      </c>
      <c r="E108" s="641">
        <f>IF(E19=0,0,E77/E19)</f>
        <v>1658.0326183731283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7111.8077501881116</v>
      </c>
      <c r="D109" s="641">
        <f>IF(D20=0,0,D77/D20)</f>
        <v>7241.6165609847076</v>
      </c>
      <c r="E109" s="641">
        <f>IF(E20=0,0,E77/E20)</f>
        <v>7578.6137624861267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698.61813736247018</v>
      </c>
      <c r="D110" s="641">
        <f>IF(D22=0,0,D77/D22)</f>
        <v>689.84882138672401</v>
      </c>
      <c r="E110" s="641">
        <f>IF(E22=0,0,E77/E22)</f>
        <v>720.92812098158129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3013.6777889383307</v>
      </c>
      <c r="D111" s="641">
        <f>IF(D23=0,0,D77/D23)</f>
        <v>2990.4599038256274</v>
      </c>
      <c r="E111" s="641">
        <f>IF(E23=0,0,E77/E23)</f>
        <v>3295.2522880974611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648.55985730613952</v>
      </c>
      <c r="D112" s="641">
        <f>IF(D29=0,0,D77/D29)</f>
        <v>652.49438200608006</v>
      </c>
      <c r="E112" s="641">
        <f>IF(E29=0,0,E77/E29)</f>
        <v>652.85745424562811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2797.7378946095546</v>
      </c>
      <c r="D113" s="641">
        <f>IF(D30=0,0,D77/D30)</f>
        <v>2828.530290068878</v>
      </c>
      <c r="E113" s="641">
        <f>IF(E30=0,0,E77/E30)</f>
        <v>2984.1116711819222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FILING&amp;R&amp;12ESSENT-SHARON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121087948</v>
      </c>
      <c r="D12" s="51">
        <v>129742875</v>
      </c>
      <c r="E12" s="51">
        <f t="shared" ref="E12:E19" si="0">D12-C12</f>
        <v>8654927</v>
      </c>
      <c r="F12" s="70">
        <f t="shared" ref="F12:F19" si="1">IF(C12=0,0,E12/C12)</f>
        <v>7.1476370216464483E-2</v>
      </c>
    </row>
    <row r="13" spans="1:8" ht="23.1" customHeight="1" x14ac:dyDescent="0.2">
      <c r="A13" s="25">
        <v>2</v>
      </c>
      <c r="B13" s="48" t="s">
        <v>72</v>
      </c>
      <c r="C13" s="51">
        <v>69825130</v>
      </c>
      <c r="D13" s="51">
        <v>73262905</v>
      </c>
      <c r="E13" s="51">
        <f t="shared" si="0"/>
        <v>3437775</v>
      </c>
      <c r="F13" s="70">
        <f t="shared" si="1"/>
        <v>4.9234065156770923E-2</v>
      </c>
    </row>
    <row r="14" spans="1:8" ht="23.1" customHeight="1" x14ac:dyDescent="0.2">
      <c r="A14" s="25">
        <v>3</v>
      </c>
      <c r="B14" s="48" t="s">
        <v>73</v>
      </c>
      <c r="C14" s="51">
        <v>767288</v>
      </c>
      <c r="D14" s="51">
        <v>942411</v>
      </c>
      <c r="E14" s="51">
        <f t="shared" si="0"/>
        <v>175123</v>
      </c>
      <c r="F14" s="70">
        <f t="shared" si="1"/>
        <v>0.2282363336843532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50495530</v>
      </c>
      <c r="D16" s="27">
        <f>D12-D13-D14-D15</f>
        <v>55537559</v>
      </c>
      <c r="E16" s="27">
        <f t="shared" si="0"/>
        <v>5042029</v>
      </c>
      <c r="F16" s="28">
        <f t="shared" si="1"/>
        <v>9.985099671198619E-2</v>
      </c>
    </row>
    <row r="17" spans="1:7" ht="23.1" customHeight="1" x14ac:dyDescent="0.2">
      <c r="A17" s="25">
        <v>5</v>
      </c>
      <c r="B17" s="48" t="s">
        <v>76</v>
      </c>
      <c r="C17" s="51">
        <v>530398</v>
      </c>
      <c r="D17" s="51">
        <v>457560</v>
      </c>
      <c r="E17" s="51">
        <f t="shared" si="0"/>
        <v>-72838</v>
      </c>
      <c r="F17" s="70">
        <f t="shared" si="1"/>
        <v>-0.13732706382754084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51025928</v>
      </c>
      <c r="D19" s="27">
        <f>SUM(D16:D18)</f>
        <v>55995119</v>
      </c>
      <c r="E19" s="27">
        <f t="shared" si="0"/>
        <v>4969191</v>
      </c>
      <c r="F19" s="28">
        <f t="shared" si="1"/>
        <v>9.7385607567979954E-2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15452672</v>
      </c>
      <c r="D22" s="51">
        <v>16346609</v>
      </c>
      <c r="E22" s="51">
        <f t="shared" ref="E22:E31" si="2">D22-C22</f>
        <v>893937</v>
      </c>
      <c r="F22" s="70">
        <f t="shared" ref="F22:F31" si="3">IF(C22=0,0,E22/C22)</f>
        <v>5.7849995133527718E-2</v>
      </c>
    </row>
    <row r="23" spans="1:7" ht="23.1" customHeight="1" x14ac:dyDescent="0.2">
      <c r="A23" s="25">
        <v>2</v>
      </c>
      <c r="B23" s="48" t="s">
        <v>81</v>
      </c>
      <c r="C23" s="51">
        <v>3962102</v>
      </c>
      <c r="D23" s="51">
        <v>4138384</v>
      </c>
      <c r="E23" s="51">
        <f t="shared" si="2"/>
        <v>176282</v>
      </c>
      <c r="F23" s="70">
        <f t="shared" si="3"/>
        <v>4.4492039831382432E-2</v>
      </c>
    </row>
    <row r="24" spans="1:7" ht="23.1" customHeight="1" x14ac:dyDescent="0.2">
      <c r="A24" s="25">
        <v>3</v>
      </c>
      <c r="B24" s="48" t="s">
        <v>82</v>
      </c>
      <c r="C24" s="51">
        <v>1215173</v>
      </c>
      <c r="D24" s="51">
        <v>1224572</v>
      </c>
      <c r="E24" s="51">
        <f t="shared" si="2"/>
        <v>9399</v>
      </c>
      <c r="F24" s="70">
        <f t="shared" si="3"/>
        <v>7.7347011495482532E-3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5689724</v>
      </c>
      <c r="D25" s="51">
        <v>5864091</v>
      </c>
      <c r="E25" s="51">
        <f t="shared" si="2"/>
        <v>174367</v>
      </c>
      <c r="F25" s="70">
        <f t="shared" si="3"/>
        <v>3.0645950488986811E-2</v>
      </c>
    </row>
    <row r="26" spans="1:7" ht="23.1" customHeight="1" x14ac:dyDescent="0.2">
      <c r="A26" s="25">
        <v>5</v>
      </c>
      <c r="B26" s="48" t="s">
        <v>84</v>
      </c>
      <c r="C26" s="51">
        <v>3147818</v>
      </c>
      <c r="D26" s="51">
        <v>3122389</v>
      </c>
      <c r="E26" s="51">
        <f t="shared" si="2"/>
        <v>-25429</v>
      </c>
      <c r="F26" s="70">
        <f t="shared" si="3"/>
        <v>-8.0782942342918166E-3</v>
      </c>
    </row>
    <row r="27" spans="1:7" ht="23.1" customHeight="1" x14ac:dyDescent="0.2">
      <c r="A27" s="25">
        <v>6</v>
      </c>
      <c r="B27" s="48" t="s">
        <v>85</v>
      </c>
      <c r="C27" s="51">
        <v>1748130</v>
      </c>
      <c r="D27" s="51">
        <v>3537229</v>
      </c>
      <c r="E27" s="51">
        <f t="shared" si="2"/>
        <v>1789099</v>
      </c>
      <c r="F27" s="70">
        <f t="shared" si="3"/>
        <v>1.0234359000760813</v>
      </c>
    </row>
    <row r="28" spans="1:7" ht="23.1" customHeight="1" x14ac:dyDescent="0.2">
      <c r="A28" s="25">
        <v>7</v>
      </c>
      <c r="B28" s="48" t="s">
        <v>86</v>
      </c>
      <c r="C28" s="51">
        <v>1629083</v>
      </c>
      <c r="D28" s="51">
        <v>1664350</v>
      </c>
      <c r="E28" s="51">
        <f t="shared" si="2"/>
        <v>35267</v>
      </c>
      <c r="F28" s="70">
        <f t="shared" si="3"/>
        <v>2.1648375190214373E-2</v>
      </c>
    </row>
    <row r="29" spans="1:7" ht="23.1" customHeight="1" x14ac:dyDescent="0.2">
      <c r="A29" s="25">
        <v>8</v>
      </c>
      <c r="B29" s="48" t="s">
        <v>87</v>
      </c>
      <c r="C29" s="51">
        <v>1150400</v>
      </c>
      <c r="D29" s="51">
        <v>1184253</v>
      </c>
      <c r="E29" s="51">
        <f t="shared" si="2"/>
        <v>33853</v>
      </c>
      <c r="F29" s="70">
        <f t="shared" si="3"/>
        <v>2.9427155771905425E-2</v>
      </c>
    </row>
    <row r="30" spans="1:7" ht="23.1" customHeight="1" x14ac:dyDescent="0.2">
      <c r="A30" s="25">
        <v>9</v>
      </c>
      <c r="B30" s="48" t="s">
        <v>88</v>
      </c>
      <c r="C30" s="51">
        <v>14113496</v>
      </c>
      <c r="D30" s="51">
        <v>15979972</v>
      </c>
      <c r="E30" s="51">
        <f t="shared" si="2"/>
        <v>1866476</v>
      </c>
      <c r="F30" s="70">
        <f t="shared" si="3"/>
        <v>0.13224760186986981</v>
      </c>
    </row>
    <row r="31" spans="1:7" ht="23.1" customHeight="1" x14ac:dyDescent="0.25">
      <c r="A31" s="29"/>
      <c r="B31" s="71" t="s">
        <v>89</v>
      </c>
      <c r="C31" s="27">
        <f>SUM(C22:C30)</f>
        <v>48108598</v>
      </c>
      <c r="D31" s="27">
        <f>SUM(D22:D30)</f>
        <v>53061849</v>
      </c>
      <c r="E31" s="27">
        <f t="shared" si="2"/>
        <v>4953251</v>
      </c>
      <c r="F31" s="28">
        <f t="shared" si="3"/>
        <v>0.10295978693870896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2917330</v>
      </c>
      <c r="D33" s="27">
        <f>+D19-D31</f>
        <v>2933270</v>
      </c>
      <c r="E33" s="27">
        <f>D33-C33</f>
        <v>15940</v>
      </c>
      <c r="F33" s="28">
        <f>IF(C33=0,0,E33/C33)</f>
        <v>5.4639002101236405E-3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0</v>
      </c>
      <c r="D39" s="27">
        <f>SUM(D36:D38)</f>
        <v>0</v>
      </c>
      <c r="E39" s="27">
        <f>D39-C39</f>
        <v>0</v>
      </c>
      <c r="F39" s="28">
        <f>IF(C39=0,0,E39/C39)</f>
        <v>0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2917330</v>
      </c>
      <c r="D41" s="27">
        <f>D33+D39</f>
        <v>2933270</v>
      </c>
      <c r="E41" s="27">
        <f>D41-C41</f>
        <v>15940</v>
      </c>
      <c r="F41" s="28">
        <f>IF(C41=0,0,E41/C41)</f>
        <v>5.4639002101236405E-3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2917330</v>
      </c>
      <c r="D48" s="27">
        <f>D41+D46</f>
        <v>2933270</v>
      </c>
      <c r="E48" s="27">
        <f>D48-C48</f>
        <v>15940</v>
      </c>
      <c r="F48" s="28">
        <f>IF(C48=0,0,E48/C48)</f>
        <v>5.4639002101236405E-3</v>
      </c>
    </row>
    <row r="49" spans="1:6" ht="23.1" customHeight="1" x14ac:dyDescent="0.2">
      <c r="A49" s="44"/>
      <c r="B49" s="48" t="s">
        <v>102</v>
      </c>
      <c r="C49" s="51">
        <v>350000</v>
      </c>
      <c r="D49" s="51">
        <v>350000</v>
      </c>
      <c r="E49" s="51">
        <f>D49-C49</f>
        <v>0</v>
      </c>
      <c r="F49" s="70">
        <f>IF(C49=0,0,E49/C49)</f>
        <v>0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FILING&amp;RESSENT-SHARON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5703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30742183</v>
      </c>
      <c r="D14" s="97">
        <v>35164250</v>
      </c>
      <c r="E14" s="97">
        <f t="shared" ref="E14:E25" si="0">D14-C14</f>
        <v>4422067</v>
      </c>
      <c r="F14" s="98">
        <f t="shared" ref="F14:F25" si="1">IF(C14=0,0,E14/C14)</f>
        <v>0.14384362359693195</v>
      </c>
    </row>
    <row r="15" spans="1:6" ht="18" customHeight="1" x14ac:dyDescent="0.25">
      <c r="A15" s="99">
        <v>2</v>
      </c>
      <c r="B15" s="100" t="s">
        <v>113</v>
      </c>
      <c r="C15" s="97">
        <v>786950</v>
      </c>
      <c r="D15" s="97">
        <v>877153</v>
      </c>
      <c r="E15" s="97">
        <f t="shared" si="0"/>
        <v>90203</v>
      </c>
      <c r="F15" s="98">
        <f t="shared" si="1"/>
        <v>0.11462354660397737</v>
      </c>
    </row>
    <row r="16" spans="1:6" ht="18" customHeight="1" x14ac:dyDescent="0.25">
      <c r="A16" s="99">
        <v>3</v>
      </c>
      <c r="B16" s="100" t="s">
        <v>114</v>
      </c>
      <c r="C16" s="97">
        <v>427475</v>
      </c>
      <c r="D16" s="97">
        <v>1036502</v>
      </c>
      <c r="E16" s="97">
        <f t="shared" si="0"/>
        <v>609027</v>
      </c>
      <c r="F16" s="98">
        <f t="shared" si="1"/>
        <v>1.4247078776536639</v>
      </c>
    </row>
    <row r="17" spans="1:6" ht="18" customHeight="1" x14ac:dyDescent="0.25">
      <c r="A17" s="99">
        <v>4</v>
      </c>
      <c r="B17" s="100" t="s">
        <v>115</v>
      </c>
      <c r="C17" s="97">
        <v>1587719</v>
      </c>
      <c r="D17" s="97">
        <v>2223448</v>
      </c>
      <c r="E17" s="97">
        <f t="shared" si="0"/>
        <v>635729</v>
      </c>
      <c r="F17" s="98">
        <f t="shared" si="1"/>
        <v>0.40040397576649267</v>
      </c>
    </row>
    <row r="18" spans="1:6" ht="18" customHeight="1" x14ac:dyDescent="0.25">
      <c r="A18" s="99">
        <v>5</v>
      </c>
      <c r="B18" s="100" t="s">
        <v>116</v>
      </c>
      <c r="C18" s="97">
        <v>56762</v>
      </c>
      <c r="D18" s="97">
        <v>69552</v>
      </c>
      <c r="E18" s="97">
        <f t="shared" si="0"/>
        <v>12790</v>
      </c>
      <c r="F18" s="98">
        <f t="shared" si="1"/>
        <v>0.22532680314294776</v>
      </c>
    </row>
    <row r="19" spans="1:6" ht="18" customHeight="1" x14ac:dyDescent="0.25">
      <c r="A19" s="99">
        <v>6</v>
      </c>
      <c r="B19" s="100" t="s">
        <v>117</v>
      </c>
      <c r="C19" s="97">
        <v>456495</v>
      </c>
      <c r="D19" s="97">
        <v>675145</v>
      </c>
      <c r="E19" s="97">
        <f t="shared" si="0"/>
        <v>218650</v>
      </c>
      <c r="F19" s="98">
        <f t="shared" si="1"/>
        <v>0.47897567333705737</v>
      </c>
    </row>
    <row r="20" spans="1:6" ht="18" customHeight="1" x14ac:dyDescent="0.25">
      <c r="A20" s="99">
        <v>7</v>
      </c>
      <c r="B20" s="100" t="s">
        <v>118</v>
      </c>
      <c r="C20" s="97">
        <v>10411775</v>
      </c>
      <c r="D20" s="97">
        <v>11809827</v>
      </c>
      <c r="E20" s="97">
        <f t="shared" si="0"/>
        <v>1398052</v>
      </c>
      <c r="F20" s="98">
        <f t="shared" si="1"/>
        <v>0.1342760480321559</v>
      </c>
    </row>
    <row r="21" spans="1:6" ht="18" customHeight="1" x14ac:dyDescent="0.25">
      <c r="A21" s="99">
        <v>8</v>
      </c>
      <c r="B21" s="100" t="s">
        <v>119</v>
      </c>
      <c r="C21" s="97">
        <v>1985034</v>
      </c>
      <c r="D21" s="97">
        <v>1287419</v>
      </c>
      <c r="E21" s="97">
        <f t="shared" si="0"/>
        <v>-697615</v>
      </c>
      <c r="F21" s="98">
        <f t="shared" si="1"/>
        <v>-0.35143730535597878</v>
      </c>
    </row>
    <row r="22" spans="1:6" ht="18" customHeight="1" x14ac:dyDescent="0.25">
      <c r="A22" s="99">
        <v>9</v>
      </c>
      <c r="B22" s="100" t="s">
        <v>120</v>
      </c>
      <c r="C22" s="97">
        <v>1035642</v>
      </c>
      <c r="D22" s="97">
        <v>998989</v>
      </c>
      <c r="E22" s="97">
        <f t="shared" si="0"/>
        <v>-36653</v>
      </c>
      <c r="F22" s="98">
        <f t="shared" si="1"/>
        <v>-3.5391573536028863E-2</v>
      </c>
    </row>
    <row r="23" spans="1:6" ht="18" customHeight="1" x14ac:dyDescent="0.25">
      <c r="A23" s="99">
        <v>10</v>
      </c>
      <c r="B23" s="100" t="s">
        <v>121</v>
      </c>
      <c r="C23" s="97">
        <v>289415</v>
      </c>
      <c r="D23" s="97">
        <v>0</v>
      </c>
      <c r="E23" s="97">
        <f t="shared" si="0"/>
        <v>-289415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2224392</v>
      </c>
      <c r="D24" s="97">
        <v>2271146</v>
      </c>
      <c r="E24" s="97">
        <f t="shared" si="0"/>
        <v>46754</v>
      </c>
      <c r="F24" s="98">
        <f t="shared" si="1"/>
        <v>2.1018777265877597E-2</v>
      </c>
    </row>
    <row r="25" spans="1:6" ht="18" customHeight="1" x14ac:dyDescent="0.25">
      <c r="A25" s="101"/>
      <c r="B25" s="102" t="s">
        <v>123</v>
      </c>
      <c r="C25" s="103">
        <f>SUM(C14:C24)</f>
        <v>50003842</v>
      </c>
      <c r="D25" s="103">
        <f>SUM(D14:D24)</f>
        <v>56413431</v>
      </c>
      <c r="E25" s="103">
        <f t="shared" si="0"/>
        <v>6409589</v>
      </c>
      <c r="F25" s="104">
        <f t="shared" si="1"/>
        <v>0.12818193050046034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27071098</v>
      </c>
      <c r="D27" s="97">
        <v>28276969</v>
      </c>
      <c r="E27" s="97">
        <f t="shared" ref="E27:E38" si="2">D27-C27</f>
        <v>1205871</v>
      </c>
      <c r="F27" s="98">
        <f t="shared" ref="F27:F38" si="3">IF(C27=0,0,E27/C27)</f>
        <v>4.4544591431053146E-2</v>
      </c>
    </row>
    <row r="28" spans="1:6" ht="18" customHeight="1" x14ac:dyDescent="0.25">
      <c r="A28" s="99">
        <v>2</v>
      </c>
      <c r="B28" s="100" t="s">
        <v>113</v>
      </c>
      <c r="C28" s="97">
        <v>957865</v>
      </c>
      <c r="D28" s="97">
        <v>1127836</v>
      </c>
      <c r="E28" s="97">
        <f t="shared" si="2"/>
        <v>169971</v>
      </c>
      <c r="F28" s="98">
        <f t="shared" si="3"/>
        <v>0.17744776142775862</v>
      </c>
    </row>
    <row r="29" spans="1:6" ht="18" customHeight="1" x14ac:dyDescent="0.25">
      <c r="A29" s="99">
        <v>3</v>
      </c>
      <c r="B29" s="100" t="s">
        <v>114</v>
      </c>
      <c r="C29" s="97">
        <v>741136</v>
      </c>
      <c r="D29" s="97">
        <v>1464460</v>
      </c>
      <c r="E29" s="97">
        <f t="shared" si="2"/>
        <v>723324</v>
      </c>
      <c r="F29" s="98">
        <f t="shared" si="3"/>
        <v>0.9759666242093219</v>
      </c>
    </row>
    <row r="30" spans="1:6" ht="18" customHeight="1" x14ac:dyDescent="0.25">
      <c r="A30" s="99">
        <v>4</v>
      </c>
      <c r="B30" s="100" t="s">
        <v>115</v>
      </c>
      <c r="C30" s="97">
        <v>2079700</v>
      </c>
      <c r="D30" s="97">
        <v>2387438</v>
      </c>
      <c r="E30" s="97">
        <f t="shared" si="2"/>
        <v>307738</v>
      </c>
      <c r="F30" s="98">
        <f t="shared" si="3"/>
        <v>0.14797230369764869</v>
      </c>
    </row>
    <row r="31" spans="1:6" ht="18" customHeight="1" x14ac:dyDescent="0.25">
      <c r="A31" s="99">
        <v>5</v>
      </c>
      <c r="B31" s="100" t="s">
        <v>116</v>
      </c>
      <c r="C31" s="97">
        <v>58414</v>
      </c>
      <c r="D31" s="97">
        <v>140523</v>
      </c>
      <c r="E31" s="97">
        <f t="shared" si="2"/>
        <v>82109</v>
      </c>
      <c r="F31" s="98">
        <f t="shared" si="3"/>
        <v>1.4056390591296608</v>
      </c>
    </row>
    <row r="32" spans="1:6" ht="18" customHeight="1" x14ac:dyDescent="0.25">
      <c r="A32" s="99">
        <v>6</v>
      </c>
      <c r="B32" s="100" t="s">
        <v>117</v>
      </c>
      <c r="C32" s="97">
        <v>2493092</v>
      </c>
      <c r="D32" s="97">
        <v>2308024</v>
      </c>
      <c r="E32" s="97">
        <f t="shared" si="2"/>
        <v>-185068</v>
      </c>
      <c r="F32" s="98">
        <f t="shared" si="3"/>
        <v>-7.4232318743151074E-2</v>
      </c>
    </row>
    <row r="33" spans="1:6" ht="18" customHeight="1" x14ac:dyDescent="0.25">
      <c r="A33" s="99">
        <v>7</v>
      </c>
      <c r="B33" s="100" t="s">
        <v>118</v>
      </c>
      <c r="C33" s="97">
        <v>30894268</v>
      </c>
      <c r="D33" s="97">
        <v>31246715</v>
      </c>
      <c r="E33" s="97">
        <f t="shared" si="2"/>
        <v>352447</v>
      </c>
      <c r="F33" s="98">
        <f t="shared" si="3"/>
        <v>1.140816801356161E-2</v>
      </c>
    </row>
    <row r="34" spans="1:6" ht="18" customHeight="1" x14ac:dyDescent="0.25">
      <c r="A34" s="99">
        <v>8</v>
      </c>
      <c r="B34" s="100" t="s">
        <v>119</v>
      </c>
      <c r="C34" s="97">
        <v>1638659</v>
      </c>
      <c r="D34" s="97">
        <v>1635220</v>
      </c>
      <c r="E34" s="97">
        <f t="shared" si="2"/>
        <v>-3439</v>
      </c>
      <c r="F34" s="98">
        <f t="shared" si="3"/>
        <v>-2.0986672639029839E-3</v>
      </c>
    </row>
    <row r="35" spans="1:6" ht="18" customHeight="1" x14ac:dyDescent="0.25">
      <c r="A35" s="99">
        <v>9</v>
      </c>
      <c r="B35" s="100" t="s">
        <v>120</v>
      </c>
      <c r="C35" s="97">
        <v>2361759</v>
      </c>
      <c r="D35" s="97">
        <v>2223498</v>
      </c>
      <c r="E35" s="97">
        <f t="shared" si="2"/>
        <v>-138261</v>
      </c>
      <c r="F35" s="98">
        <f t="shared" si="3"/>
        <v>-5.8541536202466042E-2</v>
      </c>
    </row>
    <row r="36" spans="1:6" ht="18" customHeight="1" x14ac:dyDescent="0.25">
      <c r="A36" s="99">
        <v>10</v>
      </c>
      <c r="B36" s="100" t="s">
        <v>121</v>
      </c>
      <c r="C36" s="97">
        <v>424675</v>
      </c>
      <c r="D36" s="97">
        <v>0</v>
      </c>
      <c r="E36" s="97">
        <f t="shared" si="2"/>
        <v>-424675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2363439</v>
      </c>
      <c r="D37" s="97">
        <v>2518791</v>
      </c>
      <c r="E37" s="97">
        <f t="shared" si="2"/>
        <v>155352</v>
      </c>
      <c r="F37" s="98">
        <f t="shared" si="3"/>
        <v>6.5731334720295298E-2</v>
      </c>
    </row>
    <row r="38" spans="1:6" ht="18" customHeight="1" x14ac:dyDescent="0.25">
      <c r="A38" s="101"/>
      <c r="B38" s="102" t="s">
        <v>126</v>
      </c>
      <c r="C38" s="103">
        <f>SUM(C27:C37)</f>
        <v>71084105</v>
      </c>
      <c r="D38" s="103">
        <f>SUM(D27:D37)</f>
        <v>73329474</v>
      </c>
      <c r="E38" s="103">
        <f t="shared" si="2"/>
        <v>2245369</v>
      </c>
      <c r="F38" s="104">
        <f t="shared" si="3"/>
        <v>3.1587497655066486E-2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57813281</v>
      </c>
      <c r="D41" s="103">
        <f t="shared" si="4"/>
        <v>63441219</v>
      </c>
      <c r="E41" s="107">
        <f t="shared" ref="E41:E52" si="5">D41-C41</f>
        <v>5627938</v>
      </c>
      <c r="F41" s="108">
        <f t="shared" ref="F41:F52" si="6">IF(C41=0,0,E41/C41)</f>
        <v>9.7346801680395889E-2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1744815</v>
      </c>
      <c r="D42" s="103">
        <f t="shared" si="4"/>
        <v>2004989</v>
      </c>
      <c r="E42" s="107">
        <f t="shared" si="5"/>
        <v>260174</v>
      </c>
      <c r="F42" s="108">
        <f t="shared" si="6"/>
        <v>0.14911265664268131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1168611</v>
      </c>
      <c r="D43" s="103">
        <f t="shared" si="4"/>
        <v>2500962</v>
      </c>
      <c r="E43" s="107">
        <f t="shared" si="5"/>
        <v>1332351</v>
      </c>
      <c r="F43" s="108">
        <f t="shared" si="6"/>
        <v>1.1401150596734071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3667419</v>
      </c>
      <c r="D44" s="103">
        <f t="shared" si="4"/>
        <v>4610886</v>
      </c>
      <c r="E44" s="107">
        <f t="shared" si="5"/>
        <v>943467</v>
      </c>
      <c r="F44" s="108">
        <f t="shared" si="6"/>
        <v>0.25725639748280738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115176</v>
      </c>
      <c r="D45" s="103">
        <f t="shared" si="4"/>
        <v>210075</v>
      </c>
      <c r="E45" s="107">
        <f t="shared" si="5"/>
        <v>94899</v>
      </c>
      <c r="F45" s="108">
        <f t="shared" si="6"/>
        <v>0.82394769743696605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2949587</v>
      </c>
      <c r="D46" s="103">
        <f t="shared" si="4"/>
        <v>2983169</v>
      </c>
      <c r="E46" s="107">
        <f t="shared" si="5"/>
        <v>33582</v>
      </c>
      <c r="F46" s="108">
        <f t="shared" si="6"/>
        <v>1.1385322758745547E-2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41306043</v>
      </c>
      <c r="D47" s="103">
        <f t="shared" si="4"/>
        <v>43056542</v>
      </c>
      <c r="E47" s="107">
        <f t="shared" si="5"/>
        <v>1750499</v>
      </c>
      <c r="F47" s="108">
        <f t="shared" si="6"/>
        <v>4.2378762836227137E-2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3623693</v>
      </c>
      <c r="D48" s="103">
        <f t="shared" si="4"/>
        <v>2922639</v>
      </c>
      <c r="E48" s="107">
        <f t="shared" si="5"/>
        <v>-701054</v>
      </c>
      <c r="F48" s="108">
        <f t="shared" si="6"/>
        <v>-0.19346396066112664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3397401</v>
      </c>
      <c r="D49" s="103">
        <f t="shared" si="4"/>
        <v>3222487</v>
      </c>
      <c r="E49" s="107">
        <f t="shared" si="5"/>
        <v>-174914</v>
      </c>
      <c r="F49" s="108">
        <f t="shared" si="6"/>
        <v>-5.148464958949503E-2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714090</v>
      </c>
      <c r="D50" s="103">
        <f t="shared" si="4"/>
        <v>0</v>
      </c>
      <c r="E50" s="107">
        <f t="shared" si="5"/>
        <v>-714090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4587831</v>
      </c>
      <c r="D51" s="103">
        <f t="shared" si="4"/>
        <v>4789937</v>
      </c>
      <c r="E51" s="107">
        <f t="shared" si="5"/>
        <v>202106</v>
      </c>
      <c r="F51" s="108">
        <f t="shared" si="6"/>
        <v>4.4052625303765545E-2</v>
      </c>
    </row>
    <row r="52" spans="1:6" ht="18.75" customHeight="1" thickBot="1" x14ac:dyDescent="0.3">
      <c r="A52" s="109"/>
      <c r="B52" s="110" t="s">
        <v>128</v>
      </c>
      <c r="C52" s="111">
        <f>SUM(C41:C51)</f>
        <v>121087947</v>
      </c>
      <c r="D52" s="112">
        <f>SUM(D41:D51)</f>
        <v>129742905</v>
      </c>
      <c r="E52" s="111">
        <f t="shared" si="5"/>
        <v>8654958</v>
      </c>
      <c r="F52" s="113">
        <f t="shared" si="6"/>
        <v>7.1476626819017744E-2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14169445</v>
      </c>
      <c r="D57" s="97">
        <v>16977932</v>
      </c>
      <c r="E57" s="97">
        <f t="shared" ref="E57:E68" si="7">D57-C57</f>
        <v>2808487</v>
      </c>
      <c r="F57" s="98">
        <f t="shared" ref="F57:F68" si="8">IF(C57=0,0,E57/C57)</f>
        <v>0.19820726923319862</v>
      </c>
    </row>
    <row r="58" spans="1:6" ht="18" customHeight="1" x14ac:dyDescent="0.25">
      <c r="A58" s="99">
        <v>2</v>
      </c>
      <c r="B58" s="100" t="s">
        <v>113</v>
      </c>
      <c r="C58" s="97">
        <v>364213</v>
      </c>
      <c r="D58" s="97">
        <v>439381</v>
      </c>
      <c r="E58" s="97">
        <f t="shared" si="7"/>
        <v>75168</v>
      </c>
      <c r="F58" s="98">
        <f t="shared" si="8"/>
        <v>0.20638472542166258</v>
      </c>
    </row>
    <row r="59" spans="1:6" ht="18" customHeight="1" x14ac:dyDescent="0.25">
      <c r="A59" s="99">
        <v>3</v>
      </c>
      <c r="B59" s="100" t="s">
        <v>114</v>
      </c>
      <c r="C59" s="97">
        <v>142277</v>
      </c>
      <c r="D59" s="97">
        <v>336876</v>
      </c>
      <c r="E59" s="97">
        <f t="shared" si="7"/>
        <v>194599</v>
      </c>
      <c r="F59" s="98">
        <f t="shared" si="8"/>
        <v>1.3677474222818868</v>
      </c>
    </row>
    <row r="60" spans="1:6" ht="18" customHeight="1" x14ac:dyDescent="0.25">
      <c r="A60" s="99">
        <v>4</v>
      </c>
      <c r="B60" s="100" t="s">
        <v>115</v>
      </c>
      <c r="C60" s="97">
        <v>608448</v>
      </c>
      <c r="D60" s="97">
        <v>668505</v>
      </c>
      <c r="E60" s="97">
        <f t="shared" si="7"/>
        <v>60057</v>
      </c>
      <c r="F60" s="98">
        <f t="shared" si="8"/>
        <v>9.8705230356579368E-2</v>
      </c>
    </row>
    <row r="61" spans="1:6" ht="18" customHeight="1" x14ac:dyDescent="0.25">
      <c r="A61" s="99">
        <v>5</v>
      </c>
      <c r="B61" s="100" t="s">
        <v>116</v>
      </c>
      <c r="C61" s="97">
        <v>47179</v>
      </c>
      <c r="D61" s="97">
        <v>67675</v>
      </c>
      <c r="E61" s="97">
        <f t="shared" si="7"/>
        <v>20496</v>
      </c>
      <c r="F61" s="98">
        <f t="shared" si="8"/>
        <v>0.43443057292439435</v>
      </c>
    </row>
    <row r="62" spans="1:6" ht="18" customHeight="1" x14ac:dyDescent="0.25">
      <c r="A62" s="99">
        <v>6</v>
      </c>
      <c r="B62" s="100" t="s">
        <v>117</v>
      </c>
      <c r="C62" s="97">
        <v>281266</v>
      </c>
      <c r="D62" s="97">
        <v>347530</v>
      </c>
      <c r="E62" s="97">
        <f t="shared" si="7"/>
        <v>66264</v>
      </c>
      <c r="F62" s="98">
        <f t="shared" si="8"/>
        <v>0.23559193077016063</v>
      </c>
    </row>
    <row r="63" spans="1:6" ht="18" customHeight="1" x14ac:dyDescent="0.25">
      <c r="A63" s="99">
        <v>7</v>
      </c>
      <c r="B63" s="100" t="s">
        <v>118</v>
      </c>
      <c r="C63" s="97">
        <v>5111270</v>
      </c>
      <c r="D63" s="97">
        <v>5883175</v>
      </c>
      <c r="E63" s="97">
        <f t="shared" si="7"/>
        <v>771905</v>
      </c>
      <c r="F63" s="98">
        <f t="shared" si="8"/>
        <v>0.15102019654606388</v>
      </c>
    </row>
    <row r="64" spans="1:6" ht="18" customHeight="1" x14ac:dyDescent="0.25">
      <c r="A64" s="99">
        <v>8</v>
      </c>
      <c r="B64" s="100" t="s">
        <v>119</v>
      </c>
      <c r="C64" s="97">
        <v>554699</v>
      </c>
      <c r="D64" s="97">
        <v>805208</v>
      </c>
      <c r="E64" s="97">
        <f t="shared" si="7"/>
        <v>250509</v>
      </c>
      <c r="F64" s="98">
        <f t="shared" si="8"/>
        <v>0.45161249614655874</v>
      </c>
    </row>
    <row r="65" spans="1:6" ht="18" customHeight="1" x14ac:dyDescent="0.25">
      <c r="A65" s="99">
        <v>9</v>
      </c>
      <c r="B65" s="100" t="s">
        <v>120</v>
      </c>
      <c r="C65" s="97">
        <v>92627</v>
      </c>
      <c r="D65" s="97">
        <v>123857</v>
      </c>
      <c r="E65" s="97">
        <f t="shared" si="7"/>
        <v>31230</v>
      </c>
      <c r="F65" s="98">
        <f t="shared" si="8"/>
        <v>0.3371587118226867</v>
      </c>
    </row>
    <row r="66" spans="1:6" ht="18" customHeight="1" x14ac:dyDescent="0.25">
      <c r="A66" s="99">
        <v>10</v>
      </c>
      <c r="B66" s="100" t="s">
        <v>121</v>
      </c>
      <c r="C66" s="97">
        <v>43081</v>
      </c>
      <c r="D66" s="97">
        <v>0</v>
      </c>
      <c r="E66" s="97">
        <f t="shared" si="7"/>
        <v>-43081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770937</v>
      </c>
      <c r="D67" s="97">
        <v>760368</v>
      </c>
      <c r="E67" s="97">
        <f t="shared" si="7"/>
        <v>-10569</v>
      </c>
      <c r="F67" s="98">
        <f t="shared" si="8"/>
        <v>-1.3709291420699746E-2</v>
      </c>
    </row>
    <row r="68" spans="1:6" ht="18" customHeight="1" x14ac:dyDescent="0.25">
      <c r="A68" s="101"/>
      <c r="B68" s="102" t="s">
        <v>131</v>
      </c>
      <c r="C68" s="103">
        <f>SUM(C57:C67)</f>
        <v>22185442</v>
      </c>
      <c r="D68" s="103">
        <f>SUM(D57:D67)</f>
        <v>26410507</v>
      </c>
      <c r="E68" s="103">
        <f t="shared" si="7"/>
        <v>4225065</v>
      </c>
      <c r="F68" s="104">
        <f t="shared" si="8"/>
        <v>0.19044312932778171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6414324</v>
      </c>
      <c r="D70" s="97">
        <v>6482115</v>
      </c>
      <c r="E70" s="97">
        <f t="shared" ref="E70:E81" si="9">D70-C70</f>
        <v>67791</v>
      </c>
      <c r="F70" s="98">
        <f t="shared" ref="F70:F81" si="10">IF(C70=0,0,E70/C70)</f>
        <v>1.0568689701362139E-2</v>
      </c>
    </row>
    <row r="71" spans="1:6" ht="18" customHeight="1" x14ac:dyDescent="0.25">
      <c r="A71" s="99">
        <v>2</v>
      </c>
      <c r="B71" s="100" t="s">
        <v>113</v>
      </c>
      <c r="C71" s="97">
        <v>216890</v>
      </c>
      <c r="D71" s="97">
        <v>263478</v>
      </c>
      <c r="E71" s="97">
        <f t="shared" si="9"/>
        <v>46588</v>
      </c>
      <c r="F71" s="98">
        <f t="shared" si="10"/>
        <v>0.2148001290976993</v>
      </c>
    </row>
    <row r="72" spans="1:6" ht="18" customHeight="1" x14ac:dyDescent="0.25">
      <c r="A72" s="99">
        <v>3</v>
      </c>
      <c r="B72" s="100" t="s">
        <v>114</v>
      </c>
      <c r="C72" s="97">
        <v>181138</v>
      </c>
      <c r="D72" s="97">
        <v>345904</v>
      </c>
      <c r="E72" s="97">
        <f t="shared" si="9"/>
        <v>164766</v>
      </c>
      <c r="F72" s="98">
        <f t="shared" si="10"/>
        <v>0.90961587298082125</v>
      </c>
    </row>
    <row r="73" spans="1:6" ht="18" customHeight="1" x14ac:dyDescent="0.25">
      <c r="A73" s="99">
        <v>4</v>
      </c>
      <c r="B73" s="100" t="s">
        <v>115</v>
      </c>
      <c r="C73" s="97">
        <v>548710</v>
      </c>
      <c r="D73" s="97">
        <v>586844</v>
      </c>
      <c r="E73" s="97">
        <f t="shared" si="9"/>
        <v>38134</v>
      </c>
      <c r="F73" s="98">
        <f t="shared" si="10"/>
        <v>6.9497548796267614E-2</v>
      </c>
    </row>
    <row r="74" spans="1:6" ht="18" customHeight="1" x14ac:dyDescent="0.25">
      <c r="A74" s="99">
        <v>5</v>
      </c>
      <c r="B74" s="100" t="s">
        <v>116</v>
      </c>
      <c r="C74" s="97">
        <v>24014</v>
      </c>
      <c r="D74" s="97">
        <v>40440</v>
      </c>
      <c r="E74" s="97">
        <f t="shared" si="9"/>
        <v>16426</v>
      </c>
      <c r="F74" s="98">
        <f t="shared" si="10"/>
        <v>0.6840176563671192</v>
      </c>
    </row>
    <row r="75" spans="1:6" ht="18" customHeight="1" x14ac:dyDescent="0.25">
      <c r="A75" s="99">
        <v>6</v>
      </c>
      <c r="B75" s="100" t="s">
        <v>117</v>
      </c>
      <c r="C75" s="97">
        <v>1538000</v>
      </c>
      <c r="D75" s="97">
        <v>1472368</v>
      </c>
      <c r="E75" s="97">
        <f t="shared" si="9"/>
        <v>-65632</v>
      </c>
      <c r="F75" s="98">
        <f t="shared" si="10"/>
        <v>-4.2673602080624186E-2</v>
      </c>
    </row>
    <row r="76" spans="1:6" ht="18" customHeight="1" x14ac:dyDescent="0.25">
      <c r="A76" s="99">
        <v>7</v>
      </c>
      <c r="B76" s="100" t="s">
        <v>118</v>
      </c>
      <c r="C76" s="97">
        <v>15785290</v>
      </c>
      <c r="D76" s="97">
        <v>14672389</v>
      </c>
      <c r="E76" s="97">
        <f t="shared" si="9"/>
        <v>-1112901</v>
      </c>
      <c r="F76" s="98">
        <f t="shared" si="10"/>
        <v>-7.0502410788778669E-2</v>
      </c>
    </row>
    <row r="77" spans="1:6" ht="18" customHeight="1" x14ac:dyDescent="0.25">
      <c r="A77" s="99">
        <v>8</v>
      </c>
      <c r="B77" s="100" t="s">
        <v>119</v>
      </c>
      <c r="C77" s="97">
        <v>528743</v>
      </c>
      <c r="D77" s="97">
        <v>643745</v>
      </c>
      <c r="E77" s="97">
        <f t="shared" si="9"/>
        <v>115002</v>
      </c>
      <c r="F77" s="98">
        <f t="shared" si="10"/>
        <v>0.21750075178300232</v>
      </c>
    </row>
    <row r="78" spans="1:6" ht="18" customHeight="1" x14ac:dyDescent="0.25">
      <c r="A78" s="99">
        <v>9</v>
      </c>
      <c r="B78" s="100" t="s">
        <v>120</v>
      </c>
      <c r="C78" s="97">
        <v>623982</v>
      </c>
      <c r="D78" s="97">
        <v>127109</v>
      </c>
      <c r="E78" s="97">
        <f t="shared" si="9"/>
        <v>-496873</v>
      </c>
      <c r="F78" s="98">
        <f t="shared" si="10"/>
        <v>-0.79629380334689137</v>
      </c>
    </row>
    <row r="79" spans="1:6" ht="18" customHeight="1" x14ac:dyDescent="0.25">
      <c r="A79" s="99">
        <v>10</v>
      </c>
      <c r="B79" s="100" t="s">
        <v>121</v>
      </c>
      <c r="C79" s="97">
        <v>68334</v>
      </c>
      <c r="D79" s="97">
        <v>0</v>
      </c>
      <c r="E79" s="97">
        <f t="shared" si="9"/>
        <v>-68334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380882</v>
      </c>
      <c r="D80" s="97">
        <v>347112</v>
      </c>
      <c r="E80" s="97">
        <f t="shared" si="9"/>
        <v>-33770</v>
      </c>
      <c r="F80" s="98">
        <f t="shared" si="10"/>
        <v>-8.8662630420970279E-2</v>
      </c>
    </row>
    <row r="81" spans="1:6" ht="18" customHeight="1" x14ac:dyDescent="0.25">
      <c r="A81" s="101"/>
      <c r="B81" s="102" t="s">
        <v>133</v>
      </c>
      <c r="C81" s="103">
        <f>SUM(C70:C80)</f>
        <v>26310307</v>
      </c>
      <c r="D81" s="103">
        <f>SUM(D70:D80)</f>
        <v>24981504</v>
      </c>
      <c r="E81" s="103">
        <f t="shared" si="9"/>
        <v>-1328803</v>
      </c>
      <c r="F81" s="104">
        <f t="shared" si="10"/>
        <v>-5.0505035916152553E-2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20583769</v>
      </c>
      <c r="D84" s="103">
        <f t="shared" si="11"/>
        <v>23460047</v>
      </c>
      <c r="E84" s="103">
        <f t="shared" ref="E84:E95" si="12">D84-C84</f>
        <v>2876278</v>
      </c>
      <c r="F84" s="104">
        <f t="shared" ref="F84:F95" si="13">IF(C84=0,0,E84/C84)</f>
        <v>0.13973524479408994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581103</v>
      </c>
      <c r="D85" s="103">
        <f t="shared" si="11"/>
        <v>702859</v>
      </c>
      <c r="E85" s="103">
        <f t="shared" si="12"/>
        <v>121756</v>
      </c>
      <c r="F85" s="104">
        <f t="shared" si="13"/>
        <v>0.20952567789187115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323415</v>
      </c>
      <c r="D86" s="103">
        <f t="shared" si="11"/>
        <v>682780</v>
      </c>
      <c r="E86" s="103">
        <f t="shared" si="12"/>
        <v>359365</v>
      </c>
      <c r="F86" s="104">
        <f t="shared" si="13"/>
        <v>1.1111574911491426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1157158</v>
      </c>
      <c r="D87" s="103">
        <f t="shared" si="11"/>
        <v>1255349</v>
      </c>
      <c r="E87" s="103">
        <f t="shared" si="12"/>
        <v>98191</v>
      </c>
      <c r="F87" s="104">
        <f t="shared" si="13"/>
        <v>8.4855309300890636E-2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71193</v>
      </c>
      <c r="D88" s="103">
        <f t="shared" si="11"/>
        <v>108115</v>
      </c>
      <c r="E88" s="103">
        <f t="shared" si="12"/>
        <v>36922</v>
      </c>
      <c r="F88" s="104">
        <f t="shared" si="13"/>
        <v>0.51861840349472565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1819266</v>
      </c>
      <c r="D89" s="103">
        <f t="shared" si="11"/>
        <v>1819898</v>
      </c>
      <c r="E89" s="103">
        <f t="shared" si="12"/>
        <v>632</v>
      </c>
      <c r="F89" s="104">
        <f t="shared" si="13"/>
        <v>3.4739284964375745E-4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20896560</v>
      </c>
      <c r="D90" s="103">
        <f t="shared" si="11"/>
        <v>20555564</v>
      </c>
      <c r="E90" s="103">
        <f t="shared" si="12"/>
        <v>-340996</v>
      </c>
      <c r="F90" s="104">
        <f t="shared" si="13"/>
        <v>-1.6318283966356185E-2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1083442</v>
      </c>
      <c r="D91" s="103">
        <f t="shared" si="11"/>
        <v>1448953</v>
      </c>
      <c r="E91" s="103">
        <f t="shared" si="12"/>
        <v>365511</v>
      </c>
      <c r="F91" s="104">
        <f t="shared" si="13"/>
        <v>0.33736092933447293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716609</v>
      </c>
      <c r="D92" s="103">
        <f t="shared" si="11"/>
        <v>250966</v>
      </c>
      <c r="E92" s="103">
        <f t="shared" si="12"/>
        <v>-465643</v>
      </c>
      <c r="F92" s="104">
        <f t="shared" si="13"/>
        <v>-0.64978670376732639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111415</v>
      </c>
      <c r="D93" s="103">
        <f t="shared" si="11"/>
        <v>0</v>
      </c>
      <c r="E93" s="103">
        <f t="shared" si="12"/>
        <v>-111415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1151819</v>
      </c>
      <c r="D94" s="103">
        <f t="shared" si="11"/>
        <v>1107480</v>
      </c>
      <c r="E94" s="103">
        <f t="shared" si="12"/>
        <v>-44339</v>
      </c>
      <c r="F94" s="104">
        <f t="shared" si="13"/>
        <v>-3.8494763500167999E-2</v>
      </c>
    </row>
    <row r="95" spans="1:6" ht="18.75" customHeight="1" thickBot="1" x14ac:dyDescent="0.3">
      <c r="A95" s="115"/>
      <c r="B95" s="116" t="s">
        <v>134</v>
      </c>
      <c r="C95" s="112">
        <f>SUM(C84:C94)</f>
        <v>48495749</v>
      </c>
      <c r="D95" s="112">
        <f>SUM(D84:D94)</f>
        <v>51392011</v>
      </c>
      <c r="E95" s="112">
        <f t="shared" si="12"/>
        <v>2896262</v>
      </c>
      <c r="F95" s="113">
        <f t="shared" si="13"/>
        <v>5.9721976868529238E-2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1440</v>
      </c>
      <c r="D100" s="117">
        <v>1485</v>
      </c>
      <c r="E100" s="117">
        <f t="shared" ref="E100:E111" si="14">D100-C100</f>
        <v>45</v>
      </c>
      <c r="F100" s="98">
        <f t="shared" ref="F100:F111" si="15">IF(C100=0,0,E100/C100)</f>
        <v>3.125E-2</v>
      </c>
    </row>
    <row r="101" spans="1:6" ht="18" customHeight="1" x14ac:dyDescent="0.25">
      <c r="A101" s="99">
        <v>2</v>
      </c>
      <c r="B101" s="100" t="s">
        <v>113</v>
      </c>
      <c r="C101" s="117">
        <v>39</v>
      </c>
      <c r="D101" s="117">
        <v>45</v>
      </c>
      <c r="E101" s="117">
        <f t="shared" si="14"/>
        <v>6</v>
      </c>
      <c r="F101" s="98">
        <f t="shared" si="15"/>
        <v>0.15384615384615385</v>
      </c>
    </row>
    <row r="102" spans="1:6" ht="18" customHeight="1" x14ac:dyDescent="0.25">
      <c r="A102" s="99">
        <v>3</v>
      </c>
      <c r="B102" s="100" t="s">
        <v>114</v>
      </c>
      <c r="C102" s="117">
        <v>36</v>
      </c>
      <c r="D102" s="117">
        <v>56</v>
      </c>
      <c r="E102" s="117">
        <f t="shared" si="14"/>
        <v>20</v>
      </c>
      <c r="F102" s="98">
        <f t="shared" si="15"/>
        <v>0.55555555555555558</v>
      </c>
    </row>
    <row r="103" spans="1:6" ht="18" customHeight="1" x14ac:dyDescent="0.25">
      <c r="A103" s="99">
        <v>4</v>
      </c>
      <c r="B103" s="100" t="s">
        <v>115</v>
      </c>
      <c r="C103" s="117">
        <v>181</v>
      </c>
      <c r="D103" s="117">
        <v>167</v>
      </c>
      <c r="E103" s="117">
        <f t="shared" si="14"/>
        <v>-14</v>
      </c>
      <c r="F103" s="98">
        <f t="shared" si="15"/>
        <v>-7.7348066298342538E-2</v>
      </c>
    </row>
    <row r="104" spans="1:6" ht="18" customHeight="1" x14ac:dyDescent="0.25">
      <c r="A104" s="99">
        <v>5</v>
      </c>
      <c r="B104" s="100" t="s">
        <v>116</v>
      </c>
      <c r="C104" s="117">
        <v>7</v>
      </c>
      <c r="D104" s="117">
        <v>8</v>
      </c>
      <c r="E104" s="117">
        <f t="shared" si="14"/>
        <v>1</v>
      </c>
      <c r="F104" s="98">
        <f t="shared" si="15"/>
        <v>0.14285714285714285</v>
      </c>
    </row>
    <row r="105" spans="1:6" ht="18" customHeight="1" x14ac:dyDescent="0.25">
      <c r="A105" s="99">
        <v>6</v>
      </c>
      <c r="B105" s="100" t="s">
        <v>117</v>
      </c>
      <c r="C105" s="117">
        <v>21</v>
      </c>
      <c r="D105" s="117">
        <v>41</v>
      </c>
      <c r="E105" s="117">
        <f t="shared" si="14"/>
        <v>20</v>
      </c>
      <c r="F105" s="98">
        <f t="shared" si="15"/>
        <v>0.95238095238095233</v>
      </c>
    </row>
    <row r="106" spans="1:6" ht="18" customHeight="1" x14ac:dyDescent="0.25">
      <c r="A106" s="99">
        <v>7</v>
      </c>
      <c r="B106" s="100" t="s">
        <v>118</v>
      </c>
      <c r="C106" s="117">
        <v>689</v>
      </c>
      <c r="D106" s="117">
        <v>672</v>
      </c>
      <c r="E106" s="117">
        <f t="shared" si="14"/>
        <v>-17</v>
      </c>
      <c r="F106" s="98">
        <f t="shared" si="15"/>
        <v>-2.4673439767779391E-2</v>
      </c>
    </row>
    <row r="107" spans="1:6" ht="18" customHeight="1" x14ac:dyDescent="0.25">
      <c r="A107" s="99">
        <v>8</v>
      </c>
      <c r="B107" s="100" t="s">
        <v>119</v>
      </c>
      <c r="C107" s="117">
        <v>33</v>
      </c>
      <c r="D107" s="117">
        <v>24</v>
      </c>
      <c r="E107" s="117">
        <f t="shared" si="14"/>
        <v>-9</v>
      </c>
      <c r="F107" s="98">
        <f t="shared" si="15"/>
        <v>-0.27272727272727271</v>
      </c>
    </row>
    <row r="108" spans="1:6" ht="18" customHeight="1" x14ac:dyDescent="0.25">
      <c r="A108" s="99">
        <v>9</v>
      </c>
      <c r="B108" s="100" t="s">
        <v>120</v>
      </c>
      <c r="C108" s="117">
        <v>65</v>
      </c>
      <c r="D108" s="117">
        <v>57</v>
      </c>
      <c r="E108" s="117">
        <f t="shared" si="14"/>
        <v>-8</v>
      </c>
      <c r="F108" s="98">
        <f t="shared" si="15"/>
        <v>-0.12307692307692308</v>
      </c>
    </row>
    <row r="109" spans="1:6" ht="18" customHeight="1" x14ac:dyDescent="0.25">
      <c r="A109" s="99">
        <v>10</v>
      </c>
      <c r="B109" s="100" t="s">
        <v>121</v>
      </c>
      <c r="C109" s="117">
        <v>16</v>
      </c>
      <c r="D109" s="117">
        <v>0</v>
      </c>
      <c r="E109" s="117">
        <f t="shared" si="14"/>
        <v>-16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154</v>
      </c>
      <c r="D110" s="117">
        <v>148</v>
      </c>
      <c r="E110" s="117">
        <f t="shared" si="14"/>
        <v>-6</v>
      </c>
      <c r="F110" s="98">
        <f t="shared" si="15"/>
        <v>-3.896103896103896E-2</v>
      </c>
    </row>
    <row r="111" spans="1:6" ht="18" customHeight="1" x14ac:dyDescent="0.25">
      <c r="A111" s="101"/>
      <c r="B111" s="102" t="s">
        <v>138</v>
      </c>
      <c r="C111" s="118">
        <f>SUM(C100:C110)</f>
        <v>2681</v>
      </c>
      <c r="D111" s="118">
        <f>SUM(D100:D110)</f>
        <v>2703</v>
      </c>
      <c r="E111" s="118">
        <f t="shared" si="14"/>
        <v>22</v>
      </c>
      <c r="F111" s="104">
        <f t="shared" si="15"/>
        <v>8.2058933233867953E-3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7988</v>
      </c>
      <c r="D113" s="117">
        <v>8468</v>
      </c>
      <c r="E113" s="117">
        <f t="shared" ref="E113:E124" si="16">D113-C113</f>
        <v>480</v>
      </c>
      <c r="F113" s="98">
        <f t="shared" ref="F113:F124" si="17">IF(C113=0,0,E113/C113)</f>
        <v>6.0090135202804207E-2</v>
      </c>
    </row>
    <row r="114" spans="1:6" ht="18" customHeight="1" x14ac:dyDescent="0.25">
      <c r="A114" s="99">
        <v>2</v>
      </c>
      <c r="B114" s="100" t="s">
        <v>113</v>
      </c>
      <c r="C114" s="117">
        <v>157</v>
      </c>
      <c r="D114" s="117">
        <v>217</v>
      </c>
      <c r="E114" s="117">
        <f t="shared" si="16"/>
        <v>60</v>
      </c>
      <c r="F114" s="98">
        <f t="shared" si="17"/>
        <v>0.38216560509554143</v>
      </c>
    </row>
    <row r="115" spans="1:6" ht="18" customHeight="1" x14ac:dyDescent="0.25">
      <c r="A115" s="99">
        <v>3</v>
      </c>
      <c r="B115" s="100" t="s">
        <v>114</v>
      </c>
      <c r="C115" s="117">
        <v>131</v>
      </c>
      <c r="D115" s="117">
        <v>252</v>
      </c>
      <c r="E115" s="117">
        <f t="shared" si="16"/>
        <v>121</v>
      </c>
      <c r="F115" s="98">
        <f t="shared" si="17"/>
        <v>0.92366412213740456</v>
      </c>
    </row>
    <row r="116" spans="1:6" ht="18" customHeight="1" x14ac:dyDescent="0.25">
      <c r="A116" s="99">
        <v>4</v>
      </c>
      <c r="B116" s="100" t="s">
        <v>115</v>
      </c>
      <c r="C116" s="117">
        <v>458</v>
      </c>
      <c r="D116" s="117">
        <v>510</v>
      </c>
      <c r="E116" s="117">
        <f t="shared" si="16"/>
        <v>52</v>
      </c>
      <c r="F116" s="98">
        <f t="shared" si="17"/>
        <v>0.11353711790393013</v>
      </c>
    </row>
    <row r="117" spans="1:6" ht="18" customHeight="1" x14ac:dyDescent="0.25">
      <c r="A117" s="99">
        <v>5</v>
      </c>
      <c r="B117" s="100" t="s">
        <v>116</v>
      </c>
      <c r="C117" s="117">
        <v>16</v>
      </c>
      <c r="D117" s="117">
        <v>16</v>
      </c>
      <c r="E117" s="117">
        <f t="shared" si="16"/>
        <v>0</v>
      </c>
      <c r="F117" s="98">
        <f t="shared" si="17"/>
        <v>0</v>
      </c>
    </row>
    <row r="118" spans="1:6" ht="18" customHeight="1" x14ac:dyDescent="0.25">
      <c r="A118" s="99">
        <v>6</v>
      </c>
      <c r="B118" s="100" t="s">
        <v>117</v>
      </c>
      <c r="C118" s="117">
        <v>55</v>
      </c>
      <c r="D118" s="117">
        <v>139</v>
      </c>
      <c r="E118" s="117">
        <f t="shared" si="16"/>
        <v>84</v>
      </c>
      <c r="F118" s="98">
        <f t="shared" si="17"/>
        <v>1.5272727272727273</v>
      </c>
    </row>
    <row r="119" spans="1:6" ht="18" customHeight="1" x14ac:dyDescent="0.25">
      <c r="A119" s="99">
        <v>7</v>
      </c>
      <c r="B119" s="100" t="s">
        <v>118</v>
      </c>
      <c r="C119" s="117">
        <v>1932</v>
      </c>
      <c r="D119" s="117">
        <v>2015</v>
      </c>
      <c r="E119" s="117">
        <f t="shared" si="16"/>
        <v>83</v>
      </c>
      <c r="F119" s="98">
        <f t="shared" si="17"/>
        <v>4.296066252587992E-2</v>
      </c>
    </row>
    <row r="120" spans="1:6" ht="18" customHeight="1" x14ac:dyDescent="0.25">
      <c r="A120" s="99">
        <v>8</v>
      </c>
      <c r="B120" s="100" t="s">
        <v>119</v>
      </c>
      <c r="C120" s="117">
        <v>112</v>
      </c>
      <c r="D120" s="117">
        <v>62</v>
      </c>
      <c r="E120" s="117">
        <f t="shared" si="16"/>
        <v>-50</v>
      </c>
      <c r="F120" s="98">
        <f t="shared" si="17"/>
        <v>-0.44642857142857145</v>
      </c>
    </row>
    <row r="121" spans="1:6" ht="18" customHeight="1" x14ac:dyDescent="0.25">
      <c r="A121" s="99">
        <v>9</v>
      </c>
      <c r="B121" s="100" t="s">
        <v>120</v>
      </c>
      <c r="C121" s="117">
        <v>178</v>
      </c>
      <c r="D121" s="117">
        <v>186</v>
      </c>
      <c r="E121" s="117">
        <f t="shared" si="16"/>
        <v>8</v>
      </c>
      <c r="F121" s="98">
        <f t="shared" si="17"/>
        <v>4.49438202247191E-2</v>
      </c>
    </row>
    <row r="122" spans="1:6" ht="18" customHeight="1" x14ac:dyDescent="0.25">
      <c r="A122" s="99">
        <v>10</v>
      </c>
      <c r="B122" s="100" t="s">
        <v>121</v>
      </c>
      <c r="C122" s="117">
        <v>55</v>
      </c>
      <c r="D122" s="117">
        <v>0</v>
      </c>
      <c r="E122" s="117">
        <f t="shared" si="16"/>
        <v>-55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540</v>
      </c>
      <c r="D123" s="117">
        <v>490</v>
      </c>
      <c r="E123" s="117">
        <f t="shared" si="16"/>
        <v>-50</v>
      </c>
      <c r="F123" s="98">
        <f t="shared" si="17"/>
        <v>-9.2592592592592587E-2</v>
      </c>
    </row>
    <row r="124" spans="1:6" ht="18" customHeight="1" x14ac:dyDescent="0.25">
      <c r="A124" s="101"/>
      <c r="B124" s="102" t="s">
        <v>140</v>
      </c>
      <c r="C124" s="118">
        <f>SUM(C113:C123)</f>
        <v>11622</v>
      </c>
      <c r="D124" s="118">
        <f>SUM(D113:D123)</f>
        <v>12355</v>
      </c>
      <c r="E124" s="118">
        <f t="shared" si="16"/>
        <v>733</v>
      </c>
      <c r="F124" s="104">
        <f t="shared" si="17"/>
        <v>6.3070039580106693E-2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28281</v>
      </c>
      <c r="D126" s="117">
        <v>34119</v>
      </c>
      <c r="E126" s="117">
        <f t="shared" ref="E126:E137" si="18">D126-C126</f>
        <v>5838</v>
      </c>
      <c r="F126" s="98">
        <f t="shared" ref="F126:F137" si="19">IF(C126=0,0,E126/C126)</f>
        <v>0.20642834411795905</v>
      </c>
    </row>
    <row r="127" spans="1:6" ht="18" customHeight="1" x14ac:dyDescent="0.25">
      <c r="A127" s="99">
        <v>2</v>
      </c>
      <c r="B127" s="100" t="s">
        <v>113</v>
      </c>
      <c r="C127" s="117">
        <v>1050</v>
      </c>
      <c r="D127" s="117">
        <v>1632</v>
      </c>
      <c r="E127" s="117">
        <f t="shared" si="18"/>
        <v>582</v>
      </c>
      <c r="F127" s="98">
        <f t="shared" si="19"/>
        <v>0.55428571428571427</v>
      </c>
    </row>
    <row r="128" spans="1:6" ht="18" customHeight="1" x14ac:dyDescent="0.25">
      <c r="A128" s="99">
        <v>3</v>
      </c>
      <c r="B128" s="100" t="s">
        <v>114</v>
      </c>
      <c r="C128" s="117">
        <v>579</v>
      </c>
      <c r="D128" s="117">
        <v>1139</v>
      </c>
      <c r="E128" s="117">
        <f t="shared" si="18"/>
        <v>560</v>
      </c>
      <c r="F128" s="98">
        <f t="shared" si="19"/>
        <v>0.9671848013816926</v>
      </c>
    </row>
    <row r="129" spans="1:6" ht="18" customHeight="1" x14ac:dyDescent="0.25">
      <c r="A129" s="99">
        <v>4</v>
      </c>
      <c r="B129" s="100" t="s">
        <v>115</v>
      </c>
      <c r="C129" s="117">
        <v>2419</v>
      </c>
      <c r="D129" s="117">
        <v>2922</v>
      </c>
      <c r="E129" s="117">
        <f t="shared" si="18"/>
        <v>503</v>
      </c>
      <c r="F129" s="98">
        <f t="shared" si="19"/>
        <v>0.20793716411740387</v>
      </c>
    </row>
    <row r="130" spans="1:6" ht="18" customHeight="1" x14ac:dyDescent="0.25">
      <c r="A130" s="99">
        <v>5</v>
      </c>
      <c r="B130" s="100" t="s">
        <v>116</v>
      </c>
      <c r="C130" s="117">
        <v>88</v>
      </c>
      <c r="D130" s="117">
        <v>94</v>
      </c>
      <c r="E130" s="117">
        <f t="shared" si="18"/>
        <v>6</v>
      </c>
      <c r="F130" s="98">
        <f t="shared" si="19"/>
        <v>6.8181818181818177E-2</v>
      </c>
    </row>
    <row r="131" spans="1:6" ht="18" customHeight="1" x14ac:dyDescent="0.25">
      <c r="A131" s="99">
        <v>6</v>
      </c>
      <c r="B131" s="100" t="s">
        <v>117</v>
      </c>
      <c r="C131" s="117">
        <v>4774</v>
      </c>
      <c r="D131" s="117">
        <v>1655</v>
      </c>
      <c r="E131" s="117">
        <f t="shared" si="18"/>
        <v>-3119</v>
      </c>
      <c r="F131" s="98">
        <f t="shared" si="19"/>
        <v>-0.65333054042731464</v>
      </c>
    </row>
    <row r="132" spans="1:6" ht="18" customHeight="1" x14ac:dyDescent="0.25">
      <c r="A132" s="99">
        <v>7</v>
      </c>
      <c r="B132" s="100" t="s">
        <v>118</v>
      </c>
      <c r="C132" s="117">
        <v>27383</v>
      </c>
      <c r="D132" s="117">
        <v>28321</v>
      </c>
      <c r="E132" s="117">
        <f t="shared" si="18"/>
        <v>938</v>
      </c>
      <c r="F132" s="98">
        <f t="shared" si="19"/>
        <v>3.4254829638827013E-2</v>
      </c>
    </row>
    <row r="133" spans="1:6" ht="18" customHeight="1" x14ac:dyDescent="0.25">
      <c r="A133" s="99">
        <v>8</v>
      </c>
      <c r="B133" s="100" t="s">
        <v>119</v>
      </c>
      <c r="C133" s="117">
        <v>1130</v>
      </c>
      <c r="D133" s="117">
        <v>601</v>
      </c>
      <c r="E133" s="117">
        <f t="shared" si="18"/>
        <v>-529</v>
      </c>
      <c r="F133" s="98">
        <f t="shared" si="19"/>
        <v>-0.46814159292035395</v>
      </c>
    </row>
    <row r="134" spans="1:6" ht="18" customHeight="1" x14ac:dyDescent="0.25">
      <c r="A134" s="99">
        <v>9</v>
      </c>
      <c r="B134" s="100" t="s">
        <v>120</v>
      </c>
      <c r="C134" s="117">
        <v>3801</v>
      </c>
      <c r="D134" s="117">
        <v>6909</v>
      </c>
      <c r="E134" s="117">
        <f t="shared" si="18"/>
        <v>3108</v>
      </c>
      <c r="F134" s="98">
        <f t="shared" si="19"/>
        <v>0.81767955801104975</v>
      </c>
    </row>
    <row r="135" spans="1:6" ht="18" customHeight="1" x14ac:dyDescent="0.25">
      <c r="A135" s="99">
        <v>10</v>
      </c>
      <c r="B135" s="100" t="s">
        <v>121</v>
      </c>
      <c r="C135" s="117">
        <v>406</v>
      </c>
      <c r="D135" s="117">
        <v>0</v>
      </c>
      <c r="E135" s="117">
        <f t="shared" si="18"/>
        <v>-406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2493</v>
      </c>
      <c r="D136" s="117">
        <v>2251</v>
      </c>
      <c r="E136" s="117">
        <f t="shared" si="18"/>
        <v>-242</v>
      </c>
      <c r="F136" s="98">
        <f t="shared" si="19"/>
        <v>-9.7071801042920181E-2</v>
      </c>
    </row>
    <row r="137" spans="1:6" ht="18" customHeight="1" x14ac:dyDescent="0.25">
      <c r="A137" s="101"/>
      <c r="B137" s="102" t="s">
        <v>143</v>
      </c>
      <c r="C137" s="118">
        <f>SUM(C126:C136)</f>
        <v>72404</v>
      </c>
      <c r="D137" s="118">
        <f>SUM(D126:D136)</f>
        <v>79643</v>
      </c>
      <c r="E137" s="118">
        <f t="shared" si="18"/>
        <v>7239</v>
      </c>
      <c r="F137" s="104">
        <f t="shared" si="19"/>
        <v>9.9980664051709855E-2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3415061</v>
      </c>
      <c r="D142" s="97">
        <v>3748266</v>
      </c>
      <c r="E142" s="97">
        <f t="shared" ref="E142:E153" si="20">D142-C142</f>
        <v>333205</v>
      </c>
      <c r="F142" s="98">
        <f t="shared" ref="F142:F153" si="21">IF(C142=0,0,E142/C142)</f>
        <v>9.756926743036215E-2</v>
      </c>
    </row>
    <row r="143" spans="1:6" ht="18" customHeight="1" x14ac:dyDescent="0.25">
      <c r="A143" s="99">
        <v>2</v>
      </c>
      <c r="B143" s="100" t="s">
        <v>113</v>
      </c>
      <c r="C143" s="97">
        <v>149696</v>
      </c>
      <c r="D143" s="97">
        <v>151127</v>
      </c>
      <c r="E143" s="97">
        <f t="shared" si="20"/>
        <v>1431</v>
      </c>
      <c r="F143" s="98">
        <f t="shared" si="21"/>
        <v>9.5593736639589567E-3</v>
      </c>
    </row>
    <row r="144" spans="1:6" ht="18" customHeight="1" x14ac:dyDescent="0.25">
      <c r="A144" s="99">
        <v>3</v>
      </c>
      <c r="B144" s="100" t="s">
        <v>114</v>
      </c>
      <c r="C144" s="97">
        <v>147487</v>
      </c>
      <c r="D144" s="97">
        <v>377265</v>
      </c>
      <c r="E144" s="97">
        <f t="shared" si="20"/>
        <v>229778</v>
      </c>
      <c r="F144" s="98">
        <f t="shared" si="21"/>
        <v>1.5579542603754908</v>
      </c>
    </row>
    <row r="145" spans="1:6" ht="18" customHeight="1" x14ac:dyDescent="0.25">
      <c r="A145" s="99">
        <v>4</v>
      </c>
      <c r="B145" s="100" t="s">
        <v>115</v>
      </c>
      <c r="C145" s="97">
        <v>807432</v>
      </c>
      <c r="D145" s="97">
        <v>1029052</v>
      </c>
      <c r="E145" s="97">
        <f t="shared" si="20"/>
        <v>221620</v>
      </c>
      <c r="F145" s="98">
        <f t="shared" si="21"/>
        <v>0.27447512607872859</v>
      </c>
    </row>
    <row r="146" spans="1:6" ht="18" customHeight="1" x14ac:dyDescent="0.25">
      <c r="A146" s="99">
        <v>5</v>
      </c>
      <c r="B146" s="100" t="s">
        <v>116</v>
      </c>
      <c r="C146" s="97">
        <v>35004</v>
      </c>
      <c r="D146" s="97">
        <v>52461</v>
      </c>
      <c r="E146" s="97">
        <f t="shared" si="20"/>
        <v>17457</v>
      </c>
      <c r="F146" s="98">
        <f t="shared" si="21"/>
        <v>0.49871443263627013</v>
      </c>
    </row>
    <row r="147" spans="1:6" ht="18" customHeight="1" x14ac:dyDescent="0.25">
      <c r="A147" s="99">
        <v>6</v>
      </c>
      <c r="B147" s="100" t="s">
        <v>117</v>
      </c>
      <c r="C147" s="97">
        <v>919869</v>
      </c>
      <c r="D147" s="97">
        <v>341768</v>
      </c>
      <c r="E147" s="97">
        <f t="shared" si="20"/>
        <v>-578101</v>
      </c>
      <c r="F147" s="98">
        <f t="shared" si="21"/>
        <v>-0.62846013943289747</v>
      </c>
    </row>
    <row r="148" spans="1:6" ht="18" customHeight="1" x14ac:dyDescent="0.25">
      <c r="A148" s="99">
        <v>7</v>
      </c>
      <c r="B148" s="100" t="s">
        <v>118</v>
      </c>
      <c r="C148" s="97">
        <v>5645770</v>
      </c>
      <c r="D148" s="97">
        <v>6563609</v>
      </c>
      <c r="E148" s="97">
        <f t="shared" si="20"/>
        <v>917839</v>
      </c>
      <c r="F148" s="98">
        <f t="shared" si="21"/>
        <v>0.16257109304842388</v>
      </c>
    </row>
    <row r="149" spans="1:6" ht="18" customHeight="1" x14ac:dyDescent="0.25">
      <c r="A149" s="99">
        <v>8</v>
      </c>
      <c r="B149" s="100" t="s">
        <v>119</v>
      </c>
      <c r="C149" s="97">
        <v>404712</v>
      </c>
      <c r="D149" s="97">
        <v>1446258</v>
      </c>
      <c r="E149" s="97">
        <f t="shared" si="20"/>
        <v>1041546</v>
      </c>
      <c r="F149" s="98">
        <f t="shared" si="21"/>
        <v>2.5735485975212002</v>
      </c>
    </row>
    <row r="150" spans="1:6" ht="18" customHeight="1" x14ac:dyDescent="0.25">
      <c r="A150" s="99">
        <v>9</v>
      </c>
      <c r="B150" s="100" t="s">
        <v>120</v>
      </c>
      <c r="C150" s="97">
        <v>1299230</v>
      </c>
      <c r="D150" s="97">
        <v>393062</v>
      </c>
      <c r="E150" s="97">
        <f t="shared" si="20"/>
        <v>-906168</v>
      </c>
      <c r="F150" s="98">
        <f t="shared" si="21"/>
        <v>-0.69746542182677429</v>
      </c>
    </row>
    <row r="151" spans="1:6" ht="18" customHeight="1" x14ac:dyDescent="0.25">
      <c r="A151" s="99">
        <v>10</v>
      </c>
      <c r="B151" s="100" t="s">
        <v>121</v>
      </c>
      <c r="C151" s="97">
        <v>170053</v>
      </c>
      <c r="D151" s="97">
        <v>0</v>
      </c>
      <c r="E151" s="97">
        <f t="shared" si="20"/>
        <v>-170053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1057826</v>
      </c>
      <c r="D152" s="97">
        <v>1188028</v>
      </c>
      <c r="E152" s="97">
        <f t="shared" si="20"/>
        <v>130202</v>
      </c>
      <c r="F152" s="98">
        <f t="shared" si="21"/>
        <v>0.12308451484459637</v>
      </c>
    </row>
    <row r="153" spans="1:6" ht="33.75" customHeight="1" x14ac:dyDescent="0.25">
      <c r="A153" s="101"/>
      <c r="B153" s="102" t="s">
        <v>147</v>
      </c>
      <c r="C153" s="103">
        <f>SUM(C142:C152)</f>
        <v>14052140</v>
      </c>
      <c r="D153" s="103">
        <f>SUM(D142:D152)</f>
        <v>15290896</v>
      </c>
      <c r="E153" s="103">
        <f t="shared" si="20"/>
        <v>1238756</v>
      </c>
      <c r="F153" s="104">
        <f t="shared" si="21"/>
        <v>8.8154259778225955E-2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751574</v>
      </c>
      <c r="D155" s="97">
        <v>757303</v>
      </c>
      <c r="E155" s="97">
        <f t="shared" ref="E155:E166" si="22">D155-C155</f>
        <v>5729</v>
      </c>
      <c r="F155" s="98">
        <f t="shared" ref="F155:F166" si="23">IF(C155=0,0,E155/C155)</f>
        <v>7.6226692248534409E-3</v>
      </c>
    </row>
    <row r="156" spans="1:6" ht="18" customHeight="1" x14ac:dyDescent="0.25">
      <c r="A156" s="99">
        <v>2</v>
      </c>
      <c r="B156" s="100" t="s">
        <v>113</v>
      </c>
      <c r="C156" s="97">
        <v>22259</v>
      </c>
      <c r="D156" s="97">
        <v>25440</v>
      </c>
      <c r="E156" s="97">
        <f t="shared" si="22"/>
        <v>3181</v>
      </c>
      <c r="F156" s="98">
        <f t="shared" si="23"/>
        <v>0.14290848645491711</v>
      </c>
    </row>
    <row r="157" spans="1:6" ht="18" customHeight="1" x14ac:dyDescent="0.25">
      <c r="A157" s="99">
        <v>3</v>
      </c>
      <c r="B157" s="100" t="s">
        <v>114</v>
      </c>
      <c r="C157" s="97">
        <v>13668</v>
      </c>
      <c r="D157" s="97">
        <v>81898</v>
      </c>
      <c r="E157" s="97">
        <f t="shared" si="22"/>
        <v>68230</v>
      </c>
      <c r="F157" s="98">
        <f t="shared" si="23"/>
        <v>4.9919520046824699</v>
      </c>
    </row>
    <row r="158" spans="1:6" ht="18" customHeight="1" x14ac:dyDescent="0.25">
      <c r="A158" s="99">
        <v>4</v>
      </c>
      <c r="B158" s="100" t="s">
        <v>115</v>
      </c>
      <c r="C158" s="97">
        <v>100159</v>
      </c>
      <c r="D158" s="97">
        <v>71628</v>
      </c>
      <c r="E158" s="97">
        <f t="shared" si="22"/>
        <v>-28531</v>
      </c>
      <c r="F158" s="98">
        <f t="shared" si="23"/>
        <v>-0.28485707724717702</v>
      </c>
    </row>
    <row r="159" spans="1:6" ht="18" customHeight="1" x14ac:dyDescent="0.25">
      <c r="A159" s="99">
        <v>5</v>
      </c>
      <c r="B159" s="100" t="s">
        <v>116</v>
      </c>
      <c r="C159" s="97">
        <v>10827</v>
      </c>
      <c r="D159" s="97">
        <v>12469</v>
      </c>
      <c r="E159" s="97">
        <f t="shared" si="22"/>
        <v>1642</v>
      </c>
      <c r="F159" s="98">
        <f t="shared" si="23"/>
        <v>0.15165789230627136</v>
      </c>
    </row>
    <row r="160" spans="1:6" ht="18" customHeight="1" x14ac:dyDescent="0.25">
      <c r="A160" s="99">
        <v>6</v>
      </c>
      <c r="B160" s="100" t="s">
        <v>117</v>
      </c>
      <c r="C160" s="97">
        <v>168671</v>
      </c>
      <c r="D160" s="97">
        <v>74006</v>
      </c>
      <c r="E160" s="97">
        <f t="shared" si="22"/>
        <v>-94665</v>
      </c>
      <c r="F160" s="98">
        <f t="shared" si="23"/>
        <v>-0.56124052148857839</v>
      </c>
    </row>
    <row r="161" spans="1:6" ht="18" customHeight="1" x14ac:dyDescent="0.25">
      <c r="A161" s="99">
        <v>7</v>
      </c>
      <c r="B161" s="100" t="s">
        <v>118</v>
      </c>
      <c r="C161" s="97">
        <v>2133967</v>
      </c>
      <c r="D161" s="97">
        <v>1871660</v>
      </c>
      <c r="E161" s="97">
        <f t="shared" si="22"/>
        <v>-262307</v>
      </c>
      <c r="F161" s="98">
        <f t="shared" si="23"/>
        <v>-0.12291989519987891</v>
      </c>
    </row>
    <row r="162" spans="1:6" ht="18" customHeight="1" x14ac:dyDescent="0.25">
      <c r="A162" s="99">
        <v>8</v>
      </c>
      <c r="B162" s="100" t="s">
        <v>119</v>
      </c>
      <c r="C162" s="97">
        <v>42118</v>
      </c>
      <c r="D162" s="97">
        <v>58601</v>
      </c>
      <c r="E162" s="97">
        <f t="shared" si="22"/>
        <v>16483</v>
      </c>
      <c r="F162" s="98">
        <f t="shared" si="23"/>
        <v>0.39135286575810818</v>
      </c>
    </row>
    <row r="163" spans="1:6" ht="18" customHeight="1" x14ac:dyDescent="0.25">
      <c r="A163" s="99">
        <v>9</v>
      </c>
      <c r="B163" s="100" t="s">
        <v>120</v>
      </c>
      <c r="C163" s="97">
        <v>511674</v>
      </c>
      <c r="D163" s="97">
        <v>15763</v>
      </c>
      <c r="E163" s="97">
        <f t="shared" si="22"/>
        <v>-495911</v>
      </c>
      <c r="F163" s="98">
        <f t="shared" si="23"/>
        <v>-0.96919327540582478</v>
      </c>
    </row>
    <row r="164" spans="1:6" ht="18" customHeight="1" x14ac:dyDescent="0.25">
      <c r="A164" s="99">
        <v>10</v>
      </c>
      <c r="B164" s="100" t="s">
        <v>121</v>
      </c>
      <c r="C164" s="97">
        <v>27372</v>
      </c>
      <c r="D164" s="97">
        <v>0</v>
      </c>
      <c r="E164" s="97">
        <f t="shared" si="22"/>
        <v>-27372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126930</v>
      </c>
      <c r="D165" s="97">
        <v>103127</v>
      </c>
      <c r="E165" s="97">
        <f t="shared" si="22"/>
        <v>-23803</v>
      </c>
      <c r="F165" s="98">
        <f t="shared" si="23"/>
        <v>-0.18752855904829432</v>
      </c>
    </row>
    <row r="166" spans="1:6" ht="33.75" customHeight="1" x14ac:dyDescent="0.25">
      <c r="A166" s="101"/>
      <c r="B166" s="102" t="s">
        <v>149</v>
      </c>
      <c r="C166" s="103">
        <f>SUM(C155:C165)</f>
        <v>3909219</v>
      </c>
      <c r="D166" s="103">
        <f>SUM(D155:D165)</f>
        <v>3071895</v>
      </c>
      <c r="E166" s="103">
        <f t="shared" si="22"/>
        <v>-837324</v>
      </c>
      <c r="F166" s="104">
        <f t="shared" si="23"/>
        <v>-0.21419214426206359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2883</v>
      </c>
      <c r="D168" s="117">
        <v>3296</v>
      </c>
      <c r="E168" s="117">
        <f t="shared" ref="E168:E179" si="24">D168-C168</f>
        <v>413</v>
      </c>
      <c r="F168" s="98">
        <f t="shared" ref="F168:F179" si="25">IF(C168=0,0,E168/C168)</f>
        <v>0.14325355532431494</v>
      </c>
    </row>
    <row r="169" spans="1:6" ht="18" customHeight="1" x14ac:dyDescent="0.25">
      <c r="A169" s="99">
        <v>2</v>
      </c>
      <c r="B169" s="100" t="s">
        <v>113</v>
      </c>
      <c r="C169" s="117">
        <v>88</v>
      </c>
      <c r="D169" s="117">
        <v>133</v>
      </c>
      <c r="E169" s="117">
        <f t="shared" si="24"/>
        <v>45</v>
      </c>
      <c r="F169" s="98">
        <f t="shared" si="25"/>
        <v>0.51136363636363635</v>
      </c>
    </row>
    <row r="170" spans="1:6" ht="18" customHeight="1" x14ac:dyDescent="0.25">
      <c r="A170" s="99">
        <v>3</v>
      </c>
      <c r="B170" s="100" t="s">
        <v>114</v>
      </c>
      <c r="C170" s="117">
        <v>113</v>
      </c>
      <c r="D170" s="117">
        <v>306</v>
      </c>
      <c r="E170" s="117">
        <f t="shared" si="24"/>
        <v>193</v>
      </c>
      <c r="F170" s="98">
        <f t="shared" si="25"/>
        <v>1.7079646017699115</v>
      </c>
    </row>
    <row r="171" spans="1:6" ht="18" customHeight="1" x14ac:dyDescent="0.25">
      <c r="A171" s="99">
        <v>4</v>
      </c>
      <c r="B171" s="100" t="s">
        <v>115</v>
      </c>
      <c r="C171" s="117">
        <v>939</v>
      </c>
      <c r="D171" s="117">
        <v>1258</v>
      </c>
      <c r="E171" s="117">
        <f t="shared" si="24"/>
        <v>319</v>
      </c>
      <c r="F171" s="98">
        <f t="shared" si="25"/>
        <v>0.33972310969116082</v>
      </c>
    </row>
    <row r="172" spans="1:6" ht="18" customHeight="1" x14ac:dyDescent="0.25">
      <c r="A172" s="99">
        <v>5</v>
      </c>
      <c r="B172" s="100" t="s">
        <v>116</v>
      </c>
      <c r="C172" s="117">
        <v>45</v>
      </c>
      <c r="D172" s="117">
        <v>60</v>
      </c>
      <c r="E172" s="117">
        <f t="shared" si="24"/>
        <v>15</v>
      </c>
      <c r="F172" s="98">
        <f t="shared" si="25"/>
        <v>0.33333333333333331</v>
      </c>
    </row>
    <row r="173" spans="1:6" ht="18" customHeight="1" x14ac:dyDescent="0.25">
      <c r="A173" s="99">
        <v>6</v>
      </c>
      <c r="B173" s="100" t="s">
        <v>117</v>
      </c>
      <c r="C173" s="117">
        <v>660</v>
      </c>
      <c r="D173" s="117">
        <v>731</v>
      </c>
      <c r="E173" s="117">
        <f t="shared" si="24"/>
        <v>71</v>
      </c>
      <c r="F173" s="98">
        <f t="shared" si="25"/>
        <v>0.10757575757575757</v>
      </c>
    </row>
    <row r="174" spans="1:6" ht="18" customHeight="1" x14ac:dyDescent="0.25">
      <c r="A174" s="99">
        <v>7</v>
      </c>
      <c r="B174" s="100" t="s">
        <v>118</v>
      </c>
      <c r="C174" s="117">
        <v>5869</v>
      </c>
      <c r="D174" s="117">
        <v>6736</v>
      </c>
      <c r="E174" s="117">
        <f t="shared" si="24"/>
        <v>867</v>
      </c>
      <c r="F174" s="98">
        <f t="shared" si="25"/>
        <v>0.14772533651388653</v>
      </c>
    </row>
    <row r="175" spans="1:6" ht="18" customHeight="1" x14ac:dyDescent="0.25">
      <c r="A175" s="99">
        <v>8</v>
      </c>
      <c r="B175" s="100" t="s">
        <v>119</v>
      </c>
      <c r="C175" s="117">
        <v>552</v>
      </c>
      <c r="D175" s="117">
        <v>575</v>
      </c>
      <c r="E175" s="117">
        <f t="shared" si="24"/>
        <v>23</v>
      </c>
      <c r="F175" s="98">
        <f t="shared" si="25"/>
        <v>4.1666666666666664E-2</v>
      </c>
    </row>
    <row r="176" spans="1:6" ht="18" customHeight="1" x14ac:dyDescent="0.25">
      <c r="A176" s="99">
        <v>9</v>
      </c>
      <c r="B176" s="100" t="s">
        <v>120</v>
      </c>
      <c r="C176" s="117">
        <v>1386</v>
      </c>
      <c r="D176" s="117">
        <v>1607</v>
      </c>
      <c r="E176" s="117">
        <f t="shared" si="24"/>
        <v>221</v>
      </c>
      <c r="F176" s="98">
        <f t="shared" si="25"/>
        <v>0.15945165945165946</v>
      </c>
    </row>
    <row r="177" spans="1:6" ht="18" customHeight="1" x14ac:dyDescent="0.25">
      <c r="A177" s="99">
        <v>10</v>
      </c>
      <c r="B177" s="100" t="s">
        <v>121</v>
      </c>
      <c r="C177" s="117">
        <v>117</v>
      </c>
      <c r="D177" s="117">
        <v>0</v>
      </c>
      <c r="E177" s="117">
        <f t="shared" si="24"/>
        <v>-117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1016</v>
      </c>
      <c r="D178" s="117">
        <v>1236</v>
      </c>
      <c r="E178" s="117">
        <f t="shared" si="24"/>
        <v>220</v>
      </c>
      <c r="F178" s="98">
        <f t="shared" si="25"/>
        <v>0.21653543307086615</v>
      </c>
    </row>
    <row r="179" spans="1:6" ht="33.75" customHeight="1" x14ac:dyDescent="0.25">
      <c r="A179" s="101"/>
      <c r="B179" s="102" t="s">
        <v>151</v>
      </c>
      <c r="C179" s="118">
        <f>SUM(C168:C178)</f>
        <v>13668</v>
      </c>
      <c r="D179" s="118">
        <f>SUM(D168:D178)</f>
        <v>15938</v>
      </c>
      <c r="E179" s="118">
        <f t="shared" si="24"/>
        <v>2270</v>
      </c>
      <c r="F179" s="104">
        <f t="shared" si="25"/>
        <v>0.16608135791630085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FILING&amp;RESSENT-SHARON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6653099</v>
      </c>
      <c r="D15" s="146">
        <v>7087485</v>
      </c>
      <c r="E15" s="146">
        <f>+D15-C15</f>
        <v>434386</v>
      </c>
      <c r="F15" s="150">
        <f>IF(C15=0,0,E15/C15)</f>
        <v>6.5290776523842492E-2</v>
      </c>
    </row>
    <row r="16" spans="1:7" ht="15" customHeight="1" x14ac:dyDescent="0.2">
      <c r="A16" s="141">
        <v>2</v>
      </c>
      <c r="B16" s="149" t="s">
        <v>158</v>
      </c>
      <c r="C16" s="146">
        <v>0</v>
      </c>
      <c r="D16" s="146">
        <v>0</v>
      </c>
      <c r="E16" s="146">
        <f>+D16-C16</f>
        <v>0</v>
      </c>
      <c r="F16" s="150">
        <f>IF(C16=0,0,E16/C16)</f>
        <v>0</v>
      </c>
    </row>
    <row r="17" spans="1:7" ht="15" customHeight="1" x14ac:dyDescent="0.2">
      <c r="A17" s="141">
        <v>3</v>
      </c>
      <c r="B17" s="149" t="s">
        <v>159</v>
      </c>
      <c r="C17" s="146">
        <v>8799573</v>
      </c>
      <c r="D17" s="146">
        <v>9259124</v>
      </c>
      <c r="E17" s="146">
        <f>+D17-C17</f>
        <v>459551</v>
      </c>
      <c r="F17" s="150">
        <f>IF(C17=0,0,E17/C17)</f>
        <v>5.2224238607941544E-2</v>
      </c>
    </row>
    <row r="18" spans="1:7" ht="15.75" customHeight="1" x14ac:dyDescent="0.25">
      <c r="A18" s="141"/>
      <c r="B18" s="151" t="s">
        <v>160</v>
      </c>
      <c r="C18" s="147">
        <f>SUM(C15:C17)</f>
        <v>15452672</v>
      </c>
      <c r="D18" s="147">
        <f>SUM(D15:D17)</f>
        <v>16346609</v>
      </c>
      <c r="E18" s="147">
        <f>+D18-C18</f>
        <v>893937</v>
      </c>
      <c r="F18" s="148">
        <f>IF(C18=0,0,E18/C18)</f>
        <v>5.7849995133527718E-2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1690804</v>
      </c>
      <c r="D21" s="146">
        <v>1809542</v>
      </c>
      <c r="E21" s="146">
        <f>+D21-C21</f>
        <v>118738</v>
      </c>
      <c r="F21" s="150">
        <f>IF(C21=0,0,E21/C21)</f>
        <v>7.0225762418352447E-2</v>
      </c>
    </row>
    <row r="22" spans="1:7" ht="15" customHeight="1" x14ac:dyDescent="0.2">
      <c r="A22" s="141">
        <v>2</v>
      </c>
      <c r="B22" s="149" t="s">
        <v>163</v>
      </c>
      <c r="C22" s="146">
        <v>0</v>
      </c>
      <c r="D22" s="146">
        <v>0</v>
      </c>
      <c r="E22" s="146">
        <f>+D22-C22</f>
        <v>0</v>
      </c>
      <c r="F22" s="150">
        <f>IF(C22=0,0,E22/C22)</f>
        <v>0</v>
      </c>
    </row>
    <row r="23" spans="1:7" ht="15" customHeight="1" x14ac:dyDescent="0.2">
      <c r="A23" s="141">
        <v>3</v>
      </c>
      <c r="B23" s="149" t="s">
        <v>164</v>
      </c>
      <c r="C23" s="146">
        <v>2271298</v>
      </c>
      <c r="D23" s="146">
        <v>2328842</v>
      </c>
      <c r="E23" s="146">
        <f>+D23-C23</f>
        <v>57544</v>
      </c>
      <c r="F23" s="150">
        <f>IF(C23=0,0,E23/C23)</f>
        <v>2.5335292858973152E-2</v>
      </c>
    </row>
    <row r="24" spans="1:7" ht="15.75" customHeight="1" x14ac:dyDescent="0.25">
      <c r="A24" s="141"/>
      <c r="B24" s="151" t="s">
        <v>165</v>
      </c>
      <c r="C24" s="147">
        <f>SUM(C21:C23)</f>
        <v>3962102</v>
      </c>
      <c r="D24" s="147">
        <f>SUM(D21:D23)</f>
        <v>4138384</v>
      </c>
      <c r="E24" s="147">
        <f>+D24-C24</f>
        <v>176282</v>
      </c>
      <c r="F24" s="148">
        <f>IF(C24=0,0,E24/C24)</f>
        <v>4.4492039831382432E-2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1201</v>
      </c>
      <c r="D27" s="146">
        <v>263576</v>
      </c>
      <c r="E27" s="146">
        <f>+D27-C27</f>
        <v>262375</v>
      </c>
      <c r="F27" s="150">
        <f>IF(C27=0,0,E27/C27)</f>
        <v>218.46378018318069</v>
      </c>
    </row>
    <row r="28" spans="1:7" ht="15" customHeight="1" x14ac:dyDescent="0.2">
      <c r="A28" s="141">
        <v>2</v>
      </c>
      <c r="B28" s="149" t="s">
        <v>168</v>
      </c>
      <c r="C28" s="146">
        <v>1215173</v>
      </c>
      <c r="D28" s="146">
        <v>1224572</v>
      </c>
      <c r="E28" s="146">
        <f>+D28-C28</f>
        <v>9399</v>
      </c>
      <c r="F28" s="150">
        <f>IF(C28=0,0,E28/C28)</f>
        <v>7.7347011495482532E-3</v>
      </c>
    </row>
    <row r="29" spans="1:7" ht="15" customHeight="1" x14ac:dyDescent="0.2">
      <c r="A29" s="141">
        <v>3</v>
      </c>
      <c r="B29" s="149" t="s">
        <v>169</v>
      </c>
      <c r="C29" s="146">
        <v>45894</v>
      </c>
      <c r="D29" s="146">
        <v>129561</v>
      </c>
      <c r="E29" s="146">
        <f>+D29-C29</f>
        <v>83667</v>
      </c>
      <c r="F29" s="150">
        <f>IF(C29=0,0,E29/C29)</f>
        <v>1.8230487645443849</v>
      </c>
    </row>
    <row r="30" spans="1:7" ht="15.75" customHeight="1" x14ac:dyDescent="0.25">
      <c r="A30" s="141"/>
      <c r="B30" s="151" t="s">
        <v>170</v>
      </c>
      <c r="C30" s="147">
        <f>SUM(C27:C29)</f>
        <v>1262268</v>
      </c>
      <c r="D30" s="147">
        <f>SUM(D27:D29)</f>
        <v>1617709</v>
      </c>
      <c r="E30" s="147">
        <f>+D30-C30</f>
        <v>355441</v>
      </c>
      <c r="F30" s="148">
        <f>IF(C30=0,0,E30/C30)</f>
        <v>0.28158917123780369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4439899</v>
      </c>
      <c r="D33" s="146">
        <v>4433136</v>
      </c>
      <c r="E33" s="146">
        <f>+D33-C33</f>
        <v>-6763</v>
      </c>
      <c r="F33" s="150">
        <f>IF(C33=0,0,E33/C33)</f>
        <v>-1.5232328483147928E-3</v>
      </c>
    </row>
    <row r="34" spans="1:7" ht="15" customHeight="1" x14ac:dyDescent="0.2">
      <c r="A34" s="141">
        <v>2</v>
      </c>
      <c r="B34" s="149" t="s">
        <v>174</v>
      </c>
      <c r="C34" s="146">
        <v>1249825</v>
      </c>
      <c r="D34" s="146">
        <v>1430955</v>
      </c>
      <c r="E34" s="146">
        <f>+D34-C34</f>
        <v>181130</v>
      </c>
      <c r="F34" s="150">
        <f>IF(C34=0,0,E34/C34)</f>
        <v>0.14492428940051608</v>
      </c>
    </row>
    <row r="35" spans="1:7" ht="15.75" customHeight="1" x14ac:dyDescent="0.25">
      <c r="A35" s="141"/>
      <c r="B35" s="151" t="s">
        <v>175</v>
      </c>
      <c r="C35" s="147">
        <f>SUM(C33:C34)</f>
        <v>5689724</v>
      </c>
      <c r="D35" s="147">
        <f>SUM(D33:D34)</f>
        <v>5864091</v>
      </c>
      <c r="E35" s="147">
        <f>+D35-C35</f>
        <v>174367</v>
      </c>
      <c r="F35" s="148">
        <f>IF(C35=0,0,E35/C35)</f>
        <v>3.0645950488986811E-2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1579981</v>
      </c>
      <c r="D38" s="146">
        <v>1631734</v>
      </c>
      <c r="E38" s="146">
        <f>+D38-C38</f>
        <v>51753</v>
      </c>
      <c r="F38" s="150">
        <f>IF(C38=0,0,E38/C38)</f>
        <v>3.2755457185877551E-2</v>
      </c>
    </row>
    <row r="39" spans="1:7" ht="15" customHeight="1" x14ac:dyDescent="0.2">
      <c r="A39" s="141">
        <v>2</v>
      </c>
      <c r="B39" s="149" t="s">
        <v>179</v>
      </c>
      <c r="C39" s="146">
        <v>1567837</v>
      </c>
      <c r="D39" s="146">
        <v>1490655</v>
      </c>
      <c r="E39" s="146">
        <f>+D39-C39</f>
        <v>-77182</v>
      </c>
      <c r="F39" s="150">
        <f>IF(C39=0,0,E39/C39)</f>
        <v>-4.9228331771733927E-2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3147818</v>
      </c>
      <c r="D41" s="147">
        <f>SUM(D38:D40)</f>
        <v>3122389</v>
      </c>
      <c r="E41" s="147">
        <f>+D41-C41</f>
        <v>-25429</v>
      </c>
      <c r="F41" s="148">
        <f>IF(C41=0,0,E41/C41)</f>
        <v>-8.0782942342918166E-3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1748130</v>
      </c>
      <c r="D44" s="146">
        <v>3537229</v>
      </c>
      <c r="E44" s="146">
        <f>+D44-C44</f>
        <v>1789099</v>
      </c>
      <c r="F44" s="150">
        <f>IF(C44=0,0,E44/C44)</f>
        <v>1.0234359000760813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1629083</v>
      </c>
      <c r="D47" s="146">
        <v>1664350</v>
      </c>
      <c r="E47" s="146">
        <f>+D47-C47</f>
        <v>35267</v>
      </c>
      <c r="F47" s="150">
        <f>IF(C47=0,0,E47/C47)</f>
        <v>2.1648375190214373E-2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1150400</v>
      </c>
      <c r="D50" s="146">
        <v>1184253</v>
      </c>
      <c r="E50" s="146">
        <f>+D50-C50</f>
        <v>33853</v>
      </c>
      <c r="F50" s="150">
        <f>IF(C50=0,0,E50/C50)</f>
        <v>2.9427155771905425E-2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108371</v>
      </c>
      <c r="D53" s="146">
        <v>121145</v>
      </c>
      <c r="E53" s="146">
        <f t="shared" ref="E53:E59" si="0">+D53-C53</f>
        <v>12774</v>
      </c>
      <c r="F53" s="150">
        <f t="shared" ref="F53:F59" si="1">IF(C53=0,0,E53/C53)</f>
        <v>0.11787286266621144</v>
      </c>
    </row>
    <row r="54" spans="1:7" ht="15" customHeight="1" x14ac:dyDescent="0.2">
      <c r="A54" s="141">
        <v>2</v>
      </c>
      <c r="B54" s="149" t="s">
        <v>193</v>
      </c>
      <c r="C54" s="146">
        <v>22284</v>
      </c>
      <c r="D54" s="146">
        <v>20478</v>
      </c>
      <c r="E54" s="146">
        <f t="shared" si="0"/>
        <v>-1806</v>
      </c>
      <c r="F54" s="150">
        <f t="shared" si="1"/>
        <v>-8.1044695745826609E-2</v>
      </c>
    </row>
    <row r="55" spans="1:7" ht="15" customHeight="1" x14ac:dyDescent="0.2">
      <c r="A55" s="141">
        <v>3</v>
      </c>
      <c r="B55" s="149" t="s">
        <v>194</v>
      </c>
      <c r="C55" s="146">
        <v>470319</v>
      </c>
      <c r="D55" s="146">
        <v>541914</v>
      </c>
      <c r="E55" s="146">
        <f t="shared" si="0"/>
        <v>71595</v>
      </c>
      <c r="F55" s="150">
        <f t="shared" si="1"/>
        <v>0.15222646756775721</v>
      </c>
    </row>
    <row r="56" spans="1:7" ht="15" customHeight="1" x14ac:dyDescent="0.2">
      <c r="A56" s="141">
        <v>4</v>
      </c>
      <c r="B56" s="149" t="s">
        <v>195</v>
      </c>
      <c r="C56" s="146">
        <v>736559</v>
      </c>
      <c r="D56" s="146">
        <v>727231</v>
      </c>
      <c r="E56" s="146">
        <f t="shared" si="0"/>
        <v>-9328</v>
      </c>
      <c r="F56" s="150">
        <f t="shared" si="1"/>
        <v>-1.2664294374245648E-2</v>
      </c>
    </row>
    <row r="57" spans="1:7" ht="15" customHeight="1" x14ac:dyDescent="0.2">
      <c r="A57" s="141">
        <v>5</v>
      </c>
      <c r="B57" s="149" t="s">
        <v>196</v>
      </c>
      <c r="C57" s="146">
        <v>75358</v>
      </c>
      <c r="D57" s="146">
        <v>94185</v>
      </c>
      <c r="E57" s="146">
        <f t="shared" si="0"/>
        <v>18827</v>
      </c>
      <c r="F57" s="150">
        <f t="shared" si="1"/>
        <v>0.24983412510947742</v>
      </c>
    </row>
    <row r="58" spans="1:7" ht="15" customHeight="1" x14ac:dyDescent="0.2">
      <c r="A58" s="141">
        <v>6</v>
      </c>
      <c r="B58" s="149" t="s">
        <v>197</v>
      </c>
      <c r="C58" s="146">
        <v>46881</v>
      </c>
      <c r="D58" s="146">
        <v>53179</v>
      </c>
      <c r="E58" s="146">
        <f t="shared" si="0"/>
        <v>6298</v>
      </c>
      <c r="F58" s="150">
        <f t="shared" si="1"/>
        <v>0.13434013779569548</v>
      </c>
    </row>
    <row r="59" spans="1:7" ht="15.75" customHeight="1" x14ac:dyDescent="0.25">
      <c r="A59" s="141"/>
      <c r="B59" s="151" t="s">
        <v>198</v>
      </c>
      <c r="C59" s="147">
        <f>SUM(C53:C58)</f>
        <v>1459772</v>
      </c>
      <c r="D59" s="147">
        <f>SUM(D53:D58)</f>
        <v>1558132</v>
      </c>
      <c r="E59" s="147">
        <f t="shared" si="0"/>
        <v>98360</v>
      </c>
      <c r="F59" s="148">
        <f t="shared" si="1"/>
        <v>6.7380385430053466E-2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76800</v>
      </c>
      <c r="D62" s="146">
        <v>76800</v>
      </c>
      <c r="E62" s="146">
        <f t="shared" ref="E62:E78" si="2">+D62-C62</f>
        <v>0</v>
      </c>
      <c r="F62" s="150">
        <f t="shared" ref="F62:F78" si="3">IF(C62=0,0,E62/C62)</f>
        <v>0</v>
      </c>
    </row>
    <row r="63" spans="1:7" ht="15" customHeight="1" x14ac:dyDescent="0.2">
      <c r="A63" s="141">
        <v>2</v>
      </c>
      <c r="B63" s="149" t="s">
        <v>202</v>
      </c>
      <c r="C63" s="146">
        <v>68597</v>
      </c>
      <c r="D63" s="146">
        <v>61169</v>
      </c>
      <c r="E63" s="146">
        <f t="shared" si="2"/>
        <v>-7428</v>
      </c>
      <c r="F63" s="150">
        <f t="shared" si="3"/>
        <v>-0.10828461886088313</v>
      </c>
    </row>
    <row r="64" spans="1:7" ht="15" customHeight="1" x14ac:dyDescent="0.2">
      <c r="A64" s="141">
        <v>3</v>
      </c>
      <c r="B64" s="149" t="s">
        <v>203</v>
      </c>
      <c r="C64" s="146">
        <v>168857</v>
      </c>
      <c r="D64" s="146">
        <v>153209</v>
      </c>
      <c r="E64" s="146">
        <f t="shared" si="2"/>
        <v>-15648</v>
      </c>
      <c r="F64" s="150">
        <f t="shared" si="3"/>
        <v>-9.2670129162545828E-2</v>
      </c>
    </row>
    <row r="65" spans="1:7" ht="15" customHeight="1" x14ac:dyDescent="0.2">
      <c r="A65" s="141">
        <v>4</v>
      </c>
      <c r="B65" s="149" t="s">
        <v>204</v>
      </c>
      <c r="C65" s="146">
        <v>0</v>
      </c>
      <c r="D65" s="146">
        <v>0</v>
      </c>
      <c r="E65" s="146">
        <f t="shared" si="2"/>
        <v>0</v>
      </c>
      <c r="F65" s="150">
        <f t="shared" si="3"/>
        <v>0</v>
      </c>
    </row>
    <row r="66" spans="1:7" ht="15" customHeight="1" x14ac:dyDescent="0.2">
      <c r="A66" s="141">
        <v>5</v>
      </c>
      <c r="B66" s="149" t="s">
        <v>205</v>
      </c>
      <c r="C66" s="146">
        <v>258482</v>
      </c>
      <c r="D66" s="146">
        <v>290559</v>
      </c>
      <c r="E66" s="146">
        <f t="shared" si="2"/>
        <v>32077</v>
      </c>
      <c r="F66" s="150">
        <f t="shared" si="3"/>
        <v>0.12409761608158401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1789174</v>
      </c>
      <c r="D68" s="146">
        <v>1795840</v>
      </c>
      <c r="E68" s="146">
        <f t="shared" si="2"/>
        <v>6666</v>
      </c>
      <c r="F68" s="150">
        <f t="shared" si="3"/>
        <v>3.7257415991960537E-3</v>
      </c>
    </row>
    <row r="69" spans="1:7" ht="15" customHeight="1" x14ac:dyDescent="0.2">
      <c r="A69" s="141">
        <v>8</v>
      </c>
      <c r="B69" s="149" t="s">
        <v>208</v>
      </c>
      <c r="C69" s="146">
        <v>273754</v>
      </c>
      <c r="D69" s="146">
        <v>150173</v>
      </c>
      <c r="E69" s="146">
        <f t="shared" si="2"/>
        <v>-123581</v>
      </c>
      <c r="F69" s="150">
        <f t="shared" si="3"/>
        <v>-0.45143084667256006</v>
      </c>
    </row>
    <row r="70" spans="1:7" ht="15" customHeight="1" x14ac:dyDescent="0.2">
      <c r="A70" s="141">
        <v>9</v>
      </c>
      <c r="B70" s="149" t="s">
        <v>209</v>
      </c>
      <c r="C70" s="146">
        <v>38630</v>
      </c>
      <c r="D70" s="146">
        <v>49568</v>
      </c>
      <c r="E70" s="146">
        <f t="shared" si="2"/>
        <v>10938</v>
      </c>
      <c r="F70" s="150">
        <f t="shared" si="3"/>
        <v>0.28314781258089566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279580</v>
      </c>
      <c r="D72" s="146">
        <v>290332</v>
      </c>
      <c r="E72" s="146">
        <f t="shared" si="2"/>
        <v>10752</v>
      </c>
      <c r="F72" s="150">
        <f t="shared" si="3"/>
        <v>3.8457686529794692E-2</v>
      </c>
    </row>
    <row r="73" spans="1:7" ht="15" customHeight="1" x14ac:dyDescent="0.2">
      <c r="A73" s="141">
        <v>12</v>
      </c>
      <c r="B73" s="149" t="s">
        <v>212</v>
      </c>
      <c r="C73" s="146">
        <v>281572</v>
      </c>
      <c r="D73" s="146">
        <v>287687</v>
      </c>
      <c r="E73" s="146">
        <f t="shared" si="2"/>
        <v>6115</v>
      </c>
      <c r="F73" s="150">
        <f t="shared" si="3"/>
        <v>2.1717358260054265E-2</v>
      </c>
    </row>
    <row r="74" spans="1:7" ht="15" customHeight="1" x14ac:dyDescent="0.2">
      <c r="A74" s="141">
        <v>13</v>
      </c>
      <c r="B74" s="149" t="s">
        <v>213</v>
      </c>
      <c r="C74" s="146">
        <v>62418</v>
      </c>
      <c r="D74" s="146">
        <v>70958</v>
      </c>
      <c r="E74" s="146">
        <f t="shared" si="2"/>
        <v>8540</v>
      </c>
      <c r="F74" s="150">
        <f t="shared" si="3"/>
        <v>0.1368195071934378</v>
      </c>
    </row>
    <row r="75" spans="1:7" ht="15" customHeight="1" x14ac:dyDescent="0.2">
      <c r="A75" s="141">
        <v>14</v>
      </c>
      <c r="B75" s="149" t="s">
        <v>214</v>
      </c>
      <c r="C75" s="146">
        <v>43135</v>
      </c>
      <c r="D75" s="146">
        <v>38696</v>
      </c>
      <c r="E75" s="146">
        <f t="shared" si="2"/>
        <v>-4439</v>
      </c>
      <c r="F75" s="150">
        <f t="shared" si="3"/>
        <v>-0.10290947026776399</v>
      </c>
    </row>
    <row r="76" spans="1:7" ht="15" customHeight="1" x14ac:dyDescent="0.2">
      <c r="A76" s="141">
        <v>15</v>
      </c>
      <c r="B76" s="149" t="s">
        <v>215</v>
      </c>
      <c r="C76" s="146">
        <v>503754</v>
      </c>
      <c r="D76" s="146">
        <v>454915</v>
      </c>
      <c r="E76" s="146">
        <f t="shared" si="2"/>
        <v>-48839</v>
      </c>
      <c r="F76" s="150">
        <f t="shared" si="3"/>
        <v>-9.6950098659266223E-2</v>
      </c>
    </row>
    <row r="77" spans="1:7" ht="15" customHeight="1" x14ac:dyDescent="0.2">
      <c r="A77" s="141">
        <v>16</v>
      </c>
      <c r="B77" s="149" t="s">
        <v>216</v>
      </c>
      <c r="C77" s="146">
        <v>8761876</v>
      </c>
      <c r="D77" s="146">
        <v>10308797</v>
      </c>
      <c r="E77" s="146">
        <f t="shared" si="2"/>
        <v>1546921</v>
      </c>
      <c r="F77" s="150">
        <f t="shared" si="3"/>
        <v>0.17655134585333096</v>
      </c>
    </row>
    <row r="78" spans="1:7" ht="15.75" customHeight="1" x14ac:dyDescent="0.25">
      <c r="A78" s="141"/>
      <c r="B78" s="151" t="s">
        <v>217</v>
      </c>
      <c r="C78" s="147">
        <f>SUM(C62:C77)</f>
        <v>12606629</v>
      </c>
      <c r="D78" s="147">
        <f>SUM(D62:D77)</f>
        <v>14028703</v>
      </c>
      <c r="E78" s="147">
        <f t="shared" si="2"/>
        <v>1422074</v>
      </c>
      <c r="F78" s="148">
        <f t="shared" si="3"/>
        <v>0.11280366860958628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48108598</v>
      </c>
      <c r="D83" s="147">
        <f>+D81+D78+D59+D50+D47+D44+D41+D35+D30+D24+D18</f>
        <v>53061849</v>
      </c>
      <c r="E83" s="147">
        <f>+D83-C83</f>
        <v>4953251</v>
      </c>
      <c r="F83" s="148">
        <f>IF(C83=0,0,E83/C83)</f>
        <v>0.10295978693870896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7135946</v>
      </c>
      <c r="D91" s="146">
        <v>7285831</v>
      </c>
      <c r="E91" s="146">
        <f t="shared" ref="E91:E109" si="4">D91-C91</f>
        <v>149885</v>
      </c>
      <c r="F91" s="150">
        <f t="shared" ref="F91:F109" si="5">IF(C91=0,0,E91/C91)</f>
        <v>2.1004222845856738E-2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0</v>
      </c>
      <c r="D92" s="146">
        <v>0</v>
      </c>
      <c r="E92" s="146">
        <f t="shared" si="4"/>
        <v>0</v>
      </c>
      <c r="F92" s="150">
        <f t="shared" si="5"/>
        <v>0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0</v>
      </c>
      <c r="D93" s="146">
        <v>0</v>
      </c>
      <c r="E93" s="146">
        <f t="shared" si="4"/>
        <v>0</v>
      </c>
      <c r="F93" s="150">
        <f t="shared" si="5"/>
        <v>0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0</v>
      </c>
      <c r="D94" s="146">
        <v>0</v>
      </c>
      <c r="E94" s="146">
        <f t="shared" si="4"/>
        <v>0</v>
      </c>
      <c r="F94" s="150">
        <f t="shared" si="5"/>
        <v>0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0</v>
      </c>
      <c r="D95" s="146">
        <v>0</v>
      </c>
      <c r="E95" s="146">
        <f t="shared" si="4"/>
        <v>0</v>
      </c>
      <c r="F95" s="150">
        <f t="shared" si="5"/>
        <v>0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0</v>
      </c>
      <c r="D97" s="146">
        <v>0</v>
      </c>
      <c r="E97" s="146">
        <f t="shared" si="4"/>
        <v>0</v>
      </c>
      <c r="F97" s="150">
        <f t="shared" si="5"/>
        <v>0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720763</v>
      </c>
      <c r="D98" s="146">
        <v>797245</v>
      </c>
      <c r="E98" s="146">
        <f t="shared" si="4"/>
        <v>76482</v>
      </c>
      <c r="F98" s="150">
        <f t="shared" si="5"/>
        <v>0.10611255017252551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0</v>
      </c>
      <c r="D99" s="146">
        <v>0</v>
      </c>
      <c r="E99" s="146">
        <f t="shared" si="4"/>
        <v>0</v>
      </c>
      <c r="F99" s="150">
        <f t="shared" si="5"/>
        <v>0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831513</v>
      </c>
      <c r="D100" s="146">
        <v>893695</v>
      </c>
      <c r="E100" s="146">
        <f t="shared" si="4"/>
        <v>62182</v>
      </c>
      <c r="F100" s="150">
        <f t="shared" si="5"/>
        <v>7.4781753261825137E-2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465973</v>
      </c>
      <c r="D101" s="146">
        <v>503345</v>
      </c>
      <c r="E101" s="146">
        <f t="shared" si="4"/>
        <v>37372</v>
      </c>
      <c r="F101" s="150">
        <f t="shared" si="5"/>
        <v>8.0202071793859298E-2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217330</v>
      </c>
      <c r="D102" s="146">
        <v>233190</v>
      </c>
      <c r="E102" s="146">
        <f t="shared" si="4"/>
        <v>15860</v>
      </c>
      <c r="F102" s="150">
        <f t="shared" si="5"/>
        <v>7.2976579395389499E-2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2423205</v>
      </c>
      <c r="D103" s="146">
        <v>2629862</v>
      </c>
      <c r="E103" s="146">
        <f t="shared" si="4"/>
        <v>206657</v>
      </c>
      <c r="F103" s="150">
        <f t="shared" si="5"/>
        <v>8.5282508083302899E-2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0</v>
      </c>
      <c r="D104" s="146">
        <v>0</v>
      </c>
      <c r="E104" s="146">
        <f t="shared" si="4"/>
        <v>0</v>
      </c>
      <c r="F104" s="150">
        <f t="shared" si="5"/>
        <v>0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0</v>
      </c>
      <c r="D105" s="146">
        <v>0</v>
      </c>
      <c r="E105" s="146">
        <f t="shared" si="4"/>
        <v>0</v>
      </c>
      <c r="F105" s="150">
        <f t="shared" si="5"/>
        <v>0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0</v>
      </c>
      <c r="D106" s="146">
        <v>0</v>
      </c>
      <c r="E106" s="146">
        <f t="shared" si="4"/>
        <v>0</v>
      </c>
      <c r="F106" s="150">
        <f t="shared" si="5"/>
        <v>0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1957958</v>
      </c>
      <c r="D107" s="146">
        <v>2321787</v>
      </c>
      <c r="E107" s="146">
        <f t="shared" si="4"/>
        <v>363829</v>
      </c>
      <c r="F107" s="150">
        <f t="shared" si="5"/>
        <v>0.18582063558053849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14136249</v>
      </c>
      <c r="D108" s="146">
        <v>16870063</v>
      </c>
      <c r="E108" s="146">
        <f t="shared" si="4"/>
        <v>2733814</v>
      </c>
      <c r="F108" s="150">
        <f t="shared" si="5"/>
        <v>0.19339033996925209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27888937</v>
      </c>
      <c r="D109" s="147">
        <f>SUM(D91:D108)</f>
        <v>31535018</v>
      </c>
      <c r="E109" s="147">
        <f t="shared" si="4"/>
        <v>3646081</v>
      </c>
      <c r="F109" s="148">
        <f t="shared" si="5"/>
        <v>0.13073574657936946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968482</v>
      </c>
      <c r="D112" s="146">
        <v>823319</v>
      </c>
      <c r="E112" s="146">
        <f t="shared" ref="E112:E118" si="6">D112-C112</f>
        <v>-145163</v>
      </c>
      <c r="F112" s="150">
        <f t="shared" ref="F112:F118" si="7">IF(C112=0,0,E112/C112)</f>
        <v>-0.14988714297219774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977832</v>
      </c>
      <c r="D114" s="146">
        <v>1069637</v>
      </c>
      <c r="E114" s="146">
        <f t="shared" si="6"/>
        <v>91805</v>
      </c>
      <c r="F114" s="150">
        <f t="shared" si="7"/>
        <v>9.3886270852252734E-2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0</v>
      </c>
      <c r="D115" s="146">
        <v>0</v>
      </c>
      <c r="E115" s="146">
        <f t="shared" si="6"/>
        <v>0</v>
      </c>
      <c r="F115" s="150">
        <f t="shared" si="7"/>
        <v>0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219175</v>
      </c>
      <c r="D116" s="146">
        <v>290435</v>
      </c>
      <c r="E116" s="146">
        <f t="shared" si="6"/>
        <v>71260</v>
      </c>
      <c r="F116" s="150">
        <f t="shared" si="7"/>
        <v>0.32512832211702974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2165489</v>
      </c>
      <c r="D118" s="147">
        <f>SUM(D112:D117)</f>
        <v>2183391</v>
      </c>
      <c r="E118" s="147">
        <f t="shared" si="6"/>
        <v>17902</v>
      </c>
      <c r="F118" s="148">
        <f t="shared" si="7"/>
        <v>8.2669549464347309E-3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1735663</v>
      </c>
      <c r="D121" s="146">
        <v>1825725</v>
      </c>
      <c r="E121" s="146">
        <f t="shared" ref="E121:E155" si="8">D121-C121</f>
        <v>90062</v>
      </c>
      <c r="F121" s="150">
        <f t="shared" ref="F121:F155" si="9">IF(C121=0,0,E121/C121)</f>
        <v>5.1889105200721569E-2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155229</v>
      </c>
      <c r="D122" s="146">
        <v>185934</v>
      </c>
      <c r="E122" s="146">
        <f t="shared" si="8"/>
        <v>30705</v>
      </c>
      <c r="F122" s="150">
        <f t="shared" si="9"/>
        <v>0.19780453394662079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36076</v>
      </c>
      <c r="D123" s="146">
        <v>26946</v>
      </c>
      <c r="E123" s="146">
        <f t="shared" si="8"/>
        <v>-9130</v>
      </c>
      <c r="F123" s="150">
        <f t="shared" si="9"/>
        <v>-0.25307683778689433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323459</v>
      </c>
      <c r="D124" s="146">
        <v>333924</v>
      </c>
      <c r="E124" s="146">
        <f t="shared" si="8"/>
        <v>10465</v>
      </c>
      <c r="F124" s="150">
        <f t="shared" si="9"/>
        <v>3.235340491376032E-2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1726192</v>
      </c>
      <c r="D125" s="146">
        <v>1774658</v>
      </c>
      <c r="E125" s="146">
        <f t="shared" si="8"/>
        <v>48466</v>
      </c>
      <c r="F125" s="150">
        <f t="shared" si="9"/>
        <v>2.8076830387349726E-2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0</v>
      </c>
      <c r="D126" s="146">
        <v>0</v>
      </c>
      <c r="E126" s="146">
        <f t="shared" si="8"/>
        <v>0</v>
      </c>
      <c r="F126" s="150">
        <f t="shared" si="9"/>
        <v>0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349745</v>
      </c>
      <c r="D128" s="146">
        <v>334572</v>
      </c>
      <c r="E128" s="146">
        <f t="shared" si="8"/>
        <v>-15173</v>
      </c>
      <c r="F128" s="150">
        <f t="shared" si="9"/>
        <v>-4.3383036212097388E-2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231656</v>
      </c>
      <c r="D129" s="146">
        <v>213316</v>
      </c>
      <c r="E129" s="146">
        <f t="shared" si="8"/>
        <v>-18340</v>
      </c>
      <c r="F129" s="150">
        <f t="shared" si="9"/>
        <v>-7.9169112822460891E-2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2699960</v>
      </c>
      <c r="D130" s="146">
        <v>2837615</v>
      </c>
      <c r="E130" s="146">
        <f t="shared" si="8"/>
        <v>137655</v>
      </c>
      <c r="F130" s="150">
        <f t="shared" si="9"/>
        <v>5.0984088653165234E-2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347896</v>
      </c>
      <c r="D133" s="146">
        <v>282948</v>
      </c>
      <c r="E133" s="146">
        <f t="shared" si="8"/>
        <v>-64948</v>
      </c>
      <c r="F133" s="150">
        <f t="shared" si="9"/>
        <v>-0.18668797571688089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3415</v>
      </c>
      <c r="D134" s="146">
        <v>0</v>
      </c>
      <c r="E134" s="146">
        <f t="shared" si="8"/>
        <v>-3415</v>
      </c>
      <c r="F134" s="150">
        <f t="shared" si="9"/>
        <v>-1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41623</v>
      </c>
      <c r="D135" s="146">
        <v>63641</v>
      </c>
      <c r="E135" s="146">
        <f t="shared" si="8"/>
        <v>22018</v>
      </c>
      <c r="F135" s="150">
        <f t="shared" si="9"/>
        <v>0.52898637772385459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75055</v>
      </c>
      <c r="D136" s="146">
        <v>81069</v>
      </c>
      <c r="E136" s="146">
        <f t="shared" si="8"/>
        <v>6014</v>
      </c>
      <c r="F136" s="150">
        <f t="shared" si="9"/>
        <v>8.0127906202118446E-2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363608</v>
      </c>
      <c r="D138" s="146">
        <v>388322</v>
      </c>
      <c r="E138" s="146">
        <f t="shared" si="8"/>
        <v>24714</v>
      </c>
      <c r="F138" s="150">
        <f t="shared" si="9"/>
        <v>6.7968801566522186E-2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107972</v>
      </c>
      <c r="D142" s="146">
        <v>77387</v>
      </c>
      <c r="E142" s="146">
        <f t="shared" si="8"/>
        <v>-30585</v>
      </c>
      <c r="F142" s="150">
        <f t="shared" si="9"/>
        <v>-0.28326788426629124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1647263</v>
      </c>
      <c r="D144" s="146">
        <v>1731552</v>
      </c>
      <c r="E144" s="146">
        <f t="shared" si="8"/>
        <v>84289</v>
      </c>
      <c r="F144" s="150">
        <f t="shared" si="9"/>
        <v>5.1169121142161267E-2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303362</v>
      </c>
      <c r="D145" s="146">
        <v>302901</v>
      </c>
      <c r="E145" s="146">
        <f t="shared" si="8"/>
        <v>-461</v>
      </c>
      <c r="F145" s="150">
        <f t="shared" si="9"/>
        <v>-1.5196366057713226E-3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232481</v>
      </c>
      <c r="E149" s="146">
        <f t="shared" si="8"/>
        <v>232481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53624</v>
      </c>
      <c r="E151" s="146">
        <f t="shared" si="8"/>
        <v>53624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638300</v>
      </c>
      <c r="D152" s="146">
        <v>671520</v>
      </c>
      <c r="E152" s="146">
        <f t="shared" si="8"/>
        <v>33220</v>
      </c>
      <c r="F152" s="150">
        <f t="shared" si="9"/>
        <v>5.2044493185022717E-2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1905939</v>
      </c>
      <c r="D154" s="146">
        <v>2065548</v>
      </c>
      <c r="E154" s="146">
        <f t="shared" si="8"/>
        <v>159609</v>
      </c>
      <c r="F154" s="150">
        <f t="shared" si="9"/>
        <v>8.37429739356821E-2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12692413</v>
      </c>
      <c r="D155" s="147">
        <f>SUM(D121:D154)</f>
        <v>13483683</v>
      </c>
      <c r="E155" s="147">
        <f t="shared" si="8"/>
        <v>791270</v>
      </c>
      <c r="F155" s="148">
        <f t="shared" si="9"/>
        <v>6.2341967599068827E-2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2333072</v>
      </c>
      <c r="D158" s="146">
        <v>2550094</v>
      </c>
      <c r="E158" s="146">
        <f t="shared" ref="E158:E171" si="10">D158-C158</f>
        <v>217022</v>
      </c>
      <c r="F158" s="150">
        <f t="shared" ref="F158:F171" si="11">IF(C158=0,0,E158/C158)</f>
        <v>9.3019846794269528E-2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933057</v>
      </c>
      <c r="D159" s="146">
        <v>1124169</v>
      </c>
      <c r="E159" s="146">
        <f t="shared" si="10"/>
        <v>191112</v>
      </c>
      <c r="F159" s="150">
        <f t="shared" si="11"/>
        <v>0.2048234995289677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1836133</v>
      </c>
      <c r="D161" s="146">
        <v>1923942</v>
      </c>
      <c r="E161" s="146">
        <f t="shared" si="10"/>
        <v>87809</v>
      </c>
      <c r="F161" s="150">
        <f t="shared" si="11"/>
        <v>4.7822788436349656E-2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259497</v>
      </c>
      <c r="D164" s="146">
        <v>261552</v>
      </c>
      <c r="E164" s="146">
        <f t="shared" si="10"/>
        <v>2055</v>
      </c>
      <c r="F164" s="150">
        <f t="shared" si="11"/>
        <v>7.9191666955687346E-3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0</v>
      </c>
      <c r="D167" s="146">
        <v>0</v>
      </c>
      <c r="E167" s="146">
        <f t="shared" si="10"/>
        <v>0</v>
      </c>
      <c r="F167" s="150">
        <f t="shared" si="11"/>
        <v>0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5361759</v>
      </c>
      <c r="D171" s="147">
        <f>SUM(D158:D170)</f>
        <v>5859757</v>
      </c>
      <c r="E171" s="147">
        <f t="shared" si="10"/>
        <v>497998</v>
      </c>
      <c r="F171" s="148">
        <f t="shared" si="11"/>
        <v>9.287959417795541E-2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48108598</v>
      </c>
      <c r="D176" s="147">
        <f>+D174+D171+D155+D118+D109</f>
        <v>53061849</v>
      </c>
      <c r="E176" s="147">
        <f>D176-C176</f>
        <v>4953251</v>
      </c>
      <c r="F176" s="148">
        <f>IF(C176=0,0,E176/C176)</f>
        <v>0.10295978693870896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FILING&amp;RESSENT-SHARON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51853289</v>
      </c>
      <c r="D11" s="164">
        <v>50495530</v>
      </c>
      <c r="E11" s="51">
        <v>55537559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543474</v>
      </c>
      <c r="D12" s="49">
        <v>530398</v>
      </c>
      <c r="E12" s="49">
        <v>457560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52396763</v>
      </c>
      <c r="D13" s="51">
        <f>+D11+D12</f>
        <v>51025928</v>
      </c>
      <c r="E13" s="51">
        <f>+E11+E12</f>
        <v>55995119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49683361</v>
      </c>
      <c r="D14" s="49">
        <v>48108598</v>
      </c>
      <c r="E14" s="49">
        <v>53061849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2713402</v>
      </c>
      <c r="D15" s="51">
        <f>+D13-D14</f>
        <v>2917330</v>
      </c>
      <c r="E15" s="51">
        <f>+E13-E14</f>
        <v>2933270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0</v>
      </c>
      <c r="D16" s="49">
        <v>0</v>
      </c>
      <c r="E16" s="49">
        <v>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2713402</v>
      </c>
      <c r="D17" s="51">
        <f>D15+D16</f>
        <v>2917330</v>
      </c>
      <c r="E17" s="51">
        <f>E15+E16</f>
        <v>2933270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5.1785679966527706E-2</v>
      </c>
      <c r="D20" s="169">
        <f>IF(+D27=0,0,+D24/+D27)</f>
        <v>5.7173482469539801E-2</v>
      </c>
      <c r="E20" s="169">
        <f>IF(+E27=0,0,+E24/+E27)</f>
        <v>5.2384387289184972E-2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0</v>
      </c>
      <c r="D21" s="169">
        <f>IF(D27=0,0,+D26/D27)</f>
        <v>0</v>
      </c>
      <c r="E21" s="169">
        <f>IF(E27=0,0,+E26/E27)</f>
        <v>0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5.1785679966527706E-2</v>
      </c>
      <c r="D22" s="169">
        <f>IF(D27=0,0,+D28/D27)</f>
        <v>5.7173482469539801E-2</v>
      </c>
      <c r="E22" s="169">
        <f>IF(E27=0,0,+E28/E27)</f>
        <v>5.2384387289184972E-2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2713402</v>
      </c>
      <c r="D24" s="51">
        <f>+D15</f>
        <v>2917330</v>
      </c>
      <c r="E24" s="51">
        <f>+E15</f>
        <v>2933270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52396763</v>
      </c>
      <c r="D25" s="51">
        <f>+D13</f>
        <v>51025928</v>
      </c>
      <c r="E25" s="51">
        <f>+E13</f>
        <v>55995119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0</v>
      </c>
      <c r="D26" s="51">
        <f>+D16</f>
        <v>0</v>
      </c>
      <c r="E26" s="51">
        <f>+E16</f>
        <v>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52396763</v>
      </c>
      <c r="D27" s="51">
        <f>+D25+D26</f>
        <v>51025928</v>
      </c>
      <c r="E27" s="51">
        <f>+E25+E26</f>
        <v>55995119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2713402</v>
      </c>
      <c r="D28" s="51">
        <f>+D17</f>
        <v>2917330</v>
      </c>
      <c r="E28" s="51">
        <f>+E17</f>
        <v>2933270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15453591</v>
      </c>
      <c r="D31" s="51">
        <v>18267822</v>
      </c>
      <c r="E31" s="51">
        <v>21632914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15453591</v>
      </c>
      <c r="D32" s="51">
        <v>18267822</v>
      </c>
      <c r="E32" s="51">
        <v>21632914</v>
      </c>
      <c r="F32" s="13"/>
    </row>
    <row r="33" spans="1:6" ht="24" customHeight="1" x14ac:dyDescent="0.2">
      <c r="A33" s="25">
        <v>3</v>
      </c>
      <c r="B33" s="48" t="s">
        <v>319</v>
      </c>
      <c r="C33" s="51">
        <v>2359523</v>
      </c>
      <c r="D33" s="51">
        <f>+D32-C32</f>
        <v>2814231</v>
      </c>
      <c r="E33" s="51">
        <f>+E32-D32</f>
        <v>3365092</v>
      </c>
      <c r="F33" s="5"/>
    </row>
    <row r="34" spans="1:6" ht="24" customHeight="1" x14ac:dyDescent="0.2">
      <c r="A34" s="25">
        <v>4</v>
      </c>
      <c r="B34" s="48" t="s">
        <v>320</v>
      </c>
      <c r="C34" s="171">
        <v>1.1800999999999999</v>
      </c>
      <c r="D34" s="171">
        <f>IF(C32=0,0,+D33/C32)</f>
        <v>0.18210854680960561</v>
      </c>
      <c r="E34" s="171">
        <f>IF(D32=0,0,+E33/D32)</f>
        <v>0.18420871409848422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0.43204503893538154</v>
      </c>
      <c r="D38" s="172">
        <f>IF((D40+D41)=0,0,+D39/(D40+D41))</f>
        <v>0.39557024065736135</v>
      </c>
      <c r="E38" s="172">
        <f>IF((E40+E41)=0,0,+E39/(E40+E41))</f>
        <v>0.40753962745063926</v>
      </c>
      <c r="F38" s="5"/>
    </row>
    <row r="39" spans="1:6" ht="24" customHeight="1" x14ac:dyDescent="0.2">
      <c r="A39" s="21">
        <v>2</v>
      </c>
      <c r="B39" s="48" t="s">
        <v>324</v>
      </c>
      <c r="C39" s="51">
        <v>49683361</v>
      </c>
      <c r="D39" s="51">
        <v>48108598</v>
      </c>
      <c r="E39" s="23">
        <v>53061849</v>
      </c>
      <c r="F39" s="5"/>
    </row>
    <row r="40" spans="1:6" ht="24" customHeight="1" x14ac:dyDescent="0.2">
      <c r="A40" s="21">
        <v>3</v>
      </c>
      <c r="B40" s="48" t="s">
        <v>325</v>
      </c>
      <c r="C40" s="51">
        <v>114452317</v>
      </c>
      <c r="D40" s="51">
        <v>121087947</v>
      </c>
      <c r="E40" s="23">
        <v>129742905</v>
      </c>
      <c r="F40" s="5"/>
    </row>
    <row r="41" spans="1:6" ht="24" customHeight="1" x14ac:dyDescent="0.2">
      <c r="A41" s="21">
        <v>4</v>
      </c>
      <c r="B41" s="48" t="s">
        <v>326</v>
      </c>
      <c r="C41" s="51">
        <v>543474</v>
      </c>
      <c r="D41" s="51">
        <v>530398</v>
      </c>
      <c r="E41" s="23">
        <v>457560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1.1792412209498213</v>
      </c>
      <c r="D43" s="173">
        <f>IF(D38=0,0,IF((D46-D47)=0,0,((+D44-D45)/(D46-D47)/D38)))</f>
        <v>1.2565853352430021</v>
      </c>
      <c r="E43" s="173">
        <f>IF(E38=0,0,IF((E46-E47)=0,0,((+E44-E45)/(E46-E47)/E38)))</f>
        <v>1.193961017207319</v>
      </c>
      <c r="F43" s="5"/>
    </row>
    <row r="44" spans="1:6" ht="24" customHeight="1" x14ac:dyDescent="0.2">
      <c r="A44" s="21">
        <v>6</v>
      </c>
      <c r="B44" s="48" t="s">
        <v>328</v>
      </c>
      <c r="C44" s="51">
        <v>25274582</v>
      </c>
      <c r="D44" s="51">
        <v>24515877</v>
      </c>
      <c r="E44" s="23">
        <v>24075381</v>
      </c>
      <c r="F44" s="5"/>
    </row>
    <row r="45" spans="1:6" ht="24" customHeight="1" x14ac:dyDescent="0.2">
      <c r="A45" s="21">
        <v>7</v>
      </c>
      <c r="B45" s="48" t="s">
        <v>329</v>
      </c>
      <c r="C45" s="51">
        <v>690151</v>
      </c>
      <c r="D45" s="51">
        <v>716609</v>
      </c>
      <c r="E45" s="23">
        <v>250966</v>
      </c>
      <c r="F45" s="5"/>
    </row>
    <row r="46" spans="1:6" ht="24" customHeight="1" x14ac:dyDescent="0.2">
      <c r="A46" s="21">
        <v>8</v>
      </c>
      <c r="B46" s="48" t="s">
        <v>330</v>
      </c>
      <c r="C46" s="51">
        <v>51095457</v>
      </c>
      <c r="D46" s="51">
        <v>51276724</v>
      </c>
      <c r="E46" s="23">
        <v>52184837</v>
      </c>
      <c r="F46" s="5"/>
    </row>
    <row r="47" spans="1:6" ht="24" customHeight="1" x14ac:dyDescent="0.2">
      <c r="A47" s="21">
        <v>9</v>
      </c>
      <c r="B47" s="48" t="s">
        <v>331</v>
      </c>
      <c r="C47" s="51">
        <v>2841994</v>
      </c>
      <c r="D47" s="51">
        <v>3397401</v>
      </c>
      <c r="E47" s="174">
        <v>3222487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0.89234729211283192</v>
      </c>
      <c r="D49" s="175">
        <f>IF(D38=0,0,IF(D51=0,0,(D50/D51)/D38))</f>
        <v>0.8983617021635848</v>
      </c>
      <c r="E49" s="175">
        <f>IF(E38=0,0,IF(E51=0,0,(E50/E51)/E38))</f>
        <v>0.90593039710403156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21343986</v>
      </c>
      <c r="D50" s="176">
        <v>21164872</v>
      </c>
      <c r="E50" s="176">
        <v>24162906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55362105</v>
      </c>
      <c r="D51" s="176">
        <v>59558096</v>
      </c>
      <c r="E51" s="176">
        <v>65446208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0.58317875188590984</v>
      </c>
      <c r="D53" s="175">
        <f>IF(D38=0,0,IF(D55=0,0,(D54/D55)/D38))</f>
        <v>0.77395770368068428</v>
      </c>
      <c r="E53" s="175">
        <f>IF(E38=0,0,IF(E55=0,0,(E54/E55)/E38))</f>
        <v>0.66869853203115659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821526</v>
      </c>
      <c r="D54" s="176">
        <v>1480573</v>
      </c>
      <c r="E54" s="176">
        <v>1938129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3260548</v>
      </c>
      <c r="D55" s="176">
        <v>4836030</v>
      </c>
      <c r="E55" s="176">
        <v>7111848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1461984.2459022696</v>
      </c>
      <c r="D57" s="53">
        <f>+D60*D38</f>
        <v>995024.5036138586</v>
      </c>
      <c r="E57" s="53">
        <f>+E60*E38</f>
        <v>1825630.4091733543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430330</v>
      </c>
      <c r="D58" s="51">
        <v>767288</v>
      </c>
      <c r="E58" s="52">
        <v>942411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2953540</v>
      </c>
      <c r="D59" s="51">
        <v>1748130</v>
      </c>
      <c r="E59" s="52">
        <v>3537228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3383870</v>
      </c>
      <c r="D60" s="51">
        <v>2515418</v>
      </c>
      <c r="E60" s="52">
        <v>4479639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2.9426033514565766E-2</v>
      </c>
      <c r="D62" s="178">
        <f>IF(D63=0,0,+D57/D63)</f>
        <v>2.0682882997626717E-2</v>
      </c>
      <c r="E62" s="178">
        <f>IF(E63=0,0,+E57/E63)</f>
        <v>3.4405706615563927E-2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49683361</v>
      </c>
      <c r="D63" s="176">
        <v>48108598</v>
      </c>
      <c r="E63" s="176">
        <v>53061849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1.5176677540735095</v>
      </c>
      <c r="D67" s="179">
        <f>IF(D69=0,0,D68/D69)</f>
        <v>1.5090906873724148</v>
      </c>
      <c r="E67" s="179">
        <f>IF(E69=0,0,E68/E69)</f>
        <v>1.3738446402001705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10672270</v>
      </c>
      <c r="D68" s="180">
        <v>9281368</v>
      </c>
      <c r="E68" s="180">
        <v>9594446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7032020</v>
      </c>
      <c r="D69" s="180">
        <v>6150305</v>
      </c>
      <c r="E69" s="180">
        <v>6983647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0</v>
      </c>
      <c r="D71" s="181">
        <f>IF((D77/365)=0,0,+D74/(D77/365))</f>
        <v>0</v>
      </c>
      <c r="E71" s="181">
        <f>IF((E77/365)=0,0,+E74/(E77/365))</f>
        <v>0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0</v>
      </c>
      <c r="D72" s="182">
        <v>0</v>
      </c>
      <c r="E72" s="182">
        <v>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0</v>
      </c>
      <c r="D74" s="180">
        <f>+D72+D73</f>
        <v>0</v>
      </c>
      <c r="E74" s="180">
        <f>+E72+E73</f>
        <v>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49683361</v>
      </c>
      <c r="D75" s="180">
        <f>+D14</f>
        <v>48108598</v>
      </c>
      <c r="E75" s="180">
        <f>+E14</f>
        <v>53061849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3422746</v>
      </c>
      <c r="D76" s="180">
        <v>3147818</v>
      </c>
      <c r="E76" s="180">
        <v>3122389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46260615</v>
      </c>
      <c r="D77" s="180">
        <f>+D75-D76</f>
        <v>44960780</v>
      </c>
      <c r="E77" s="180">
        <f>+E75-E76</f>
        <v>49939460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41.329344798167</v>
      </c>
      <c r="D79" s="179">
        <f>IF((D84/365)=0,0,+D83/(D84/365))</f>
        <v>40.170757688848894</v>
      </c>
      <c r="E79" s="179">
        <f>IF((E84/365)=0,0,+E83/(E84/365))</f>
        <v>42.282245155931328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6306510</v>
      </c>
      <c r="D80" s="189">
        <v>5879926</v>
      </c>
      <c r="E80" s="189">
        <v>6874918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435106</v>
      </c>
      <c r="D82" s="190">
        <v>322546</v>
      </c>
      <c r="E82" s="190">
        <v>441349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5871404</v>
      </c>
      <c r="D83" s="191">
        <f>+D80+D81-D82</f>
        <v>5557380</v>
      </c>
      <c r="E83" s="191">
        <f>+E80+E81-E82</f>
        <v>6433569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51853289</v>
      </c>
      <c r="D84" s="191">
        <f>+D11</f>
        <v>50495530</v>
      </c>
      <c r="E84" s="191">
        <f>+E11</f>
        <v>55537559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55.483207475732868</v>
      </c>
      <c r="D86" s="179">
        <f>IF((D90/365)=0,0,+D87/(D90/365))</f>
        <v>49.929323401417861</v>
      </c>
      <c r="E86" s="179">
        <f>IF((E90/365)=0,0,+E87/(E90/365))</f>
        <v>51.042425268515117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7032020</v>
      </c>
      <c r="D87" s="51">
        <f>+D69</f>
        <v>6150305</v>
      </c>
      <c r="E87" s="51">
        <f>+E69</f>
        <v>6983647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49683361</v>
      </c>
      <c r="D88" s="51">
        <f t="shared" si="0"/>
        <v>48108598</v>
      </c>
      <c r="E88" s="51">
        <f t="shared" si="0"/>
        <v>53061849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3422746</v>
      </c>
      <c r="D89" s="52">
        <f t="shared" si="0"/>
        <v>3147818</v>
      </c>
      <c r="E89" s="52">
        <f t="shared" si="0"/>
        <v>3122389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46260615</v>
      </c>
      <c r="D90" s="51">
        <f>+D88-D89</f>
        <v>44960780</v>
      </c>
      <c r="E90" s="51">
        <f>+E88-E89</f>
        <v>49939460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25.744873512591965</v>
      </c>
      <c r="D94" s="192">
        <f>IF(D96=0,0,(D95/D96)*100)</f>
        <v>29.941527894276465</v>
      </c>
      <c r="E94" s="192">
        <f>IF(E96=0,0,(E95/E96)*100)</f>
        <v>33.57519062140765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15453591</v>
      </c>
      <c r="D95" s="51">
        <f>+D32</f>
        <v>18267822</v>
      </c>
      <c r="E95" s="51">
        <f>+E32</f>
        <v>21632914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60025896</v>
      </c>
      <c r="D96" s="51">
        <v>61011656</v>
      </c>
      <c r="E96" s="51">
        <v>64431247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14.940880731014145</v>
      </c>
      <c r="D98" s="192">
        <f>IF(D104=0,0,(D101/D104)*100)</f>
        <v>15.224603865599523</v>
      </c>
      <c r="E98" s="192">
        <f>IF(E104=0,0,(E101/E104)*100)</f>
        <v>15.018568296184631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2713402</v>
      </c>
      <c r="D99" s="51">
        <f>+D28</f>
        <v>2917330</v>
      </c>
      <c r="E99" s="51">
        <f>+E28</f>
        <v>2933270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3422746</v>
      </c>
      <c r="D100" s="52">
        <f>+D76</f>
        <v>3147818</v>
      </c>
      <c r="E100" s="52">
        <f>+E76</f>
        <v>3122389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6136148</v>
      </c>
      <c r="D101" s="51">
        <f>+D99+D100</f>
        <v>6065148</v>
      </c>
      <c r="E101" s="51">
        <f>+E99+E100</f>
        <v>6055659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7032020</v>
      </c>
      <c r="D102" s="180">
        <f>+D69</f>
        <v>6150305</v>
      </c>
      <c r="E102" s="180">
        <f>+E69</f>
        <v>6983647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34037500</v>
      </c>
      <c r="D103" s="194">
        <v>33687500</v>
      </c>
      <c r="E103" s="194">
        <v>33337500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41069520</v>
      </c>
      <c r="D104" s="180">
        <f>+D102+D103</f>
        <v>39837805</v>
      </c>
      <c r="E104" s="180">
        <f>+E102+E103</f>
        <v>40321147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68.775004374019559</v>
      </c>
      <c r="D106" s="197">
        <f>IF(D109=0,0,(D107/D109)*100)</f>
        <v>64.839363328361244</v>
      </c>
      <c r="E106" s="197">
        <f>IF(E109=0,0,(E107/E109)*100)</f>
        <v>60.646259640685983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34037500</v>
      </c>
      <c r="D107" s="180">
        <f>+D103</f>
        <v>33687500</v>
      </c>
      <c r="E107" s="180">
        <f>+E103</f>
        <v>33337500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15453591</v>
      </c>
      <c r="D108" s="180">
        <f>+D32</f>
        <v>18267822</v>
      </c>
      <c r="E108" s="180">
        <f>+E32</f>
        <v>21632914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49491091</v>
      </c>
      <c r="D109" s="180">
        <f>+D107+D108</f>
        <v>51955322</v>
      </c>
      <c r="E109" s="180">
        <f>+E107+E108</f>
        <v>54970414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3.4287789086977107</v>
      </c>
      <c r="D111" s="197">
        <f>IF((+D113+D115)=0,0,((+D112+D113+D114)/(+D113+D115)))</f>
        <v>3.8877758032381662</v>
      </c>
      <c r="E111" s="197">
        <f>IF((+E113+E115)=0,0,((+E112+E113+E114)/(+E113+E115)))</f>
        <v>3.8325062675304689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2713402</v>
      </c>
      <c r="D112" s="180">
        <f>+D17</f>
        <v>2917330</v>
      </c>
      <c r="E112" s="180">
        <f>+E17</f>
        <v>2933270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2032328</v>
      </c>
      <c r="D113" s="180">
        <v>1629083</v>
      </c>
      <c r="E113" s="180">
        <v>1664350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3422746</v>
      </c>
      <c r="D114" s="180">
        <v>3147818</v>
      </c>
      <c r="E114" s="180">
        <v>3122389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350000</v>
      </c>
      <c r="D115" s="180">
        <v>350000</v>
      </c>
      <c r="E115" s="180">
        <v>350000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4.757610702050342</v>
      </c>
      <c r="D119" s="197">
        <f>IF(+D121=0,0,(+D120)/(+D121))</f>
        <v>6.1737581397653871</v>
      </c>
      <c r="E119" s="197">
        <f>IF(+E121=0,0,(+E120)/(+E121))</f>
        <v>7.1916369164764546</v>
      </c>
    </row>
    <row r="120" spans="1:8" ht="24" customHeight="1" x14ac:dyDescent="0.25">
      <c r="A120" s="17">
        <v>21</v>
      </c>
      <c r="B120" s="48" t="s">
        <v>369</v>
      </c>
      <c r="C120" s="180">
        <v>16284093</v>
      </c>
      <c r="D120" s="180">
        <v>19433867</v>
      </c>
      <c r="E120" s="180">
        <v>22455088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3422746</v>
      </c>
      <c r="D121" s="180">
        <v>3147818</v>
      </c>
      <c r="E121" s="180">
        <v>3122389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11466</v>
      </c>
      <c r="D124" s="198">
        <v>11622</v>
      </c>
      <c r="E124" s="198">
        <v>12355</v>
      </c>
    </row>
    <row r="125" spans="1:8" ht="24" customHeight="1" x14ac:dyDescent="0.2">
      <c r="A125" s="44">
        <v>2</v>
      </c>
      <c r="B125" s="48" t="s">
        <v>373</v>
      </c>
      <c r="C125" s="198">
        <v>2658</v>
      </c>
      <c r="D125" s="198">
        <v>2681</v>
      </c>
      <c r="E125" s="198">
        <v>2703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4.3137697516930027</v>
      </c>
      <c r="D126" s="199">
        <f>IF(D125=0,0,D124/D125)</f>
        <v>4.3349496456546062</v>
      </c>
      <c r="E126" s="199">
        <f>IF(E125=0,0,E124/E125)</f>
        <v>4.570847206807251</v>
      </c>
    </row>
    <row r="127" spans="1:8" ht="24" customHeight="1" x14ac:dyDescent="0.2">
      <c r="A127" s="44">
        <v>4</v>
      </c>
      <c r="B127" s="48" t="s">
        <v>375</v>
      </c>
      <c r="C127" s="198">
        <v>47</v>
      </c>
      <c r="D127" s="198">
        <v>47</v>
      </c>
      <c r="E127" s="198">
        <v>49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94</v>
      </c>
      <c r="E128" s="198">
        <v>94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94</v>
      </c>
      <c r="D129" s="198">
        <v>94</v>
      </c>
      <c r="E129" s="198">
        <v>94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0.66830000000000001</v>
      </c>
      <c r="D130" s="171">
        <v>0.6774</v>
      </c>
      <c r="E130" s="171">
        <v>0.69079999999999997</v>
      </c>
    </row>
    <row r="131" spans="1:8" ht="24" customHeight="1" x14ac:dyDescent="0.2">
      <c r="A131" s="44">
        <v>7</v>
      </c>
      <c r="B131" s="48" t="s">
        <v>379</v>
      </c>
      <c r="C131" s="171">
        <v>0.33410000000000001</v>
      </c>
      <c r="D131" s="171">
        <v>0.3387</v>
      </c>
      <c r="E131" s="171">
        <v>0.36</v>
      </c>
    </row>
    <row r="132" spans="1:8" ht="24" customHeight="1" x14ac:dyDescent="0.2">
      <c r="A132" s="44">
        <v>8</v>
      </c>
      <c r="B132" s="48" t="s">
        <v>380</v>
      </c>
      <c r="C132" s="199">
        <v>255.3</v>
      </c>
      <c r="D132" s="199">
        <v>256.3</v>
      </c>
      <c r="E132" s="199">
        <v>271.5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0.42160319917332911</v>
      </c>
      <c r="D135" s="203">
        <f>IF(D149=0,0,D143/D149)</f>
        <v>0.3954094869574426</v>
      </c>
      <c r="E135" s="203">
        <f>IF(E149=0,0,E143/E149)</f>
        <v>0.37737978812791345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0.48371327423629179</v>
      </c>
      <c r="D136" s="203">
        <f>IF(D149=0,0,D144/D149)</f>
        <v>0.49185816983089159</v>
      </c>
      <c r="E136" s="203">
        <f>IF(E149=0,0,E144/E149)</f>
        <v>0.50442995707549476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2.8488265554291924E-2</v>
      </c>
      <c r="D137" s="203">
        <f>IF(D149=0,0,D145/D149)</f>
        <v>3.9938161640481029E-2</v>
      </c>
      <c r="E137" s="203">
        <f>IF(E149=0,0,E145/E149)</f>
        <v>5.4814928030168589E-2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3.9979872141863236E-2</v>
      </c>
      <c r="D138" s="203">
        <f>IF(D149=0,0,D146/D149)</f>
        <v>4.3785703956150154E-2</v>
      </c>
      <c r="E138" s="203">
        <f>IF(E149=0,0,E146/E149)</f>
        <v>3.6918681603437198E-2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2.4831249156799507E-2</v>
      </c>
      <c r="D139" s="203">
        <f>IF(D149=0,0,D147/D149)</f>
        <v>2.8057301194478093E-2</v>
      </c>
      <c r="E139" s="203">
        <f>IF(E149=0,0,E147/E149)</f>
        <v>2.4837481479237727E-2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1.3841397374244507E-3</v>
      </c>
      <c r="D140" s="203">
        <f>IF(D149=0,0,D148/D149)</f>
        <v>9.5117642055653976E-4</v>
      </c>
      <c r="E140" s="203">
        <f>IF(E149=0,0,E148/E149)</f>
        <v>1.6191636837482558E-3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48253463</v>
      </c>
      <c r="D143" s="205">
        <f>+D46-D147</f>
        <v>47879323</v>
      </c>
      <c r="E143" s="205">
        <f>+E46-E147</f>
        <v>48962350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55362105</v>
      </c>
      <c r="D144" s="205">
        <f>+D51</f>
        <v>59558096</v>
      </c>
      <c r="E144" s="205">
        <f>+E51</f>
        <v>65446208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3260548</v>
      </c>
      <c r="D145" s="205">
        <f>+D55</f>
        <v>4836030</v>
      </c>
      <c r="E145" s="205">
        <f>+E55</f>
        <v>7111848</v>
      </c>
    </row>
    <row r="146" spans="1:7" ht="20.100000000000001" customHeight="1" x14ac:dyDescent="0.2">
      <c r="A146" s="202">
        <v>11</v>
      </c>
      <c r="B146" s="201" t="s">
        <v>392</v>
      </c>
      <c r="C146" s="204">
        <v>4575789</v>
      </c>
      <c r="D146" s="205">
        <v>5301921</v>
      </c>
      <c r="E146" s="205">
        <v>4789937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2841994</v>
      </c>
      <c r="D147" s="205">
        <f>+D47</f>
        <v>3397401</v>
      </c>
      <c r="E147" s="205">
        <f>+E47</f>
        <v>3222487</v>
      </c>
    </row>
    <row r="148" spans="1:7" ht="20.100000000000001" customHeight="1" x14ac:dyDescent="0.2">
      <c r="A148" s="202">
        <v>13</v>
      </c>
      <c r="B148" s="201" t="s">
        <v>394</v>
      </c>
      <c r="C148" s="206">
        <v>158418</v>
      </c>
      <c r="D148" s="205">
        <v>115176</v>
      </c>
      <c r="E148" s="205">
        <v>210075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114452317</v>
      </c>
      <c r="D149" s="205">
        <f>SUM(D143:D148)</f>
        <v>121087947</v>
      </c>
      <c r="E149" s="205">
        <f>SUM(E143:E148)</f>
        <v>129742905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0.50475130100939458</v>
      </c>
      <c r="D152" s="203">
        <f>IF(D166=0,0,D160/D166)</f>
        <v>0.49074957064793451</v>
      </c>
      <c r="E152" s="203">
        <f>IF(E166=0,0,E160/E166)</f>
        <v>0.46358207309692551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0.43822062435475134</v>
      </c>
      <c r="D153" s="203">
        <f>IF(D166=0,0,D161/D166)</f>
        <v>0.43642736603573234</v>
      </c>
      <c r="E153" s="203">
        <f>IF(E166=0,0,E161/E166)</f>
        <v>0.47016852483161242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1.6867029272023579E-2</v>
      </c>
      <c r="D154" s="203">
        <f>IF(D166=0,0,D162/D166)</f>
        <v>3.0529954285271478E-2</v>
      </c>
      <c r="E154" s="203">
        <f>IF(E166=0,0,E162/E166)</f>
        <v>3.7712651485850596E-2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2.3485655615358328E-2</v>
      </c>
      <c r="D155" s="203">
        <f>IF(D166=0,0,D163/D166)</f>
        <v>2.6048344979680591E-2</v>
      </c>
      <c r="E155" s="203">
        <f>IF(E166=0,0,E163/E166)</f>
        <v>2.154965292173525E-2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1.4169724535944504E-2</v>
      </c>
      <c r="D156" s="203">
        <f>IF(D166=0,0,D164/D166)</f>
        <v>1.477673847247931E-2</v>
      </c>
      <c r="E156" s="203">
        <f>IF(E166=0,0,E164/E166)</f>
        <v>4.8833660157801568E-3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2.5056652125276979E-3</v>
      </c>
      <c r="D157" s="203">
        <f>IF(D166=0,0,D165/D166)</f>
        <v>1.4680255789017713E-3</v>
      </c>
      <c r="E157" s="203">
        <f>IF(E166=0,0,E165/E166)</f>
        <v>2.1037316480960436E-3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24584431</v>
      </c>
      <c r="D160" s="208">
        <f>+D44-D164</f>
        <v>23799268</v>
      </c>
      <c r="E160" s="208">
        <f>+E44-E164</f>
        <v>23824415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21343986</v>
      </c>
      <c r="D161" s="208">
        <f>+D50</f>
        <v>21164872</v>
      </c>
      <c r="E161" s="208">
        <f>+E50</f>
        <v>24162906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821526</v>
      </c>
      <c r="D162" s="208">
        <f>+D54</f>
        <v>1480573</v>
      </c>
      <c r="E162" s="208">
        <f>+E54</f>
        <v>1938129</v>
      </c>
    </row>
    <row r="163" spans="1:6" ht="20.100000000000001" customHeight="1" x14ac:dyDescent="0.2">
      <c r="A163" s="202">
        <v>11</v>
      </c>
      <c r="B163" s="201" t="s">
        <v>408</v>
      </c>
      <c r="C163" s="207">
        <v>1143893</v>
      </c>
      <c r="D163" s="208">
        <v>1263234</v>
      </c>
      <c r="E163" s="208">
        <v>1107480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690151</v>
      </c>
      <c r="D164" s="208">
        <f>+D45</f>
        <v>716609</v>
      </c>
      <c r="E164" s="208">
        <f>+E45</f>
        <v>250966</v>
      </c>
    </row>
    <row r="165" spans="1:6" ht="20.100000000000001" customHeight="1" x14ac:dyDescent="0.2">
      <c r="A165" s="202">
        <v>13</v>
      </c>
      <c r="B165" s="201" t="s">
        <v>410</v>
      </c>
      <c r="C165" s="209">
        <v>122041</v>
      </c>
      <c r="D165" s="208">
        <v>71193</v>
      </c>
      <c r="E165" s="208">
        <v>108115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48706028</v>
      </c>
      <c r="D166" s="208">
        <f>SUM(D160:D165)</f>
        <v>48495749</v>
      </c>
      <c r="E166" s="208">
        <f>SUM(E160:E165)</f>
        <v>51392011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877</v>
      </c>
      <c r="D169" s="198">
        <v>808</v>
      </c>
      <c r="E169" s="198">
        <v>794</v>
      </c>
    </row>
    <row r="170" spans="1:6" ht="20.100000000000001" customHeight="1" x14ac:dyDescent="0.2">
      <c r="A170" s="202">
        <v>2</v>
      </c>
      <c r="B170" s="201" t="s">
        <v>414</v>
      </c>
      <c r="C170" s="198">
        <v>1484</v>
      </c>
      <c r="D170" s="198">
        <v>1479</v>
      </c>
      <c r="E170" s="198">
        <v>1530</v>
      </c>
    </row>
    <row r="171" spans="1:6" ht="20.100000000000001" customHeight="1" x14ac:dyDescent="0.2">
      <c r="A171" s="202">
        <v>3</v>
      </c>
      <c r="B171" s="201" t="s">
        <v>415</v>
      </c>
      <c r="C171" s="198">
        <v>295</v>
      </c>
      <c r="D171" s="198">
        <v>387</v>
      </c>
      <c r="E171" s="198">
        <v>371</v>
      </c>
    </row>
    <row r="172" spans="1:6" ht="20.100000000000001" customHeight="1" x14ac:dyDescent="0.2">
      <c r="A172" s="202">
        <v>4</v>
      </c>
      <c r="B172" s="201" t="s">
        <v>416</v>
      </c>
      <c r="C172" s="198">
        <v>142</v>
      </c>
      <c r="D172" s="198">
        <v>217</v>
      </c>
      <c r="E172" s="198">
        <v>223</v>
      </c>
    </row>
    <row r="173" spans="1:6" ht="20.100000000000001" customHeight="1" x14ac:dyDescent="0.2">
      <c r="A173" s="202">
        <v>5</v>
      </c>
      <c r="B173" s="201" t="s">
        <v>417</v>
      </c>
      <c r="C173" s="198">
        <v>153</v>
      </c>
      <c r="D173" s="198">
        <v>170</v>
      </c>
      <c r="E173" s="198">
        <v>148</v>
      </c>
    </row>
    <row r="174" spans="1:6" ht="20.100000000000001" customHeight="1" x14ac:dyDescent="0.2">
      <c r="A174" s="202">
        <v>6</v>
      </c>
      <c r="B174" s="201" t="s">
        <v>418</v>
      </c>
      <c r="C174" s="198">
        <v>2</v>
      </c>
      <c r="D174" s="198">
        <v>7</v>
      </c>
      <c r="E174" s="198">
        <v>8</v>
      </c>
    </row>
    <row r="175" spans="1:6" ht="20.100000000000001" customHeight="1" x14ac:dyDescent="0.2">
      <c r="A175" s="202">
        <v>7</v>
      </c>
      <c r="B175" s="201" t="s">
        <v>419</v>
      </c>
      <c r="C175" s="198">
        <v>72</v>
      </c>
      <c r="D175" s="198">
        <v>65</v>
      </c>
      <c r="E175" s="198">
        <v>57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2658</v>
      </c>
      <c r="D176" s="198">
        <f>+D169+D170+D171+D174</f>
        <v>2681</v>
      </c>
      <c r="E176" s="198">
        <f>+E169+E170+E171+E174</f>
        <v>2703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1.0299</v>
      </c>
      <c r="D179" s="210">
        <v>0.98860000000000003</v>
      </c>
      <c r="E179" s="210">
        <v>1.0126999999999999</v>
      </c>
    </row>
    <row r="180" spans="1:6" ht="20.100000000000001" customHeight="1" x14ac:dyDescent="0.2">
      <c r="A180" s="202">
        <v>2</v>
      </c>
      <c r="B180" s="201" t="s">
        <v>414</v>
      </c>
      <c r="C180" s="210">
        <v>1.1322000000000001</v>
      </c>
      <c r="D180" s="210">
        <v>1.1483000000000001</v>
      </c>
      <c r="E180" s="210">
        <v>1.2059</v>
      </c>
    </row>
    <row r="181" spans="1:6" ht="20.100000000000001" customHeight="1" x14ac:dyDescent="0.2">
      <c r="A181" s="202">
        <v>3</v>
      </c>
      <c r="B181" s="201" t="s">
        <v>415</v>
      </c>
      <c r="C181" s="210">
        <v>0.93407799999999996</v>
      </c>
      <c r="D181" s="210">
        <v>0.85926800000000003</v>
      </c>
      <c r="E181" s="210">
        <v>0.89058800000000005</v>
      </c>
    </row>
    <row r="182" spans="1:6" ht="20.100000000000001" customHeight="1" x14ac:dyDescent="0.2">
      <c r="A182" s="202">
        <v>4</v>
      </c>
      <c r="B182" s="201" t="s">
        <v>416</v>
      </c>
      <c r="C182" s="210">
        <v>0.77890000000000004</v>
      </c>
      <c r="D182" s="210">
        <v>0.85470000000000002</v>
      </c>
      <c r="E182" s="210">
        <v>0.84930000000000005</v>
      </c>
    </row>
    <row r="183" spans="1:6" ht="20.100000000000001" customHeight="1" x14ac:dyDescent="0.2">
      <c r="A183" s="202">
        <v>5</v>
      </c>
      <c r="B183" s="201" t="s">
        <v>417</v>
      </c>
      <c r="C183" s="210">
        <v>1.0781000000000001</v>
      </c>
      <c r="D183" s="210">
        <v>0.86509999999999998</v>
      </c>
      <c r="E183" s="210">
        <v>0.95279999999999998</v>
      </c>
    </row>
    <row r="184" spans="1:6" ht="20.100000000000001" customHeight="1" x14ac:dyDescent="0.2">
      <c r="A184" s="202">
        <v>6</v>
      </c>
      <c r="B184" s="201" t="s">
        <v>418</v>
      </c>
      <c r="C184" s="210">
        <v>2.0971000000000002</v>
      </c>
      <c r="D184" s="210">
        <v>0.68889999999999996</v>
      </c>
      <c r="E184" s="210">
        <v>0.66390000000000005</v>
      </c>
    </row>
    <row r="185" spans="1:6" ht="20.100000000000001" customHeight="1" x14ac:dyDescent="0.2">
      <c r="A185" s="202">
        <v>7</v>
      </c>
      <c r="B185" s="201" t="s">
        <v>419</v>
      </c>
      <c r="C185" s="210">
        <v>0.83479999999999999</v>
      </c>
      <c r="D185" s="210">
        <v>0.81330000000000002</v>
      </c>
      <c r="E185" s="210">
        <v>1.1084000000000001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1.077183</v>
      </c>
      <c r="D186" s="210">
        <v>1.057248</v>
      </c>
      <c r="E186" s="210">
        <v>1.1042650000000001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1524</v>
      </c>
      <c r="D189" s="198">
        <v>1597</v>
      </c>
      <c r="E189" s="198">
        <v>1720</v>
      </c>
    </row>
    <row r="190" spans="1:6" ht="20.100000000000001" customHeight="1" x14ac:dyDescent="0.2">
      <c r="A190" s="202">
        <v>2</v>
      </c>
      <c r="B190" s="201" t="s">
        <v>427</v>
      </c>
      <c r="C190" s="198">
        <v>14489</v>
      </c>
      <c r="D190" s="198">
        <v>13668</v>
      </c>
      <c r="E190" s="198">
        <v>15938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16013</v>
      </c>
      <c r="D191" s="198">
        <f>+D190+D189</f>
        <v>15265</v>
      </c>
      <c r="E191" s="198">
        <f>+E190+E189</f>
        <v>17658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FILING&amp;RESSENT-SHARON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71093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25232</v>
      </c>
      <c r="E14" s="237">
        <f t="shared" ref="E14:E24" si="0">D14-C14</f>
        <v>25232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16798</v>
      </c>
      <c r="E15" s="237">
        <f t="shared" si="0"/>
        <v>16798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56193</v>
      </c>
      <c r="E16" s="237">
        <f t="shared" si="0"/>
        <v>56193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10953</v>
      </c>
      <c r="E17" s="237">
        <f t="shared" si="0"/>
        <v>10953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2</v>
      </c>
      <c r="E18" s="239">
        <f t="shared" si="0"/>
        <v>2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4</v>
      </c>
      <c r="E19" s="239">
        <f t="shared" si="0"/>
        <v>4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43</v>
      </c>
      <c r="E20" s="239">
        <f t="shared" si="0"/>
        <v>43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2</v>
      </c>
      <c r="E21" s="239">
        <f t="shared" si="0"/>
        <v>2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0</v>
      </c>
      <c r="D23" s="243">
        <f>+D14+D16</f>
        <v>81425</v>
      </c>
      <c r="E23" s="243">
        <f t="shared" si="0"/>
        <v>81425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0</v>
      </c>
      <c r="D24" s="243">
        <f>+D15+D17</f>
        <v>27751</v>
      </c>
      <c r="E24" s="243">
        <f t="shared" si="0"/>
        <v>27751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86606</v>
      </c>
      <c r="D40" s="237">
        <v>86411</v>
      </c>
      <c r="E40" s="237">
        <f t="shared" ref="E40:E50" si="4">D40-C40</f>
        <v>-195</v>
      </c>
      <c r="F40" s="238">
        <f t="shared" ref="F40:F50" si="5">IF(C40=0,0,E40/C40)</f>
        <v>-2.2515761032722908E-3</v>
      </c>
    </row>
    <row r="41" spans="1:6" ht="20.25" customHeight="1" x14ac:dyDescent="0.3">
      <c r="A41" s="235">
        <v>2</v>
      </c>
      <c r="B41" s="236" t="s">
        <v>435</v>
      </c>
      <c r="C41" s="237">
        <v>51664</v>
      </c>
      <c r="D41" s="237">
        <v>35058</v>
      </c>
      <c r="E41" s="237">
        <f t="shared" si="4"/>
        <v>-16606</v>
      </c>
      <c r="F41" s="238">
        <f t="shared" si="5"/>
        <v>-0.32142304118922266</v>
      </c>
    </row>
    <row r="42" spans="1:6" ht="20.25" customHeight="1" x14ac:dyDescent="0.3">
      <c r="A42" s="235">
        <v>3</v>
      </c>
      <c r="B42" s="236" t="s">
        <v>436</v>
      </c>
      <c r="C42" s="237">
        <v>102610</v>
      </c>
      <c r="D42" s="237">
        <v>207776</v>
      </c>
      <c r="E42" s="237">
        <f t="shared" si="4"/>
        <v>105166</v>
      </c>
      <c r="F42" s="238">
        <f t="shared" si="5"/>
        <v>1.0249098528408538</v>
      </c>
    </row>
    <row r="43" spans="1:6" ht="20.25" customHeight="1" x14ac:dyDescent="0.3">
      <c r="A43" s="235">
        <v>4</v>
      </c>
      <c r="B43" s="236" t="s">
        <v>437</v>
      </c>
      <c r="C43" s="237">
        <v>22067</v>
      </c>
      <c r="D43" s="237">
        <v>45861</v>
      </c>
      <c r="E43" s="237">
        <f t="shared" si="4"/>
        <v>23794</v>
      </c>
      <c r="F43" s="238">
        <f t="shared" si="5"/>
        <v>1.078261657678887</v>
      </c>
    </row>
    <row r="44" spans="1:6" ht="20.25" customHeight="1" x14ac:dyDescent="0.3">
      <c r="A44" s="235">
        <v>5</v>
      </c>
      <c r="B44" s="236" t="s">
        <v>373</v>
      </c>
      <c r="C44" s="239">
        <v>3</v>
      </c>
      <c r="D44" s="239">
        <v>5</v>
      </c>
      <c r="E44" s="239">
        <f t="shared" si="4"/>
        <v>2</v>
      </c>
      <c r="F44" s="238">
        <f t="shared" si="5"/>
        <v>0.66666666666666663</v>
      </c>
    </row>
    <row r="45" spans="1:6" ht="20.25" customHeight="1" x14ac:dyDescent="0.3">
      <c r="A45" s="235">
        <v>6</v>
      </c>
      <c r="B45" s="236" t="s">
        <v>372</v>
      </c>
      <c r="C45" s="239">
        <v>20</v>
      </c>
      <c r="D45" s="239">
        <v>28</v>
      </c>
      <c r="E45" s="239">
        <f t="shared" si="4"/>
        <v>8</v>
      </c>
      <c r="F45" s="238">
        <f t="shared" si="5"/>
        <v>0.4</v>
      </c>
    </row>
    <row r="46" spans="1:6" ht="20.25" customHeight="1" x14ac:dyDescent="0.3">
      <c r="A46" s="235">
        <v>7</v>
      </c>
      <c r="B46" s="236" t="s">
        <v>438</v>
      </c>
      <c r="C46" s="239">
        <v>121</v>
      </c>
      <c r="D46" s="239">
        <v>277</v>
      </c>
      <c r="E46" s="239">
        <f t="shared" si="4"/>
        <v>156</v>
      </c>
      <c r="F46" s="238">
        <f t="shared" si="5"/>
        <v>1.2892561983471074</v>
      </c>
    </row>
    <row r="47" spans="1:6" ht="20.25" customHeight="1" x14ac:dyDescent="0.3">
      <c r="A47" s="235">
        <v>8</v>
      </c>
      <c r="B47" s="236" t="s">
        <v>439</v>
      </c>
      <c r="C47" s="239">
        <v>7</v>
      </c>
      <c r="D47" s="239">
        <v>11</v>
      </c>
      <c r="E47" s="239">
        <f t="shared" si="4"/>
        <v>4</v>
      </c>
      <c r="F47" s="238">
        <f t="shared" si="5"/>
        <v>0.5714285714285714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189216</v>
      </c>
      <c r="D49" s="243">
        <f>+D40+D42</f>
        <v>294187</v>
      </c>
      <c r="E49" s="243">
        <f t="shared" si="4"/>
        <v>104971</v>
      </c>
      <c r="F49" s="244">
        <f t="shared" si="5"/>
        <v>0.55476809572129204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73731</v>
      </c>
      <c r="D50" s="243">
        <f>+D41+D43</f>
        <v>80919</v>
      </c>
      <c r="E50" s="243">
        <f t="shared" si="4"/>
        <v>7188</v>
      </c>
      <c r="F50" s="244">
        <f t="shared" si="5"/>
        <v>9.7489522724498512E-2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168458</v>
      </c>
      <c r="D53" s="237">
        <v>0</v>
      </c>
      <c r="E53" s="237">
        <f t="shared" ref="E53:E63" si="6">D53-C53</f>
        <v>-168458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435</v>
      </c>
      <c r="C54" s="237">
        <v>75954</v>
      </c>
      <c r="D54" s="237">
        <v>0</v>
      </c>
      <c r="E54" s="237">
        <f t="shared" si="6"/>
        <v>-75954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436</v>
      </c>
      <c r="C55" s="237">
        <v>76457</v>
      </c>
      <c r="D55" s="237">
        <v>18300</v>
      </c>
      <c r="E55" s="237">
        <f t="shared" si="6"/>
        <v>-58157</v>
      </c>
      <c r="F55" s="238">
        <f t="shared" si="7"/>
        <v>-0.76064977699883596</v>
      </c>
    </row>
    <row r="56" spans="1:6" ht="20.25" customHeight="1" x14ac:dyDescent="0.3">
      <c r="A56" s="235">
        <v>4</v>
      </c>
      <c r="B56" s="236" t="s">
        <v>437</v>
      </c>
      <c r="C56" s="237">
        <v>22045</v>
      </c>
      <c r="D56" s="237">
        <v>4351</v>
      </c>
      <c r="E56" s="237">
        <f t="shared" si="6"/>
        <v>-17694</v>
      </c>
      <c r="F56" s="238">
        <f t="shared" si="7"/>
        <v>-0.80263098208210482</v>
      </c>
    </row>
    <row r="57" spans="1:6" ht="20.25" customHeight="1" x14ac:dyDescent="0.3">
      <c r="A57" s="235">
        <v>5</v>
      </c>
      <c r="B57" s="236" t="s">
        <v>373</v>
      </c>
      <c r="C57" s="239">
        <v>8</v>
      </c>
      <c r="D57" s="239">
        <v>0</v>
      </c>
      <c r="E57" s="239">
        <f t="shared" si="6"/>
        <v>-8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372</v>
      </c>
      <c r="C58" s="239">
        <v>28</v>
      </c>
      <c r="D58" s="239">
        <v>0</v>
      </c>
      <c r="E58" s="239">
        <f t="shared" si="6"/>
        <v>-28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438</v>
      </c>
      <c r="C59" s="239">
        <v>70</v>
      </c>
      <c r="D59" s="239">
        <v>25</v>
      </c>
      <c r="E59" s="239">
        <f t="shared" si="6"/>
        <v>-45</v>
      </c>
      <c r="F59" s="238">
        <f t="shared" si="7"/>
        <v>-0.6428571428571429</v>
      </c>
    </row>
    <row r="60" spans="1:6" ht="20.25" customHeight="1" x14ac:dyDescent="0.3">
      <c r="A60" s="235">
        <v>8</v>
      </c>
      <c r="B60" s="236" t="s">
        <v>439</v>
      </c>
      <c r="C60" s="239">
        <v>6</v>
      </c>
      <c r="D60" s="239">
        <v>8</v>
      </c>
      <c r="E60" s="239">
        <f t="shared" si="6"/>
        <v>2</v>
      </c>
      <c r="F60" s="238">
        <f t="shared" si="7"/>
        <v>0.33333333333333331</v>
      </c>
    </row>
    <row r="61" spans="1:6" ht="20.25" customHeight="1" x14ac:dyDescent="0.3">
      <c r="A61" s="235">
        <v>9</v>
      </c>
      <c r="B61" s="236" t="s">
        <v>440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244915</v>
      </c>
      <c r="D62" s="243">
        <f>+D53+D55</f>
        <v>18300</v>
      </c>
      <c r="E62" s="243">
        <f t="shared" si="6"/>
        <v>-226615</v>
      </c>
      <c r="F62" s="244">
        <f t="shared" si="7"/>
        <v>-0.92528019925280203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97999</v>
      </c>
      <c r="D63" s="243">
        <f>+D54+D56</f>
        <v>4351</v>
      </c>
      <c r="E63" s="243">
        <f t="shared" si="6"/>
        <v>-93648</v>
      </c>
      <c r="F63" s="244">
        <f t="shared" si="7"/>
        <v>-0.95560158777130377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79735</v>
      </c>
      <c r="D66" s="237">
        <v>224496</v>
      </c>
      <c r="E66" s="237">
        <f t="shared" ref="E66:E76" si="8">D66-C66</f>
        <v>144761</v>
      </c>
      <c r="F66" s="238">
        <f t="shared" ref="F66:F76" si="9">IF(C66=0,0,E66/C66)</f>
        <v>1.8155264313036934</v>
      </c>
    </row>
    <row r="67" spans="1:6" ht="20.25" customHeight="1" x14ac:dyDescent="0.3">
      <c r="A67" s="235">
        <v>2</v>
      </c>
      <c r="B67" s="236" t="s">
        <v>435</v>
      </c>
      <c r="C67" s="237">
        <v>45126</v>
      </c>
      <c r="D67" s="237">
        <v>102312</v>
      </c>
      <c r="E67" s="237">
        <f t="shared" si="8"/>
        <v>57186</v>
      </c>
      <c r="F67" s="238">
        <f t="shared" si="9"/>
        <v>1.2672516952532908</v>
      </c>
    </row>
    <row r="68" spans="1:6" ht="20.25" customHeight="1" x14ac:dyDescent="0.3">
      <c r="A68" s="235">
        <v>3</v>
      </c>
      <c r="B68" s="236" t="s">
        <v>436</v>
      </c>
      <c r="C68" s="237">
        <v>380121</v>
      </c>
      <c r="D68" s="237">
        <v>132011</v>
      </c>
      <c r="E68" s="237">
        <f t="shared" si="8"/>
        <v>-248110</v>
      </c>
      <c r="F68" s="238">
        <f t="shared" si="9"/>
        <v>-0.65271321500259127</v>
      </c>
    </row>
    <row r="69" spans="1:6" ht="20.25" customHeight="1" x14ac:dyDescent="0.3">
      <c r="A69" s="235">
        <v>4</v>
      </c>
      <c r="B69" s="236" t="s">
        <v>437</v>
      </c>
      <c r="C69" s="237">
        <v>77020</v>
      </c>
      <c r="D69" s="237">
        <v>27399</v>
      </c>
      <c r="E69" s="237">
        <f t="shared" si="8"/>
        <v>-49621</v>
      </c>
      <c r="F69" s="238">
        <f t="shared" si="9"/>
        <v>-0.64426123084913012</v>
      </c>
    </row>
    <row r="70" spans="1:6" ht="20.25" customHeight="1" x14ac:dyDescent="0.3">
      <c r="A70" s="235">
        <v>5</v>
      </c>
      <c r="B70" s="236" t="s">
        <v>373</v>
      </c>
      <c r="C70" s="239">
        <v>7</v>
      </c>
      <c r="D70" s="239">
        <v>10</v>
      </c>
      <c r="E70" s="239">
        <f t="shared" si="8"/>
        <v>3</v>
      </c>
      <c r="F70" s="238">
        <f t="shared" si="9"/>
        <v>0.42857142857142855</v>
      </c>
    </row>
    <row r="71" spans="1:6" ht="20.25" customHeight="1" x14ac:dyDescent="0.3">
      <c r="A71" s="235">
        <v>6</v>
      </c>
      <c r="B71" s="236" t="s">
        <v>372</v>
      </c>
      <c r="C71" s="239">
        <v>21</v>
      </c>
      <c r="D71" s="239">
        <v>49</v>
      </c>
      <c r="E71" s="239">
        <f t="shared" si="8"/>
        <v>28</v>
      </c>
      <c r="F71" s="238">
        <f t="shared" si="9"/>
        <v>1.3333333333333333</v>
      </c>
    </row>
    <row r="72" spans="1:6" ht="20.25" customHeight="1" x14ac:dyDescent="0.3">
      <c r="A72" s="235">
        <v>7</v>
      </c>
      <c r="B72" s="236" t="s">
        <v>438</v>
      </c>
      <c r="C72" s="239">
        <v>245</v>
      </c>
      <c r="D72" s="239">
        <v>156</v>
      </c>
      <c r="E72" s="239">
        <f t="shared" si="8"/>
        <v>-89</v>
      </c>
      <c r="F72" s="238">
        <f t="shared" si="9"/>
        <v>-0.36326530612244901</v>
      </c>
    </row>
    <row r="73" spans="1:6" ht="20.25" customHeight="1" x14ac:dyDescent="0.3">
      <c r="A73" s="235">
        <v>8</v>
      </c>
      <c r="B73" s="236" t="s">
        <v>439</v>
      </c>
      <c r="C73" s="239">
        <v>36</v>
      </c>
      <c r="D73" s="239">
        <v>29</v>
      </c>
      <c r="E73" s="239">
        <f t="shared" si="8"/>
        <v>-7</v>
      </c>
      <c r="F73" s="238">
        <f t="shared" si="9"/>
        <v>-0.19444444444444445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459856</v>
      </c>
      <c r="D75" s="243">
        <f>+D66+D68</f>
        <v>356507</v>
      </c>
      <c r="E75" s="243">
        <f t="shared" si="8"/>
        <v>-103349</v>
      </c>
      <c r="F75" s="244">
        <f t="shared" si="9"/>
        <v>-0.22474209317699453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122146</v>
      </c>
      <c r="D76" s="243">
        <f>+D67+D69</f>
        <v>129711</v>
      </c>
      <c r="E76" s="243">
        <f t="shared" si="8"/>
        <v>7565</v>
      </c>
      <c r="F76" s="244">
        <f t="shared" si="9"/>
        <v>6.193407888919817E-2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34636</v>
      </c>
      <c r="E79" s="237">
        <f t="shared" ref="E79:E89" si="10">D79-C79</f>
        <v>34636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18084</v>
      </c>
      <c r="E80" s="237">
        <f t="shared" si="10"/>
        <v>18084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8219</v>
      </c>
      <c r="D81" s="237">
        <v>3279</v>
      </c>
      <c r="E81" s="237">
        <f t="shared" si="10"/>
        <v>-4940</v>
      </c>
      <c r="F81" s="238">
        <f t="shared" si="11"/>
        <v>-0.60104635600438006</v>
      </c>
    </row>
    <row r="82" spans="1:6" ht="20.25" customHeight="1" x14ac:dyDescent="0.3">
      <c r="A82" s="235">
        <v>4</v>
      </c>
      <c r="B82" s="236" t="s">
        <v>437</v>
      </c>
      <c r="C82" s="237">
        <v>460</v>
      </c>
      <c r="D82" s="237">
        <v>856</v>
      </c>
      <c r="E82" s="237">
        <f t="shared" si="10"/>
        <v>396</v>
      </c>
      <c r="F82" s="238">
        <f t="shared" si="11"/>
        <v>0.86086956521739133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2</v>
      </c>
      <c r="E83" s="239">
        <f t="shared" si="10"/>
        <v>2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4</v>
      </c>
      <c r="E84" s="239">
        <f t="shared" si="10"/>
        <v>4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11</v>
      </c>
      <c r="E85" s="239">
        <f t="shared" si="10"/>
        <v>11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2</v>
      </c>
      <c r="D86" s="239">
        <v>5</v>
      </c>
      <c r="E86" s="239">
        <f t="shared" si="10"/>
        <v>3</v>
      </c>
      <c r="F86" s="238">
        <f t="shared" si="11"/>
        <v>1.5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8219</v>
      </c>
      <c r="D88" s="243">
        <f>+D79+D81</f>
        <v>37915</v>
      </c>
      <c r="E88" s="243">
        <f t="shared" si="10"/>
        <v>29696</v>
      </c>
      <c r="F88" s="244">
        <f t="shared" si="11"/>
        <v>3.6130916169850349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460</v>
      </c>
      <c r="D89" s="243">
        <f>+D80+D82</f>
        <v>18940</v>
      </c>
      <c r="E89" s="243">
        <f t="shared" si="10"/>
        <v>18480</v>
      </c>
      <c r="F89" s="244">
        <f t="shared" si="11"/>
        <v>40.173913043478258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35195</v>
      </c>
      <c r="D105" s="237">
        <v>68045</v>
      </c>
      <c r="E105" s="237">
        <f t="shared" ref="E105:E115" si="14">D105-C105</f>
        <v>32850</v>
      </c>
      <c r="F105" s="238">
        <f t="shared" ref="F105:F115" si="15">IF(C105=0,0,E105/C105)</f>
        <v>0.93337121750248619</v>
      </c>
    </row>
    <row r="106" spans="1:6" ht="20.25" customHeight="1" x14ac:dyDescent="0.3">
      <c r="A106" s="235">
        <v>2</v>
      </c>
      <c r="B106" s="236" t="s">
        <v>435</v>
      </c>
      <c r="C106" s="237">
        <v>13317</v>
      </c>
      <c r="D106" s="237">
        <v>57372</v>
      </c>
      <c r="E106" s="237">
        <f t="shared" si="14"/>
        <v>44055</v>
      </c>
      <c r="F106" s="238">
        <f t="shared" si="15"/>
        <v>3.308177517458887</v>
      </c>
    </row>
    <row r="107" spans="1:6" ht="20.25" customHeight="1" x14ac:dyDescent="0.3">
      <c r="A107" s="235">
        <v>3</v>
      </c>
      <c r="B107" s="236" t="s">
        <v>436</v>
      </c>
      <c r="C107" s="237">
        <v>29784</v>
      </c>
      <c r="D107" s="237">
        <v>18609</v>
      </c>
      <c r="E107" s="237">
        <f t="shared" si="14"/>
        <v>-11175</v>
      </c>
      <c r="F107" s="238">
        <f t="shared" si="15"/>
        <v>-0.37520145044319098</v>
      </c>
    </row>
    <row r="108" spans="1:6" ht="20.25" customHeight="1" x14ac:dyDescent="0.3">
      <c r="A108" s="235">
        <v>4</v>
      </c>
      <c r="B108" s="236" t="s">
        <v>437</v>
      </c>
      <c r="C108" s="237">
        <v>6238</v>
      </c>
      <c r="D108" s="237">
        <v>3907</v>
      </c>
      <c r="E108" s="237">
        <f t="shared" si="14"/>
        <v>-2331</v>
      </c>
      <c r="F108" s="238">
        <f t="shared" si="15"/>
        <v>-0.37367746072459124</v>
      </c>
    </row>
    <row r="109" spans="1:6" ht="20.25" customHeight="1" x14ac:dyDescent="0.3">
      <c r="A109" s="235">
        <v>5</v>
      </c>
      <c r="B109" s="236" t="s">
        <v>373</v>
      </c>
      <c r="C109" s="239">
        <v>2</v>
      </c>
      <c r="D109" s="239">
        <v>3</v>
      </c>
      <c r="E109" s="239">
        <f t="shared" si="14"/>
        <v>1</v>
      </c>
      <c r="F109" s="238">
        <f t="shared" si="15"/>
        <v>0.5</v>
      </c>
    </row>
    <row r="110" spans="1:6" ht="20.25" customHeight="1" x14ac:dyDescent="0.3">
      <c r="A110" s="235">
        <v>6</v>
      </c>
      <c r="B110" s="236" t="s">
        <v>372</v>
      </c>
      <c r="C110" s="239">
        <v>6</v>
      </c>
      <c r="D110" s="239">
        <v>13</v>
      </c>
      <c r="E110" s="239">
        <f t="shared" si="14"/>
        <v>7</v>
      </c>
      <c r="F110" s="238">
        <f t="shared" si="15"/>
        <v>1.1666666666666667</v>
      </c>
    </row>
    <row r="111" spans="1:6" ht="20.25" customHeight="1" x14ac:dyDescent="0.3">
      <c r="A111" s="235">
        <v>7</v>
      </c>
      <c r="B111" s="236" t="s">
        <v>438</v>
      </c>
      <c r="C111" s="239">
        <v>7</v>
      </c>
      <c r="D111" s="239">
        <v>11</v>
      </c>
      <c r="E111" s="239">
        <f t="shared" si="14"/>
        <v>4</v>
      </c>
      <c r="F111" s="238">
        <f t="shared" si="15"/>
        <v>0.5714285714285714</v>
      </c>
    </row>
    <row r="112" spans="1:6" ht="20.25" customHeight="1" x14ac:dyDescent="0.3">
      <c r="A112" s="235">
        <v>8</v>
      </c>
      <c r="B112" s="236" t="s">
        <v>439</v>
      </c>
      <c r="C112" s="239">
        <v>5</v>
      </c>
      <c r="D112" s="239">
        <v>11</v>
      </c>
      <c r="E112" s="239">
        <f t="shared" si="14"/>
        <v>6</v>
      </c>
      <c r="F112" s="238">
        <f t="shared" si="15"/>
        <v>1.2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64979</v>
      </c>
      <c r="D114" s="243">
        <f>+D105+D107</f>
        <v>86654</v>
      </c>
      <c r="E114" s="243">
        <f t="shared" si="14"/>
        <v>21675</v>
      </c>
      <c r="F114" s="244">
        <f t="shared" si="15"/>
        <v>0.33356930700687915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19555</v>
      </c>
      <c r="D115" s="243">
        <f>+D106+D108</f>
        <v>61279</v>
      </c>
      <c r="E115" s="243">
        <f t="shared" si="14"/>
        <v>41724</v>
      </c>
      <c r="F115" s="244">
        <f t="shared" si="15"/>
        <v>2.1336742521094347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40885</v>
      </c>
      <c r="D118" s="237">
        <v>31483</v>
      </c>
      <c r="E118" s="237">
        <f t="shared" ref="E118:E128" si="16">D118-C118</f>
        <v>-9402</v>
      </c>
      <c r="F118" s="238">
        <f t="shared" ref="F118:F128" si="17">IF(C118=0,0,E118/C118)</f>
        <v>-0.22996208878561819</v>
      </c>
    </row>
    <row r="119" spans="1:6" ht="20.25" customHeight="1" x14ac:dyDescent="0.3">
      <c r="A119" s="235">
        <v>2</v>
      </c>
      <c r="B119" s="236" t="s">
        <v>435</v>
      </c>
      <c r="C119" s="237">
        <v>16012</v>
      </c>
      <c r="D119" s="237">
        <v>29003</v>
      </c>
      <c r="E119" s="237">
        <f t="shared" si="16"/>
        <v>12991</v>
      </c>
      <c r="F119" s="238">
        <f t="shared" si="17"/>
        <v>0.8113290032475643</v>
      </c>
    </row>
    <row r="120" spans="1:6" ht="20.25" customHeight="1" x14ac:dyDescent="0.3">
      <c r="A120" s="235">
        <v>3</v>
      </c>
      <c r="B120" s="236" t="s">
        <v>436</v>
      </c>
      <c r="C120" s="237">
        <v>95304</v>
      </c>
      <c r="D120" s="237">
        <v>55342</v>
      </c>
      <c r="E120" s="237">
        <f t="shared" si="16"/>
        <v>-39962</v>
      </c>
      <c r="F120" s="238">
        <f t="shared" si="17"/>
        <v>-0.41931083690086463</v>
      </c>
    </row>
    <row r="121" spans="1:6" ht="20.25" customHeight="1" x14ac:dyDescent="0.3">
      <c r="A121" s="235">
        <v>4</v>
      </c>
      <c r="B121" s="236" t="s">
        <v>437</v>
      </c>
      <c r="C121" s="237">
        <v>24200</v>
      </c>
      <c r="D121" s="237">
        <v>13387</v>
      </c>
      <c r="E121" s="237">
        <f t="shared" si="16"/>
        <v>-10813</v>
      </c>
      <c r="F121" s="238">
        <f t="shared" si="17"/>
        <v>-0.44681818181818184</v>
      </c>
    </row>
    <row r="122" spans="1:6" ht="20.25" customHeight="1" x14ac:dyDescent="0.3">
      <c r="A122" s="235">
        <v>5</v>
      </c>
      <c r="B122" s="236" t="s">
        <v>373</v>
      </c>
      <c r="C122" s="239">
        <v>3</v>
      </c>
      <c r="D122" s="239">
        <v>3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15</v>
      </c>
      <c r="D123" s="239">
        <v>10</v>
      </c>
      <c r="E123" s="239">
        <f t="shared" si="16"/>
        <v>-5</v>
      </c>
      <c r="F123" s="238">
        <f t="shared" si="17"/>
        <v>-0.33333333333333331</v>
      </c>
    </row>
    <row r="124" spans="1:6" ht="20.25" customHeight="1" x14ac:dyDescent="0.3">
      <c r="A124" s="235">
        <v>7</v>
      </c>
      <c r="B124" s="236" t="s">
        <v>438</v>
      </c>
      <c r="C124" s="239">
        <v>81</v>
      </c>
      <c r="D124" s="239">
        <v>96</v>
      </c>
      <c r="E124" s="239">
        <f t="shared" si="16"/>
        <v>15</v>
      </c>
      <c r="F124" s="238">
        <f t="shared" si="17"/>
        <v>0.18518518518518517</v>
      </c>
    </row>
    <row r="125" spans="1:6" ht="20.25" customHeight="1" x14ac:dyDescent="0.3">
      <c r="A125" s="235">
        <v>8</v>
      </c>
      <c r="B125" s="236" t="s">
        <v>439</v>
      </c>
      <c r="C125" s="239">
        <v>8</v>
      </c>
      <c r="D125" s="239">
        <v>8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136189</v>
      </c>
      <c r="D127" s="243">
        <f>+D118+D120</f>
        <v>86825</v>
      </c>
      <c r="E127" s="243">
        <f t="shared" si="16"/>
        <v>-49364</v>
      </c>
      <c r="F127" s="244">
        <f t="shared" si="17"/>
        <v>-0.36246686589959543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40212</v>
      </c>
      <c r="D128" s="243">
        <f>+D119+D121</f>
        <v>42390</v>
      </c>
      <c r="E128" s="243">
        <f t="shared" si="16"/>
        <v>2178</v>
      </c>
      <c r="F128" s="244">
        <f t="shared" si="17"/>
        <v>5.416293643688451E-2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86881</v>
      </c>
      <c r="D133" s="237">
        <v>119033</v>
      </c>
      <c r="E133" s="237">
        <f t="shared" si="18"/>
        <v>32152</v>
      </c>
      <c r="F133" s="238">
        <f t="shared" si="19"/>
        <v>0.37006940527848436</v>
      </c>
    </row>
    <row r="134" spans="1:6" ht="20.25" customHeight="1" x14ac:dyDescent="0.3">
      <c r="A134" s="235">
        <v>4</v>
      </c>
      <c r="B134" s="236" t="s">
        <v>437</v>
      </c>
      <c r="C134" s="237">
        <v>21131</v>
      </c>
      <c r="D134" s="237">
        <v>45307</v>
      </c>
      <c r="E134" s="237">
        <f t="shared" si="18"/>
        <v>24176</v>
      </c>
      <c r="F134" s="238">
        <f t="shared" si="19"/>
        <v>1.1441010837158676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30</v>
      </c>
      <c r="D137" s="239">
        <v>32</v>
      </c>
      <c r="E137" s="239">
        <f t="shared" si="18"/>
        <v>2</v>
      </c>
      <c r="F137" s="238">
        <f t="shared" si="19"/>
        <v>6.6666666666666666E-2</v>
      </c>
    </row>
    <row r="138" spans="1:6" ht="20.25" customHeight="1" x14ac:dyDescent="0.3">
      <c r="A138" s="235">
        <v>8</v>
      </c>
      <c r="B138" s="236" t="s">
        <v>439</v>
      </c>
      <c r="C138" s="239">
        <v>6</v>
      </c>
      <c r="D138" s="239">
        <v>3</v>
      </c>
      <c r="E138" s="239">
        <f t="shared" si="18"/>
        <v>-3</v>
      </c>
      <c r="F138" s="238">
        <f t="shared" si="19"/>
        <v>-0.5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86881</v>
      </c>
      <c r="D140" s="243">
        <f>+D131+D133</f>
        <v>119033</v>
      </c>
      <c r="E140" s="243">
        <f t="shared" si="18"/>
        <v>32152</v>
      </c>
      <c r="F140" s="244">
        <f t="shared" si="19"/>
        <v>0.37006940527848436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21131</v>
      </c>
      <c r="D141" s="243">
        <f>+D132+D134</f>
        <v>45307</v>
      </c>
      <c r="E141" s="243">
        <f t="shared" si="18"/>
        <v>24176</v>
      </c>
      <c r="F141" s="244">
        <f t="shared" si="19"/>
        <v>1.1441010837158676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376071</v>
      </c>
      <c r="D183" s="237">
        <v>406850</v>
      </c>
      <c r="E183" s="237">
        <f t="shared" ref="E183:E193" si="26">D183-C183</f>
        <v>30779</v>
      </c>
      <c r="F183" s="238">
        <f t="shared" ref="F183:F193" si="27">IF(C183=0,0,E183/C183)</f>
        <v>8.1843588045874313E-2</v>
      </c>
    </row>
    <row r="184" spans="1:6" ht="20.25" customHeight="1" x14ac:dyDescent="0.3">
      <c r="A184" s="235">
        <v>2</v>
      </c>
      <c r="B184" s="236" t="s">
        <v>435</v>
      </c>
      <c r="C184" s="237">
        <v>162140</v>
      </c>
      <c r="D184" s="237">
        <v>180754</v>
      </c>
      <c r="E184" s="237">
        <f t="shared" si="26"/>
        <v>18614</v>
      </c>
      <c r="F184" s="238">
        <f t="shared" si="27"/>
        <v>0.11480202294313556</v>
      </c>
    </row>
    <row r="185" spans="1:6" ht="20.25" customHeight="1" x14ac:dyDescent="0.3">
      <c r="A185" s="235">
        <v>3</v>
      </c>
      <c r="B185" s="236" t="s">
        <v>436</v>
      </c>
      <c r="C185" s="237">
        <v>178489</v>
      </c>
      <c r="D185" s="237">
        <v>517293</v>
      </c>
      <c r="E185" s="237">
        <f t="shared" si="26"/>
        <v>338804</v>
      </c>
      <c r="F185" s="238">
        <f t="shared" si="27"/>
        <v>1.8981785992414097</v>
      </c>
    </row>
    <row r="186" spans="1:6" ht="20.25" customHeight="1" x14ac:dyDescent="0.3">
      <c r="A186" s="235">
        <v>4</v>
      </c>
      <c r="B186" s="236" t="s">
        <v>437</v>
      </c>
      <c r="C186" s="237">
        <v>43729</v>
      </c>
      <c r="D186" s="237">
        <v>111457</v>
      </c>
      <c r="E186" s="237">
        <f t="shared" si="26"/>
        <v>67728</v>
      </c>
      <c r="F186" s="238">
        <f t="shared" si="27"/>
        <v>1.5488120011891422</v>
      </c>
    </row>
    <row r="187" spans="1:6" ht="20.25" customHeight="1" x14ac:dyDescent="0.3">
      <c r="A187" s="235">
        <v>5</v>
      </c>
      <c r="B187" s="236" t="s">
        <v>373</v>
      </c>
      <c r="C187" s="239">
        <v>16</v>
      </c>
      <c r="D187" s="239">
        <v>20</v>
      </c>
      <c r="E187" s="239">
        <f t="shared" si="26"/>
        <v>4</v>
      </c>
      <c r="F187" s="238">
        <f t="shared" si="27"/>
        <v>0.25</v>
      </c>
    </row>
    <row r="188" spans="1:6" ht="20.25" customHeight="1" x14ac:dyDescent="0.3">
      <c r="A188" s="235">
        <v>6</v>
      </c>
      <c r="B188" s="236" t="s">
        <v>372</v>
      </c>
      <c r="C188" s="239">
        <v>67</v>
      </c>
      <c r="D188" s="239">
        <v>109</v>
      </c>
      <c r="E188" s="239">
        <f t="shared" si="26"/>
        <v>42</v>
      </c>
      <c r="F188" s="238">
        <f t="shared" si="27"/>
        <v>0.62686567164179108</v>
      </c>
    </row>
    <row r="189" spans="1:6" ht="20.25" customHeight="1" x14ac:dyDescent="0.3">
      <c r="A189" s="235">
        <v>7</v>
      </c>
      <c r="B189" s="236" t="s">
        <v>438</v>
      </c>
      <c r="C189" s="239">
        <v>408</v>
      </c>
      <c r="D189" s="239">
        <v>848</v>
      </c>
      <c r="E189" s="239">
        <f t="shared" si="26"/>
        <v>440</v>
      </c>
      <c r="F189" s="238">
        <f t="shared" si="27"/>
        <v>1.0784313725490196</v>
      </c>
    </row>
    <row r="190" spans="1:6" ht="20.25" customHeight="1" x14ac:dyDescent="0.3">
      <c r="A190" s="235">
        <v>8</v>
      </c>
      <c r="B190" s="236" t="s">
        <v>439</v>
      </c>
      <c r="C190" s="239">
        <v>18</v>
      </c>
      <c r="D190" s="239">
        <v>56</v>
      </c>
      <c r="E190" s="239">
        <f t="shared" si="26"/>
        <v>38</v>
      </c>
      <c r="F190" s="238">
        <f t="shared" si="27"/>
        <v>2.1111111111111112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554560</v>
      </c>
      <c r="D192" s="243">
        <f>+D183+D185</f>
        <v>924143</v>
      </c>
      <c r="E192" s="243">
        <f t="shared" si="26"/>
        <v>369583</v>
      </c>
      <c r="F192" s="244">
        <f t="shared" si="27"/>
        <v>0.66644366705135605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205869</v>
      </c>
      <c r="D193" s="243">
        <f>+D184+D186</f>
        <v>292211</v>
      </c>
      <c r="E193" s="243">
        <f t="shared" si="26"/>
        <v>86342</v>
      </c>
      <c r="F193" s="244">
        <f t="shared" si="27"/>
        <v>0.41940262982770599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786950</v>
      </c>
      <c r="D198" s="243">
        <f t="shared" si="28"/>
        <v>877153</v>
      </c>
      <c r="E198" s="243">
        <f t="shared" ref="E198:E208" si="29">D198-C198</f>
        <v>90203</v>
      </c>
      <c r="F198" s="251">
        <f t="shared" ref="F198:F208" si="30">IF(C198=0,0,E198/C198)</f>
        <v>0.11462354660397737</v>
      </c>
    </row>
    <row r="199" spans="1:9" ht="20.25" customHeight="1" x14ac:dyDescent="0.3">
      <c r="A199" s="249"/>
      <c r="B199" s="250" t="s">
        <v>461</v>
      </c>
      <c r="C199" s="243">
        <f t="shared" si="28"/>
        <v>364213</v>
      </c>
      <c r="D199" s="243">
        <f t="shared" si="28"/>
        <v>439381</v>
      </c>
      <c r="E199" s="243">
        <f t="shared" si="29"/>
        <v>75168</v>
      </c>
      <c r="F199" s="251">
        <f t="shared" si="30"/>
        <v>0.20638472542166258</v>
      </c>
    </row>
    <row r="200" spans="1:9" ht="20.25" customHeight="1" x14ac:dyDescent="0.3">
      <c r="A200" s="249"/>
      <c r="B200" s="250" t="s">
        <v>462</v>
      </c>
      <c r="C200" s="243">
        <f t="shared" si="28"/>
        <v>957865</v>
      </c>
      <c r="D200" s="243">
        <f t="shared" si="28"/>
        <v>1127836</v>
      </c>
      <c r="E200" s="243">
        <f t="shared" si="29"/>
        <v>169971</v>
      </c>
      <c r="F200" s="251">
        <f t="shared" si="30"/>
        <v>0.17744776142775862</v>
      </c>
    </row>
    <row r="201" spans="1:9" ht="20.25" customHeight="1" x14ac:dyDescent="0.3">
      <c r="A201" s="249"/>
      <c r="B201" s="250" t="s">
        <v>463</v>
      </c>
      <c r="C201" s="243">
        <f t="shared" si="28"/>
        <v>216890</v>
      </c>
      <c r="D201" s="243">
        <f t="shared" si="28"/>
        <v>263478</v>
      </c>
      <c r="E201" s="243">
        <f t="shared" si="29"/>
        <v>46588</v>
      </c>
      <c r="F201" s="251">
        <f t="shared" si="30"/>
        <v>0.2148001290976993</v>
      </c>
    </row>
    <row r="202" spans="1:9" ht="20.25" customHeight="1" x14ac:dyDescent="0.3">
      <c r="A202" s="249"/>
      <c r="B202" s="250" t="s">
        <v>464</v>
      </c>
      <c r="C202" s="252">
        <f t="shared" si="28"/>
        <v>39</v>
      </c>
      <c r="D202" s="252">
        <f t="shared" si="28"/>
        <v>45</v>
      </c>
      <c r="E202" s="252">
        <f t="shared" si="29"/>
        <v>6</v>
      </c>
      <c r="F202" s="251">
        <f t="shared" si="30"/>
        <v>0.15384615384615385</v>
      </c>
    </row>
    <row r="203" spans="1:9" ht="20.25" customHeight="1" x14ac:dyDescent="0.3">
      <c r="A203" s="249"/>
      <c r="B203" s="250" t="s">
        <v>465</v>
      </c>
      <c r="C203" s="252">
        <f t="shared" si="28"/>
        <v>157</v>
      </c>
      <c r="D203" s="252">
        <f t="shared" si="28"/>
        <v>217</v>
      </c>
      <c r="E203" s="252">
        <f t="shared" si="29"/>
        <v>60</v>
      </c>
      <c r="F203" s="251">
        <f t="shared" si="30"/>
        <v>0.38216560509554143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962</v>
      </c>
      <c r="D204" s="252">
        <f t="shared" si="28"/>
        <v>1499</v>
      </c>
      <c r="E204" s="252">
        <f t="shared" si="29"/>
        <v>537</v>
      </c>
      <c r="F204" s="251">
        <f t="shared" si="30"/>
        <v>0.55821205821205822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88</v>
      </c>
      <c r="D205" s="252">
        <f t="shared" si="28"/>
        <v>133</v>
      </c>
      <c r="E205" s="252">
        <f t="shared" si="29"/>
        <v>45</v>
      </c>
      <c r="F205" s="251">
        <f t="shared" si="30"/>
        <v>0.51136363636363635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469</v>
      </c>
      <c r="C207" s="243">
        <f>+C198+C200</f>
        <v>1744815</v>
      </c>
      <c r="D207" s="243">
        <f>+D198+D200</f>
        <v>2004989</v>
      </c>
      <c r="E207" s="243">
        <f t="shared" si="29"/>
        <v>260174</v>
      </c>
      <c r="F207" s="251">
        <f t="shared" si="30"/>
        <v>0.14911265664268131</v>
      </c>
    </row>
    <row r="208" spans="1:9" ht="20.25" customHeight="1" x14ac:dyDescent="0.3">
      <c r="A208" s="249"/>
      <c r="B208" s="242" t="s">
        <v>470</v>
      </c>
      <c r="C208" s="243">
        <f>+C199+C201</f>
        <v>581103</v>
      </c>
      <c r="D208" s="243">
        <f>+D199+D201</f>
        <v>702859</v>
      </c>
      <c r="E208" s="243">
        <f t="shared" si="29"/>
        <v>121756</v>
      </c>
      <c r="F208" s="251">
        <f t="shared" si="30"/>
        <v>0.20952567789187115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FILING&amp;RESSENT-SHARON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551234</v>
      </c>
      <c r="D26" s="237">
        <v>781602</v>
      </c>
      <c r="E26" s="237">
        <f t="shared" ref="E26:E36" si="2">D26-C26</f>
        <v>230368</v>
      </c>
      <c r="F26" s="238">
        <f t="shared" ref="F26:F36" si="3">IF(C26=0,0,E26/C26)</f>
        <v>0.41791326369563558</v>
      </c>
    </row>
    <row r="27" spans="1:6" ht="20.25" customHeight="1" x14ac:dyDescent="0.3">
      <c r="A27" s="235">
        <v>2</v>
      </c>
      <c r="B27" s="236" t="s">
        <v>435</v>
      </c>
      <c r="C27" s="237">
        <v>211834</v>
      </c>
      <c r="D27" s="237">
        <v>192418</v>
      </c>
      <c r="E27" s="237">
        <f t="shared" si="2"/>
        <v>-19416</v>
      </c>
      <c r="F27" s="238">
        <f t="shared" si="3"/>
        <v>-9.1656674565933696E-2</v>
      </c>
    </row>
    <row r="28" spans="1:6" ht="20.25" customHeight="1" x14ac:dyDescent="0.3">
      <c r="A28" s="235">
        <v>3</v>
      </c>
      <c r="B28" s="236" t="s">
        <v>436</v>
      </c>
      <c r="C28" s="237">
        <v>1244143</v>
      </c>
      <c r="D28" s="237">
        <v>1359252</v>
      </c>
      <c r="E28" s="237">
        <f t="shared" si="2"/>
        <v>115109</v>
      </c>
      <c r="F28" s="238">
        <f t="shared" si="3"/>
        <v>9.2520715062496831E-2</v>
      </c>
    </row>
    <row r="29" spans="1:6" ht="20.25" customHeight="1" x14ac:dyDescent="0.3">
      <c r="A29" s="235">
        <v>4</v>
      </c>
      <c r="B29" s="236" t="s">
        <v>437</v>
      </c>
      <c r="C29" s="237">
        <v>339878</v>
      </c>
      <c r="D29" s="237">
        <v>349871</v>
      </c>
      <c r="E29" s="237">
        <f t="shared" si="2"/>
        <v>9993</v>
      </c>
      <c r="F29" s="238">
        <f t="shared" si="3"/>
        <v>2.9401726501862433E-2</v>
      </c>
    </row>
    <row r="30" spans="1:6" ht="20.25" customHeight="1" x14ac:dyDescent="0.3">
      <c r="A30" s="235">
        <v>5</v>
      </c>
      <c r="B30" s="236" t="s">
        <v>373</v>
      </c>
      <c r="C30" s="239">
        <v>62</v>
      </c>
      <c r="D30" s="239">
        <v>65</v>
      </c>
      <c r="E30" s="239">
        <f t="shared" si="2"/>
        <v>3</v>
      </c>
      <c r="F30" s="238">
        <f t="shared" si="3"/>
        <v>4.8387096774193547E-2</v>
      </c>
    </row>
    <row r="31" spans="1:6" ht="20.25" customHeight="1" x14ac:dyDescent="0.3">
      <c r="A31" s="235">
        <v>6</v>
      </c>
      <c r="B31" s="236" t="s">
        <v>372</v>
      </c>
      <c r="C31" s="239">
        <v>155</v>
      </c>
      <c r="D31" s="239">
        <v>157</v>
      </c>
      <c r="E31" s="239">
        <f t="shared" si="2"/>
        <v>2</v>
      </c>
      <c r="F31" s="238">
        <f t="shared" si="3"/>
        <v>1.2903225806451613E-2</v>
      </c>
    </row>
    <row r="32" spans="1:6" ht="20.25" customHeight="1" x14ac:dyDescent="0.3">
      <c r="A32" s="235">
        <v>7</v>
      </c>
      <c r="B32" s="236" t="s">
        <v>438</v>
      </c>
      <c r="C32" s="239">
        <v>989</v>
      </c>
      <c r="D32" s="239">
        <v>1035</v>
      </c>
      <c r="E32" s="239">
        <f t="shared" si="2"/>
        <v>46</v>
      </c>
      <c r="F32" s="238">
        <f t="shared" si="3"/>
        <v>4.6511627906976744E-2</v>
      </c>
    </row>
    <row r="33" spans="1:6" ht="20.25" customHeight="1" x14ac:dyDescent="0.3">
      <c r="A33" s="235">
        <v>8</v>
      </c>
      <c r="B33" s="236" t="s">
        <v>439</v>
      </c>
      <c r="C33" s="239">
        <v>458</v>
      </c>
      <c r="D33" s="239">
        <v>575</v>
      </c>
      <c r="E33" s="239">
        <f t="shared" si="2"/>
        <v>117</v>
      </c>
      <c r="F33" s="238">
        <f t="shared" si="3"/>
        <v>0.25545851528384278</v>
      </c>
    </row>
    <row r="34" spans="1:6" ht="20.25" customHeight="1" x14ac:dyDescent="0.3">
      <c r="A34" s="235">
        <v>9</v>
      </c>
      <c r="B34" s="236" t="s">
        <v>440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1795377</v>
      </c>
      <c r="D35" s="243">
        <f>+D26+D28</f>
        <v>2140854</v>
      </c>
      <c r="E35" s="243">
        <f t="shared" si="2"/>
        <v>345477</v>
      </c>
      <c r="F35" s="244">
        <f t="shared" si="3"/>
        <v>0.19242588046967293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551712</v>
      </c>
      <c r="D36" s="243">
        <f>+D27+D29</f>
        <v>542289</v>
      </c>
      <c r="E36" s="243">
        <f t="shared" si="2"/>
        <v>-9423</v>
      </c>
      <c r="F36" s="244">
        <f t="shared" si="3"/>
        <v>-1.7079563250391509E-2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9125</v>
      </c>
      <c r="D40" s="237">
        <v>543</v>
      </c>
      <c r="E40" s="237">
        <f t="shared" si="4"/>
        <v>-8582</v>
      </c>
      <c r="F40" s="238">
        <f t="shared" si="5"/>
        <v>-0.94049315068493156</v>
      </c>
    </row>
    <row r="41" spans="1:6" ht="20.25" customHeight="1" x14ac:dyDescent="0.3">
      <c r="A41" s="235">
        <v>4</v>
      </c>
      <c r="B41" s="236" t="s">
        <v>437</v>
      </c>
      <c r="C41" s="237">
        <v>4974</v>
      </c>
      <c r="D41" s="237">
        <v>0</v>
      </c>
      <c r="E41" s="237">
        <f t="shared" si="4"/>
        <v>-4974</v>
      </c>
      <c r="F41" s="238">
        <f t="shared" si="5"/>
        <v>-1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4</v>
      </c>
      <c r="D44" s="239">
        <v>0</v>
      </c>
      <c r="E44" s="239">
        <f t="shared" si="4"/>
        <v>-4</v>
      </c>
      <c r="F44" s="238">
        <f t="shared" si="5"/>
        <v>-1</v>
      </c>
    </row>
    <row r="45" spans="1:6" ht="20.25" customHeight="1" x14ac:dyDescent="0.3">
      <c r="A45" s="235">
        <v>8</v>
      </c>
      <c r="B45" s="236" t="s">
        <v>439</v>
      </c>
      <c r="C45" s="239">
        <v>5</v>
      </c>
      <c r="D45" s="239">
        <v>1</v>
      </c>
      <c r="E45" s="239">
        <f t="shared" si="4"/>
        <v>-4</v>
      </c>
      <c r="F45" s="238">
        <f t="shared" si="5"/>
        <v>-0.8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9125</v>
      </c>
      <c r="D47" s="243">
        <f>+D38+D40</f>
        <v>543</v>
      </c>
      <c r="E47" s="243">
        <f t="shared" si="4"/>
        <v>-8582</v>
      </c>
      <c r="F47" s="244">
        <f t="shared" si="5"/>
        <v>-0.94049315068493156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4974</v>
      </c>
      <c r="D48" s="243">
        <f>+D39+D41</f>
        <v>0</v>
      </c>
      <c r="E48" s="243">
        <f t="shared" si="4"/>
        <v>-4974</v>
      </c>
      <c r="F48" s="244">
        <f t="shared" si="5"/>
        <v>-1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858379</v>
      </c>
      <c r="D50" s="237">
        <v>897619</v>
      </c>
      <c r="E50" s="237">
        <f t="shared" ref="E50:E60" si="6">D50-C50</f>
        <v>39240</v>
      </c>
      <c r="F50" s="238">
        <f t="shared" ref="F50:F60" si="7">IF(C50=0,0,E50/C50)</f>
        <v>4.5714072688171542E-2</v>
      </c>
    </row>
    <row r="51" spans="1:6" ht="20.25" customHeight="1" x14ac:dyDescent="0.3">
      <c r="A51" s="235">
        <v>2</v>
      </c>
      <c r="B51" s="236" t="s">
        <v>435</v>
      </c>
      <c r="C51" s="237">
        <v>312991</v>
      </c>
      <c r="D51" s="237">
        <v>295375</v>
      </c>
      <c r="E51" s="237">
        <f t="shared" si="6"/>
        <v>-17616</v>
      </c>
      <c r="F51" s="238">
        <f t="shared" si="7"/>
        <v>-5.6282768514110626E-2</v>
      </c>
    </row>
    <row r="52" spans="1:6" ht="20.25" customHeight="1" x14ac:dyDescent="0.3">
      <c r="A52" s="235">
        <v>3</v>
      </c>
      <c r="B52" s="236" t="s">
        <v>436</v>
      </c>
      <c r="C52" s="237">
        <v>470810</v>
      </c>
      <c r="D52" s="237">
        <v>597363</v>
      </c>
      <c r="E52" s="237">
        <f t="shared" si="6"/>
        <v>126553</v>
      </c>
      <c r="F52" s="238">
        <f t="shared" si="7"/>
        <v>0.26879845372868039</v>
      </c>
    </row>
    <row r="53" spans="1:6" ht="20.25" customHeight="1" x14ac:dyDescent="0.3">
      <c r="A53" s="235">
        <v>4</v>
      </c>
      <c r="B53" s="236" t="s">
        <v>437</v>
      </c>
      <c r="C53" s="237">
        <v>106542</v>
      </c>
      <c r="D53" s="237">
        <v>122875</v>
      </c>
      <c r="E53" s="237">
        <f t="shared" si="6"/>
        <v>16333</v>
      </c>
      <c r="F53" s="238">
        <f t="shared" si="7"/>
        <v>0.15330104559704155</v>
      </c>
    </row>
    <row r="54" spans="1:6" ht="20.25" customHeight="1" x14ac:dyDescent="0.3">
      <c r="A54" s="235">
        <v>5</v>
      </c>
      <c r="B54" s="236" t="s">
        <v>373</v>
      </c>
      <c r="C54" s="239">
        <v>90</v>
      </c>
      <c r="D54" s="239">
        <v>58</v>
      </c>
      <c r="E54" s="239">
        <f t="shared" si="6"/>
        <v>-32</v>
      </c>
      <c r="F54" s="238">
        <f t="shared" si="7"/>
        <v>-0.35555555555555557</v>
      </c>
    </row>
    <row r="55" spans="1:6" ht="20.25" customHeight="1" x14ac:dyDescent="0.3">
      <c r="A55" s="235">
        <v>6</v>
      </c>
      <c r="B55" s="236" t="s">
        <v>372</v>
      </c>
      <c r="C55" s="239">
        <v>242</v>
      </c>
      <c r="D55" s="239">
        <v>233</v>
      </c>
      <c r="E55" s="239">
        <f t="shared" si="6"/>
        <v>-9</v>
      </c>
      <c r="F55" s="238">
        <f t="shared" si="7"/>
        <v>-3.71900826446281E-2</v>
      </c>
    </row>
    <row r="56" spans="1:6" ht="20.25" customHeight="1" x14ac:dyDescent="0.3">
      <c r="A56" s="235">
        <v>7</v>
      </c>
      <c r="B56" s="236" t="s">
        <v>438</v>
      </c>
      <c r="C56" s="239">
        <v>266</v>
      </c>
      <c r="D56" s="239">
        <v>322</v>
      </c>
      <c r="E56" s="239">
        <f t="shared" si="6"/>
        <v>56</v>
      </c>
      <c r="F56" s="238">
        <f t="shared" si="7"/>
        <v>0.21052631578947367</v>
      </c>
    </row>
    <row r="57" spans="1:6" ht="20.25" customHeight="1" x14ac:dyDescent="0.3">
      <c r="A57" s="235">
        <v>8</v>
      </c>
      <c r="B57" s="236" t="s">
        <v>439</v>
      </c>
      <c r="C57" s="239">
        <v>345</v>
      </c>
      <c r="D57" s="239">
        <v>499</v>
      </c>
      <c r="E57" s="239">
        <f t="shared" si="6"/>
        <v>154</v>
      </c>
      <c r="F57" s="238">
        <f t="shared" si="7"/>
        <v>0.44637681159420289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1329189</v>
      </c>
      <c r="D59" s="243">
        <f>+D50+D52</f>
        <v>1494982</v>
      </c>
      <c r="E59" s="243">
        <f t="shared" si="6"/>
        <v>165793</v>
      </c>
      <c r="F59" s="244">
        <f t="shared" si="7"/>
        <v>0.12473244963658291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419533</v>
      </c>
      <c r="D60" s="243">
        <f>+D51+D53</f>
        <v>418250</v>
      </c>
      <c r="E60" s="243">
        <f t="shared" si="6"/>
        <v>-1283</v>
      </c>
      <c r="F60" s="244">
        <f t="shared" si="7"/>
        <v>-3.0581622899748051E-3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36830</v>
      </c>
      <c r="D86" s="237">
        <v>108552</v>
      </c>
      <c r="E86" s="237">
        <f t="shared" ref="E86:E96" si="12">D86-C86</f>
        <v>71722</v>
      </c>
      <c r="F86" s="238">
        <f t="shared" ref="F86:F96" si="13">IF(C86=0,0,E86/C86)</f>
        <v>1.9473798533803963</v>
      </c>
    </row>
    <row r="87" spans="1:6" ht="20.25" customHeight="1" x14ac:dyDescent="0.3">
      <c r="A87" s="235">
        <v>2</v>
      </c>
      <c r="B87" s="236" t="s">
        <v>435</v>
      </c>
      <c r="C87" s="237">
        <v>16841</v>
      </c>
      <c r="D87" s="237">
        <v>36488</v>
      </c>
      <c r="E87" s="237">
        <f t="shared" si="12"/>
        <v>19647</v>
      </c>
      <c r="F87" s="238">
        <f t="shared" si="13"/>
        <v>1.1666171842527167</v>
      </c>
    </row>
    <row r="88" spans="1:6" ht="20.25" customHeight="1" x14ac:dyDescent="0.3">
      <c r="A88" s="235">
        <v>3</v>
      </c>
      <c r="B88" s="236" t="s">
        <v>436</v>
      </c>
      <c r="C88" s="237">
        <v>78361</v>
      </c>
      <c r="D88" s="237">
        <v>66059</v>
      </c>
      <c r="E88" s="237">
        <f t="shared" si="12"/>
        <v>-12302</v>
      </c>
      <c r="F88" s="238">
        <f t="shared" si="13"/>
        <v>-0.15699136049820703</v>
      </c>
    </row>
    <row r="89" spans="1:6" ht="20.25" customHeight="1" x14ac:dyDescent="0.3">
      <c r="A89" s="235">
        <v>4</v>
      </c>
      <c r="B89" s="236" t="s">
        <v>437</v>
      </c>
      <c r="C89" s="237">
        <v>21895</v>
      </c>
      <c r="D89" s="237">
        <v>17007</v>
      </c>
      <c r="E89" s="237">
        <f t="shared" si="12"/>
        <v>-4888</v>
      </c>
      <c r="F89" s="238">
        <f t="shared" si="13"/>
        <v>-0.22324731673898152</v>
      </c>
    </row>
    <row r="90" spans="1:6" ht="20.25" customHeight="1" x14ac:dyDescent="0.3">
      <c r="A90" s="235">
        <v>5</v>
      </c>
      <c r="B90" s="236" t="s">
        <v>373</v>
      </c>
      <c r="C90" s="239">
        <v>6</v>
      </c>
      <c r="D90" s="239">
        <v>9</v>
      </c>
      <c r="E90" s="239">
        <f t="shared" si="12"/>
        <v>3</v>
      </c>
      <c r="F90" s="238">
        <f t="shared" si="13"/>
        <v>0.5</v>
      </c>
    </row>
    <row r="91" spans="1:6" ht="20.25" customHeight="1" x14ac:dyDescent="0.3">
      <c r="A91" s="235">
        <v>6</v>
      </c>
      <c r="B91" s="236" t="s">
        <v>372</v>
      </c>
      <c r="C91" s="239">
        <v>12</v>
      </c>
      <c r="D91" s="239">
        <v>26</v>
      </c>
      <c r="E91" s="239">
        <f t="shared" si="12"/>
        <v>14</v>
      </c>
      <c r="F91" s="238">
        <f t="shared" si="13"/>
        <v>1.1666666666666667</v>
      </c>
    </row>
    <row r="92" spans="1:6" ht="20.25" customHeight="1" x14ac:dyDescent="0.3">
      <c r="A92" s="235">
        <v>7</v>
      </c>
      <c r="B92" s="236" t="s">
        <v>438</v>
      </c>
      <c r="C92" s="239">
        <v>55</v>
      </c>
      <c r="D92" s="239">
        <v>74</v>
      </c>
      <c r="E92" s="239">
        <f t="shared" si="12"/>
        <v>19</v>
      </c>
      <c r="F92" s="238">
        <f t="shared" si="13"/>
        <v>0.34545454545454546</v>
      </c>
    </row>
    <row r="93" spans="1:6" ht="20.25" customHeight="1" x14ac:dyDescent="0.3">
      <c r="A93" s="235">
        <v>8</v>
      </c>
      <c r="B93" s="236" t="s">
        <v>439</v>
      </c>
      <c r="C93" s="239">
        <v>38</v>
      </c>
      <c r="D93" s="239">
        <v>36</v>
      </c>
      <c r="E93" s="239">
        <f t="shared" si="12"/>
        <v>-2</v>
      </c>
      <c r="F93" s="238">
        <f t="shared" si="13"/>
        <v>-5.2631578947368418E-2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115191</v>
      </c>
      <c r="D95" s="243">
        <f>+D86+D88</f>
        <v>174611</v>
      </c>
      <c r="E95" s="243">
        <f t="shared" si="12"/>
        <v>59420</v>
      </c>
      <c r="F95" s="244">
        <f t="shared" si="13"/>
        <v>0.51583891102603507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38736</v>
      </c>
      <c r="D96" s="243">
        <f>+D87+D89</f>
        <v>53495</v>
      </c>
      <c r="E96" s="243">
        <f t="shared" si="12"/>
        <v>14759</v>
      </c>
      <c r="F96" s="244">
        <f t="shared" si="13"/>
        <v>0.38101507641470467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141276</v>
      </c>
      <c r="D98" s="237">
        <v>435675</v>
      </c>
      <c r="E98" s="237">
        <f t="shared" ref="E98:E108" si="14">D98-C98</f>
        <v>294399</v>
      </c>
      <c r="F98" s="238">
        <f t="shared" ref="F98:F108" si="15">IF(C98=0,0,E98/C98)</f>
        <v>2.0838571307228402</v>
      </c>
    </row>
    <row r="99" spans="1:7" ht="20.25" customHeight="1" x14ac:dyDescent="0.3">
      <c r="A99" s="235">
        <v>2</v>
      </c>
      <c r="B99" s="236" t="s">
        <v>435</v>
      </c>
      <c r="C99" s="237">
        <v>66782</v>
      </c>
      <c r="D99" s="237">
        <v>144224</v>
      </c>
      <c r="E99" s="237">
        <f t="shared" si="14"/>
        <v>77442</v>
      </c>
      <c r="F99" s="238">
        <f t="shared" si="15"/>
        <v>1.1596238507382228</v>
      </c>
    </row>
    <row r="100" spans="1:7" ht="20.25" customHeight="1" x14ac:dyDescent="0.3">
      <c r="A100" s="235">
        <v>3</v>
      </c>
      <c r="B100" s="236" t="s">
        <v>436</v>
      </c>
      <c r="C100" s="237">
        <v>277261</v>
      </c>
      <c r="D100" s="237">
        <v>364221</v>
      </c>
      <c r="E100" s="237">
        <f t="shared" si="14"/>
        <v>86960</v>
      </c>
      <c r="F100" s="238">
        <f t="shared" si="15"/>
        <v>0.31363949491634235</v>
      </c>
    </row>
    <row r="101" spans="1:7" ht="20.25" customHeight="1" x14ac:dyDescent="0.3">
      <c r="A101" s="235">
        <v>4</v>
      </c>
      <c r="B101" s="236" t="s">
        <v>437</v>
      </c>
      <c r="C101" s="237">
        <v>75421</v>
      </c>
      <c r="D101" s="237">
        <v>97091</v>
      </c>
      <c r="E101" s="237">
        <f t="shared" si="14"/>
        <v>21670</v>
      </c>
      <c r="F101" s="238">
        <f t="shared" si="15"/>
        <v>0.28732050755094735</v>
      </c>
    </row>
    <row r="102" spans="1:7" ht="20.25" customHeight="1" x14ac:dyDescent="0.3">
      <c r="A102" s="235">
        <v>5</v>
      </c>
      <c r="B102" s="236" t="s">
        <v>373</v>
      </c>
      <c r="C102" s="239">
        <v>23</v>
      </c>
      <c r="D102" s="239">
        <v>35</v>
      </c>
      <c r="E102" s="239">
        <f t="shared" si="14"/>
        <v>12</v>
      </c>
      <c r="F102" s="238">
        <f t="shared" si="15"/>
        <v>0.52173913043478259</v>
      </c>
    </row>
    <row r="103" spans="1:7" ht="20.25" customHeight="1" x14ac:dyDescent="0.3">
      <c r="A103" s="235">
        <v>6</v>
      </c>
      <c r="B103" s="236" t="s">
        <v>372</v>
      </c>
      <c r="C103" s="239">
        <v>49</v>
      </c>
      <c r="D103" s="239">
        <v>94</v>
      </c>
      <c r="E103" s="239">
        <f t="shared" si="14"/>
        <v>45</v>
      </c>
      <c r="F103" s="238">
        <f t="shared" si="15"/>
        <v>0.91836734693877553</v>
      </c>
    </row>
    <row r="104" spans="1:7" ht="20.25" customHeight="1" x14ac:dyDescent="0.3">
      <c r="A104" s="235">
        <v>7</v>
      </c>
      <c r="B104" s="236" t="s">
        <v>438</v>
      </c>
      <c r="C104" s="239">
        <v>166</v>
      </c>
      <c r="D104" s="239">
        <v>233</v>
      </c>
      <c r="E104" s="239">
        <f t="shared" si="14"/>
        <v>67</v>
      </c>
      <c r="F104" s="238">
        <f t="shared" si="15"/>
        <v>0.40361445783132532</v>
      </c>
    </row>
    <row r="105" spans="1:7" ht="20.25" customHeight="1" x14ac:dyDescent="0.3">
      <c r="A105" s="235">
        <v>8</v>
      </c>
      <c r="B105" s="236" t="s">
        <v>439</v>
      </c>
      <c r="C105" s="239">
        <v>93</v>
      </c>
      <c r="D105" s="239">
        <v>147</v>
      </c>
      <c r="E105" s="239">
        <f t="shared" si="14"/>
        <v>54</v>
      </c>
      <c r="F105" s="238">
        <f t="shared" si="15"/>
        <v>0.58064516129032262</v>
      </c>
    </row>
    <row r="106" spans="1:7" ht="20.25" customHeight="1" x14ac:dyDescent="0.3">
      <c r="A106" s="235">
        <v>9</v>
      </c>
      <c r="B106" s="236" t="s">
        <v>440</v>
      </c>
      <c r="C106" s="239">
        <v>0</v>
      </c>
      <c r="D106" s="239">
        <v>0</v>
      </c>
      <c r="E106" s="239">
        <f t="shared" si="14"/>
        <v>0</v>
      </c>
      <c r="F106" s="238">
        <f t="shared" si="15"/>
        <v>0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418537</v>
      </c>
      <c r="D107" s="243">
        <f>+D98+D100</f>
        <v>799896</v>
      </c>
      <c r="E107" s="243">
        <f t="shared" si="14"/>
        <v>381359</v>
      </c>
      <c r="F107" s="244">
        <f t="shared" si="15"/>
        <v>0.91117153322167455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142203</v>
      </c>
      <c r="D108" s="243">
        <f>+D99+D101</f>
        <v>241315</v>
      </c>
      <c r="E108" s="243">
        <f t="shared" si="14"/>
        <v>99112</v>
      </c>
      <c r="F108" s="244">
        <f t="shared" si="15"/>
        <v>0.69697545058824362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1587719</v>
      </c>
      <c r="D112" s="243">
        <f t="shared" si="16"/>
        <v>2223448</v>
      </c>
      <c r="E112" s="243">
        <f t="shared" ref="E112:E122" si="17">D112-C112</f>
        <v>635729</v>
      </c>
      <c r="F112" s="244">
        <f t="shared" ref="F112:F122" si="18">IF(C112=0,0,E112/C112)</f>
        <v>0.40040397576649267</v>
      </c>
    </row>
    <row r="113" spans="1:6" ht="20.25" customHeight="1" x14ac:dyDescent="0.3">
      <c r="A113" s="249"/>
      <c r="B113" s="250" t="s">
        <v>461</v>
      </c>
      <c r="C113" s="243">
        <f t="shared" si="16"/>
        <v>608448</v>
      </c>
      <c r="D113" s="243">
        <f t="shared" si="16"/>
        <v>668505</v>
      </c>
      <c r="E113" s="243">
        <f t="shared" si="17"/>
        <v>60057</v>
      </c>
      <c r="F113" s="244">
        <f t="shared" si="18"/>
        <v>9.8705230356579368E-2</v>
      </c>
    </row>
    <row r="114" spans="1:6" ht="20.25" customHeight="1" x14ac:dyDescent="0.3">
      <c r="A114" s="249"/>
      <c r="B114" s="250" t="s">
        <v>462</v>
      </c>
      <c r="C114" s="243">
        <f t="shared" si="16"/>
        <v>2079700</v>
      </c>
      <c r="D114" s="243">
        <f t="shared" si="16"/>
        <v>2387438</v>
      </c>
      <c r="E114" s="243">
        <f t="shared" si="17"/>
        <v>307738</v>
      </c>
      <c r="F114" s="244">
        <f t="shared" si="18"/>
        <v>0.14797230369764869</v>
      </c>
    </row>
    <row r="115" spans="1:6" ht="20.25" customHeight="1" x14ac:dyDescent="0.3">
      <c r="A115" s="249"/>
      <c r="B115" s="250" t="s">
        <v>463</v>
      </c>
      <c r="C115" s="243">
        <f t="shared" si="16"/>
        <v>548710</v>
      </c>
      <c r="D115" s="243">
        <f t="shared" si="16"/>
        <v>586844</v>
      </c>
      <c r="E115" s="243">
        <f t="shared" si="17"/>
        <v>38134</v>
      </c>
      <c r="F115" s="244">
        <f t="shared" si="18"/>
        <v>6.9497548796267614E-2</v>
      </c>
    </row>
    <row r="116" spans="1:6" ht="20.25" customHeight="1" x14ac:dyDescent="0.3">
      <c r="A116" s="249"/>
      <c r="B116" s="250" t="s">
        <v>464</v>
      </c>
      <c r="C116" s="252">
        <f t="shared" si="16"/>
        <v>181</v>
      </c>
      <c r="D116" s="252">
        <f t="shared" si="16"/>
        <v>167</v>
      </c>
      <c r="E116" s="252">
        <f t="shared" si="17"/>
        <v>-14</v>
      </c>
      <c r="F116" s="244">
        <f t="shared" si="18"/>
        <v>-7.7348066298342538E-2</v>
      </c>
    </row>
    <row r="117" spans="1:6" ht="20.25" customHeight="1" x14ac:dyDescent="0.3">
      <c r="A117" s="249"/>
      <c r="B117" s="250" t="s">
        <v>465</v>
      </c>
      <c r="C117" s="252">
        <f t="shared" si="16"/>
        <v>458</v>
      </c>
      <c r="D117" s="252">
        <f t="shared" si="16"/>
        <v>510</v>
      </c>
      <c r="E117" s="252">
        <f t="shared" si="17"/>
        <v>52</v>
      </c>
      <c r="F117" s="244">
        <f t="shared" si="18"/>
        <v>0.11353711790393013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1480</v>
      </c>
      <c r="D118" s="252">
        <f t="shared" si="16"/>
        <v>1664</v>
      </c>
      <c r="E118" s="252">
        <f t="shared" si="17"/>
        <v>184</v>
      </c>
      <c r="F118" s="244">
        <f t="shared" si="18"/>
        <v>0.12432432432432433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939</v>
      </c>
      <c r="D119" s="252">
        <f t="shared" si="16"/>
        <v>1258</v>
      </c>
      <c r="E119" s="252">
        <f t="shared" si="17"/>
        <v>319</v>
      </c>
      <c r="F119" s="244">
        <f t="shared" si="18"/>
        <v>0.33972310969116082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0</v>
      </c>
      <c r="D120" s="252">
        <f t="shared" si="16"/>
        <v>0</v>
      </c>
      <c r="E120" s="252">
        <f t="shared" si="17"/>
        <v>0</v>
      </c>
      <c r="F120" s="244">
        <f t="shared" si="18"/>
        <v>0</v>
      </c>
    </row>
    <row r="121" spans="1:6" ht="39.950000000000003" customHeight="1" x14ac:dyDescent="0.3">
      <c r="A121" s="249"/>
      <c r="B121" s="242" t="s">
        <v>441</v>
      </c>
      <c r="C121" s="243">
        <f>+C112+C114</f>
        <v>3667419</v>
      </c>
      <c r="D121" s="243">
        <f>+D112+D114</f>
        <v>4610886</v>
      </c>
      <c r="E121" s="243">
        <f t="shared" si="17"/>
        <v>943467</v>
      </c>
      <c r="F121" s="244">
        <f t="shared" si="18"/>
        <v>0.25725639748280738</v>
      </c>
    </row>
    <row r="122" spans="1:6" ht="39.950000000000003" customHeight="1" x14ac:dyDescent="0.3">
      <c r="A122" s="249"/>
      <c r="B122" s="242" t="s">
        <v>470</v>
      </c>
      <c r="C122" s="243">
        <f>+C113+C115</f>
        <v>1157158</v>
      </c>
      <c r="D122" s="243">
        <f>+D113+D115</f>
        <v>1255349</v>
      </c>
      <c r="E122" s="243">
        <f t="shared" si="17"/>
        <v>98191</v>
      </c>
      <c r="F122" s="244">
        <f t="shared" si="18"/>
        <v>8.4855309300890636E-2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FILING&amp;RESSENT-SHARON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0</v>
      </c>
      <c r="D13" s="23">
        <v>0</v>
      </c>
      <c r="E13" s="23">
        <f t="shared" ref="E13:E22" si="0">D13-C13</f>
        <v>0</v>
      </c>
      <c r="F13" s="24">
        <f t="shared" ref="F13:F22" si="1">IF(C13=0,0,E13/C13)</f>
        <v>0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6242425</v>
      </c>
      <c r="D15" s="23">
        <v>7311670</v>
      </c>
      <c r="E15" s="23">
        <f t="shared" si="0"/>
        <v>1069245</v>
      </c>
      <c r="F15" s="24">
        <f t="shared" si="1"/>
        <v>0.17128679960111656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1162381</v>
      </c>
      <c r="D19" s="23">
        <v>1160296</v>
      </c>
      <c r="E19" s="23">
        <f t="shared" si="0"/>
        <v>-2085</v>
      </c>
      <c r="F19" s="24">
        <f t="shared" si="1"/>
        <v>-1.7937320035341252E-3</v>
      </c>
    </row>
    <row r="20" spans="1:11" ht="24" customHeight="1" x14ac:dyDescent="0.2">
      <c r="A20" s="21">
        <v>8</v>
      </c>
      <c r="B20" s="22" t="s">
        <v>23</v>
      </c>
      <c r="C20" s="23">
        <v>598277</v>
      </c>
      <c r="D20" s="23">
        <v>659267</v>
      </c>
      <c r="E20" s="23">
        <f t="shared" si="0"/>
        <v>60990</v>
      </c>
      <c r="F20" s="24">
        <f t="shared" si="1"/>
        <v>0.10194274558440321</v>
      </c>
    </row>
    <row r="21" spans="1:11" ht="24" customHeight="1" x14ac:dyDescent="0.2">
      <c r="A21" s="21">
        <v>9</v>
      </c>
      <c r="B21" s="22" t="s">
        <v>24</v>
      </c>
      <c r="C21" s="23">
        <v>1640784</v>
      </c>
      <c r="D21" s="23">
        <v>899965</v>
      </c>
      <c r="E21" s="23">
        <f t="shared" si="0"/>
        <v>-740819</v>
      </c>
      <c r="F21" s="24">
        <f t="shared" si="1"/>
        <v>-0.45150306195087225</v>
      </c>
    </row>
    <row r="22" spans="1:11" ht="24" customHeight="1" x14ac:dyDescent="0.25">
      <c r="A22" s="25"/>
      <c r="B22" s="26" t="s">
        <v>25</v>
      </c>
      <c r="C22" s="27">
        <f>SUM(C13:C21)</f>
        <v>9643867</v>
      </c>
      <c r="D22" s="27">
        <f>SUM(D13:D21)</f>
        <v>10031198</v>
      </c>
      <c r="E22" s="27">
        <f t="shared" si="0"/>
        <v>387331</v>
      </c>
      <c r="F22" s="28">
        <f t="shared" si="1"/>
        <v>4.016345310444451E-2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0</v>
      </c>
      <c r="D29" s="27">
        <f>SUM(D25:D28)</f>
        <v>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8531815</v>
      </c>
      <c r="D33" s="23">
        <v>11012577</v>
      </c>
      <c r="E33" s="23">
        <f>D33-C33</f>
        <v>2480762</v>
      </c>
      <c r="F33" s="24">
        <f>IF(C33=0,0,E33/C33)</f>
        <v>0.29076603278434893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58690391</v>
      </c>
      <c r="D36" s="23">
        <v>59691984</v>
      </c>
      <c r="E36" s="23">
        <f>D36-C36</f>
        <v>1001593</v>
      </c>
      <c r="F36" s="24">
        <f>IF(C36=0,0,E36/C36)</f>
        <v>1.7065706718498434E-2</v>
      </c>
    </row>
    <row r="37" spans="1:8" ht="24" customHeight="1" x14ac:dyDescent="0.2">
      <c r="A37" s="21">
        <v>2</v>
      </c>
      <c r="B37" s="22" t="s">
        <v>39</v>
      </c>
      <c r="C37" s="23">
        <v>19807940</v>
      </c>
      <c r="D37" s="23">
        <v>22976106</v>
      </c>
      <c r="E37" s="23">
        <f>D37-C37</f>
        <v>3168166</v>
      </c>
      <c r="F37" s="23">
        <f>IF(C37=0,0,E37/C37)</f>
        <v>0.15994424458070855</v>
      </c>
    </row>
    <row r="38" spans="1:8" ht="24" customHeight="1" x14ac:dyDescent="0.25">
      <c r="A38" s="25"/>
      <c r="B38" s="26" t="s">
        <v>40</v>
      </c>
      <c r="C38" s="27">
        <f>C36-C37</f>
        <v>38882451</v>
      </c>
      <c r="D38" s="27">
        <f>D36-D37</f>
        <v>36715878</v>
      </c>
      <c r="E38" s="27">
        <f>D38-C38</f>
        <v>-2166573</v>
      </c>
      <c r="F38" s="28">
        <f>IF(C38=0,0,E38/C38)</f>
        <v>-5.572110153241111E-2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242040</v>
      </c>
      <c r="D40" s="23">
        <v>1286396</v>
      </c>
      <c r="E40" s="23">
        <f>D40-C40</f>
        <v>1044356</v>
      </c>
      <c r="F40" s="24">
        <f>IF(C40=0,0,E40/C40)</f>
        <v>4.3148074698396961</v>
      </c>
    </row>
    <row r="41" spans="1:8" ht="24" customHeight="1" x14ac:dyDescent="0.25">
      <c r="A41" s="25"/>
      <c r="B41" s="26" t="s">
        <v>42</v>
      </c>
      <c r="C41" s="27">
        <f>+C38+C40</f>
        <v>39124491</v>
      </c>
      <c r="D41" s="27">
        <f>+D38+D40</f>
        <v>38002274</v>
      </c>
      <c r="E41" s="27">
        <f>D41-C41</f>
        <v>-1122217</v>
      </c>
      <c r="F41" s="28">
        <f>IF(C41=0,0,E41/C41)</f>
        <v>-2.8683235776792597E-2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57300173</v>
      </c>
      <c r="D43" s="27">
        <f>D22+D29+D31+D32+D33+D41</f>
        <v>59046049</v>
      </c>
      <c r="E43" s="27">
        <f>D43-C43</f>
        <v>1745876</v>
      </c>
      <c r="F43" s="28">
        <f>IF(C43=0,0,E43/C43)</f>
        <v>3.0468948147852885E-2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1370735</v>
      </c>
      <c r="D49" s="23">
        <v>1540982</v>
      </c>
      <c r="E49" s="23">
        <f t="shared" ref="E49:E56" si="2">D49-C49</f>
        <v>170247</v>
      </c>
      <c r="F49" s="24">
        <f t="shared" ref="F49:F56" si="3">IF(C49=0,0,E49/C49)</f>
        <v>0.12420124969450697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3596931</v>
      </c>
      <c r="D50" s="23">
        <v>4553440</v>
      </c>
      <c r="E50" s="23">
        <f t="shared" si="2"/>
        <v>956509</v>
      </c>
      <c r="F50" s="24">
        <f t="shared" si="3"/>
        <v>0.26592364435125387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322546</v>
      </c>
      <c r="D51" s="23">
        <v>441349</v>
      </c>
      <c r="E51" s="23">
        <f t="shared" si="2"/>
        <v>118803</v>
      </c>
      <c r="F51" s="24">
        <f t="shared" si="3"/>
        <v>0.368328858519405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897476</v>
      </c>
      <c r="D54" s="23">
        <v>660667</v>
      </c>
      <c r="E54" s="23">
        <f t="shared" si="2"/>
        <v>-236809</v>
      </c>
      <c r="F54" s="24">
        <f t="shared" si="3"/>
        <v>-0.26386109489278819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6187688</v>
      </c>
      <c r="D56" s="27">
        <f>SUM(D49:D55)</f>
        <v>7196438</v>
      </c>
      <c r="E56" s="27">
        <f t="shared" si="2"/>
        <v>1008750</v>
      </c>
      <c r="F56" s="28">
        <f t="shared" si="3"/>
        <v>0.16302534969442545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33687500</v>
      </c>
      <c r="D60" s="23">
        <v>33337500</v>
      </c>
      <c r="E60" s="23">
        <f>D60-C60</f>
        <v>-350000</v>
      </c>
      <c r="F60" s="24">
        <f>IF(C60=0,0,E60/C60)</f>
        <v>-1.038961038961039E-2</v>
      </c>
    </row>
    <row r="61" spans="1:6" ht="24" customHeight="1" x14ac:dyDescent="0.25">
      <c r="A61" s="25"/>
      <c r="B61" s="26" t="s">
        <v>58</v>
      </c>
      <c r="C61" s="27">
        <f>SUM(C59:C60)</f>
        <v>33687500</v>
      </c>
      <c r="D61" s="27">
        <f>SUM(D59:D60)</f>
        <v>33337500</v>
      </c>
      <c r="E61" s="27">
        <f>D61-C61</f>
        <v>-350000</v>
      </c>
      <c r="F61" s="28">
        <f>IF(C61=0,0,E61/C61)</f>
        <v>-1.038961038961039E-2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1502000</v>
      </c>
      <c r="D63" s="23">
        <v>1386000</v>
      </c>
      <c r="E63" s="23">
        <f>D63-C63</f>
        <v>-116000</v>
      </c>
      <c r="F63" s="24">
        <f>IF(C63=0,0,E63/C63)</f>
        <v>-7.7230359520639141E-2</v>
      </c>
    </row>
    <row r="64" spans="1:6" ht="24" customHeight="1" x14ac:dyDescent="0.2">
      <c r="A64" s="21">
        <v>4</v>
      </c>
      <c r="B64" s="22" t="s">
        <v>60</v>
      </c>
      <c r="C64" s="23">
        <v>1404029</v>
      </c>
      <c r="D64" s="23">
        <v>1091186</v>
      </c>
      <c r="E64" s="23">
        <f>D64-C64</f>
        <v>-312843</v>
      </c>
      <c r="F64" s="24">
        <f>IF(C64=0,0,E64/C64)</f>
        <v>-0.22281804720557766</v>
      </c>
    </row>
    <row r="65" spans="1:6" ht="24" customHeight="1" x14ac:dyDescent="0.25">
      <c r="A65" s="25"/>
      <c r="B65" s="26" t="s">
        <v>61</v>
      </c>
      <c r="C65" s="27">
        <f>SUM(C61:C64)</f>
        <v>36593529</v>
      </c>
      <c r="D65" s="27">
        <f>SUM(D61:D64)</f>
        <v>35814686</v>
      </c>
      <c r="E65" s="27">
        <f>D65-C65</f>
        <v>-778843</v>
      </c>
      <c r="F65" s="28">
        <f>IF(C65=0,0,E65/C65)</f>
        <v>-2.1283626402908557E-2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14518956</v>
      </c>
      <c r="D70" s="23">
        <v>16034925</v>
      </c>
      <c r="E70" s="23">
        <f>D70-C70</f>
        <v>1515969</v>
      </c>
      <c r="F70" s="24">
        <f>IF(C70=0,0,E70/C70)</f>
        <v>0.10441308589956468</v>
      </c>
    </row>
    <row r="71" spans="1:6" ht="24" customHeight="1" x14ac:dyDescent="0.2">
      <c r="A71" s="21">
        <v>2</v>
      </c>
      <c r="B71" s="22" t="s">
        <v>65</v>
      </c>
      <c r="C71" s="23">
        <v>0</v>
      </c>
      <c r="D71" s="23">
        <v>0</v>
      </c>
      <c r="E71" s="23">
        <f>D71-C71</f>
        <v>0</v>
      </c>
      <c r="F71" s="24">
        <f>IF(C71=0,0,E71/C71)</f>
        <v>0</v>
      </c>
    </row>
    <row r="72" spans="1:6" ht="24" customHeight="1" x14ac:dyDescent="0.2">
      <c r="A72" s="21">
        <v>3</v>
      </c>
      <c r="B72" s="22" t="s">
        <v>66</v>
      </c>
      <c r="C72" s="23">
        <v>0</v>
      </c>
      <c r="D72" s="23">
        <v>0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14518956</v>
      </c>
      <c r="D73" s="27">
        <f>SUM(D70:D72)</f>
        <v>16034925</v>
      </c>
      <c r="E73" s="27">
        <f>D73-C73</f>
        <v>1515969</v>
      </c>
      <c r="F73" s="28">
        <f>IF(C73=0,0,E73/C73)</f>
        <v>0.10441308589956468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57300173</v>
      </c>
      <c r="D75" s="27">
        <f>D56+D65+D67+D73</f>
        <v>59046049</v>
      </c>
      <c r="E75" s="27">
        <f>D75-C75</f>
        <v>1745876</v>
      </c>
      <c r="F75" s="28">
        <f>IF(C75=0,0,E75/C75)</f>
        <v>3.0468948147852885E-2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FILING&amp;RSHARON HOSPITAL HOLDING CO,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127442155</v>
      </c>
      <c r="D12" s="51">
        <v>136983069</v>
      </c>
      <c r="E12" s="51">
        <f t="shared" ref="E12:E19" si="0">D12-C12</f>
        <v>9540914</v>
      </c>
      <c r="F12" s="70">
        <f t="shared" ref="F12:F19" si="1">IF(C12=0,0,E12/C12)</f>
        <v>7.4864663109314181E-2</v>
      </c>
    </row>
    <row r="13" spans="1:8" ht="23.1" customHeight="1" x14ac:dyDescent="0.2">
      <c r="A13" s="25">
        <v>2</v>
      </c>
      <c r="B13" s="48" t="s">
        <v>72</v>
      </c>
      <c r="C13" s="51">
        <v>72640400</v>
      </c>
      <c r="D13" s="51">
        <v>76700497</v>
      </c>
      <c r="E13" s="51">
        <f t="shared" si="0"/>
        <v>4060097</v>
      </c>
      <c r="F13" s="70">
        <f t="shared" si="1"/>
        <v>5.5893098055627449E-2</v>
      </c>
    </row>
    <row r="14" spans="1:8" ht="23.1" customHeight="1" x14ac:dyDescent="0.2">
      <c r="A14" s="25">
        <v>3</v>
      </c>
      <c r="B14" s="48" t="s">
        <v>73</v>
      </c>
      <c r="C14" s="51">
        <v>767288</v>
      </c>
      <c r="D14" s="51">
        <v>942411</v>
      </c>
      <c r="E14" s="51">
        <f t="shared" si="0"/>
        <v>175123</v>
      </c>
      <c r="F14" s="70">
        <f t="shared" si="1"/>
        <v>0.2282363336843532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54034467</v>
      </c>
      <c r="D16" s="27">
        <f>D12-D13-D14-D15</f>
        <v>59340161</v>
      </c>
      <c r="E16" s="27">
        <f t="shared" si="0"/>
        <v>5305694</v>
      </c>
      <c r="F16" s="28">
        <f t="shared" si="1"/>
        <v>9.8190919510689353E-2</v>
      </c>
    </row>
    <row r="17" spans="1:7" ht="23.1" customHeight="1" x14ac:dyDescent="0.2">
      <c r="A17" s="25">
        <v>5</v>
      </c>
      <c r="B17" s="48" t="s">
        <v>76</v>
      </c>
      <c r="C17" s="51">
        <v>531371</v>
      </c>
      <c r="D17" s="51">
        <v>458274</v>
      </c>
      <c r="E17" s="51">
        <f t="shared" si="0"/>
        <v>-73097</v>
      </c>
      <c r="F17" s="70">
        <f t="shared" si="1"/>
        <v>-0.13756302094017175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54565838</v>
      </c>
      <c r="D19" s="27">
        <f>SUM(D16:D18)</f>
        <v>59798435</v>
      </c>
      <c r="E19" s="27">
        <f t="shared" si="0"/>
        <v>5232597</v>
      </c>
      <c r="F19" s="28">
        <f t="shared" si="1"/>
        <v>9.5895109317298485E-2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19009778</v>
      </c>
      <c r="D22" s="51">
        <v>20275583</v>
      </c>
      <c r="E22" s="51">
        <f t="shared" ref="E22:E31" si="2">D22-C22</f>
        <v>1265805</v>
      </c>
      <c r="F22" s="70">
        <f t="shared" ref="F22:F31" si="3">IF(C22=0,0,E22/C22)</f>
        <v>6.6587047991828199E-2</v>
      </c>
    </row>
    <row r="23" spans="1:7" ht="23.1" customHeight="1" x14ac:dyDescent="0.2">
      <c r="A23" s="25">
        <v>2</v>
      </c>
      <c r="B23" s="48" t="s">
        <v>81</v>
      </c>
      <c r="C23" s="51">
        <v>4085478</v>
      </c>
      <c r="D23" s="51">
        <v>4288690</v>
      </c>
      <c r="E23" s="51">
        <f t="shared" si="2"/>
        <v>203212</v>
      </c>
      <c r="F23" s="70">
        <f t="shared" si="3"/>
        <v>4.9740079373821126E-2</v>
      </c>
    </row>
    <row r="24" spans="1:7" ht="23.1" customHeight="1" x14ac:dyDescent="0.2">
      <c r="A24" s="25">
        <v>3</v>
      </c>
      <c r="B24" s="48" t="s">
        <v>82</v>
      </c>
      <c r="C24" s="51">
        <v>1379751</v>
      </c>
      <c r="D24" s="51">
        <v>1650916</v>
      </c>
      <c r="E24" s="51">
        <f t="shared" si="2"/>
        <v>271165</v>
      </c>
      <c r="F24" s="70">
        <f t="shared" si="3"/>
        <v>0.19653183799105781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5831745</v>
      </c>
      <c r="D25" s="51">
        <v>6316079</v>
      </c>
      <c r="E25" s="51">
        <f t="shared" si="2"/>
        <v>484334</v>
      </c>
      <c r="F25" s="70">
        <f t="shared" si="3"/>
        <v>8.3051299396664294E-2</v>
      </c>
    </row>
    <row r="26" spans="1:7" ht="23.1" customHeight="1" x14ac:dyDescent="0.2">
      <c r="A26" s="25">
        <v>5</v>
      </c>
      <c r="B26" s="48" t="s">
        <v>84</v>
      </c>
      <c r="C26" s="51">
        <v>3287347</v>
      </c>
      <c r="D26" s="51">
        <v>3230817</v>
      </c>
      <c r="E26" s="51">
        <f t="shared" si="2"/>
        <v>-56530</v>
      </c>
      <c r="F26" s="70">
        <f t="shared" si="3"/>
        <v>-1.7196237573946407E-2</v>
      </c>
    </row>
    <row r="27" spans="1:7" ht="23.1" customHeight="1" x14ac:dyDescent="0.2">
      <c r="A27" s="25">
        <v>6</v>
      </c>
      <c r="B27" s="48" t="s">
        <v>85</v>
      </c>
      <c r="C27" s="51">
        <v>2035446</v>
      </c>
      <c r="D27" s="51">
        <v>3904445</v>
      </c>
      <c r="E27" s="51">
        <f t="shared" si="2"/>
        <v>1868999</v>
      </c>
      <c r="F27" s="70">
        <f t="shared" si="3"/>
        <v>0.91822578442267688</v>
      </c>
    </row>
    <row r="28" spans="1:7" ht="23.1" customHeight="1" x14ac:dyDescent="0.2">
      <c r="A28" s="25">
        <v>7</v>
      </c>
      <c r="B28" s="48" t="s">
        <v>86</v>
      </c>
      <c r="C28" s="51">
        <v>1629083</v>
      </c>
      <c r="D28" s="51">
        <v>1664350</v>
      </c>
      <c r="E28" s="51">
        <f t="shared" si="2"/>
        <v>35267</v>
      </c>
      <c r="F28" s="70">
        <f t="shared" si="3"/>
        <v>2.1648375190214373E-2</v>
      </c>
    </row>
    <row r="29" spans="1:7" ht="23.1" customHeight="1" x14ac:dyDescent="0.2">
      <c r="A29" s="25">
        <v>8</v>
      </c>
      <c r="B29" s="48" t="s">
        <v>87</v>
      </c>
      <c r="C29" s="51">
        <v>1150400</v>
      </c>
      <c r="D29" s="51">
        <v>1184253</v>
      </c>
      <c r="E29" s="51">
        <f t="shared" si="2"/>
        <v>33853</v>
      </c>
      <c r="F29" s="70">
        <f t="shared" si="3"/>
        <v>2.9427155771905425E-2</v>
      </c>
    </row>
    <row r="30" spans="1:7" ht="23.1" customHeight="1" x14ac:dyDescent="0.2">
      <c r="A30" s="25">
        <v>9</v>
      </c>
      <c r="B30" s="48" t="s">
        <v>88</v>
      </c>
      <c r="C30" s="51">
        <v>14583804</v>
      </c>
      <c r="D30" s="51">
        <v>15786519</v>
      </c>
      <c r="E30" s="51">
        <f t="shared" si="2"/>
        <v>1202715</v>
      </c>
      <c r="F30" s="70">
        <f t="shared" si="3"/>
        <v>8.2469224078985159E-2</v>
      </c>
    </row>
    <row r="31" spans="1:7" ht="23.1" customHeight="1" x14ac:dyDescent="0.25">
      <c r="A31" s="29"/>
      <c r="B31" s="71" t="s">
        <v>89</v>
      </c>
      <c r="C31" s="27">
        <f>SUM(C22:C30)</f>
        <v>52992832</v>
      </c>
      <c r="D31" s="27">
        <f>SUM(D22:D30)</f>
        <v>58301652</v>
      </c>
      <c r="E31" s="27">
        <f t="shared" si="2"/>
        <v>5308820</v>
      </c>
      <c r="F31" s="28">
        <f t="shared" si="3"/>
        <v>0.10017996396191847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1573006</v>
      </c>
      <c r="D33" s="27">
        <f>+D19-D31</f>
        <v>1496783</v>
      </c>
      <c r="E33" s="27">
        <f>D33-C33</f>
        <v>-76223</v>
      </c>
      <c r="F33" s="28">
        <f>IF(C33=0,0,E33/C33)</f>
        <v>-4.845690353374367E-2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0</v>
      </c>
      <c r="D39" s="27">
        <f>SUM(D36:D38)</f>
        <v>0</v>
      </c>
      <c r="E39" s="27">
        <f>D39-C39</f>
        <v>0</v>
      </c>
      <c r="F39" s="28">
        <f>IF(C39=0,0,E39/C39)</f>
        <v>0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1573006</v>
      </c>
      <c r="D41" s="27">
        <f>D33+D39</f>
        <v>1496783</v>
      </c>
      <c r="E41" s="27">
        <f>D41-C41</f>
        <v>-76223</v>
      </c>
      <c r="F41" s="28">
        <f>IF(C41=0,0,E41/C41)</f>
        <v>-4.845690353374367E-2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1573006</v>
      </c>
      <c r="D48" s="27">
        <f>D41+D46</f>
        <v>1496783</v>
      </c>
      <c r="E48" s="27">
        <f>D48-C48</f>
        <v>-76223</v>
      </c>
      <c r="F48" s="28">
        <f>IF(C48=0,0,E48/C48)</f>
        <v>-4.845690353374367E-2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FILING&amp;R&amp;8SHARON HOSPITAL HOLDING CO,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2012-06-28T12:16:31Z</cp:lastPrinted>
  <dcterms:created xsi:type="dcterms:W3CDTF">2006-08-03T13:49:12Z</dcterms:created>
  <dcterms:modified xsi:type="dcterms:W3CDTF">2012-06-28T12:16:58Z</dcterms:modified>
</cp:coreProperties>
</file>