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 s="1"/>
  <c r="D203" i="14"/>
  <c r="D283" i="14" s="1"/>
  <c r="D198" i="14"/>
  <c r="D290" i="14" s="1"/>
  <c r="D191" i="14"/>
  <c r="D264" i="14" s="1"/>
  <c r="D189" i="14"/>
  <c r="D215" i="14" s="1"/>
  <c r="D255" i="14" s="1"/>
  <c r="D188" i="14"/>
  <c r="D214" i="14"/>
  <c r="D180" i="14"/>
  <c r="D179" i="14"/>
  <c r="D171" i="14"/>
  <c r="D172" i="14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/>
  <c r="D61" i="14" s="1"/>
  <c r="D58" i="14"/>
  <c r="D53" i="14"/>
  <c r="D52" i="14"/>
  <c r="D47" i="14"/>
  <c r="D48" i="14" s="1"/>
  <c r="D90" i="14" s="1"/>
  <c r="D44" i="14"/>
  <c r="D36" i="14"/>
  <c r="D35" i="14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D91" i="19"/>
  <c r="D93" i="19" s="1"/>
  <c r="C91" i="19"/>
  <c r="E87" i="19"/>
  <c r="D87" i="19"/>
  <c r="C87" i="19"/>
  <c r="E86" i="19"/>
  <c r="E88" i="19"/>
  <c r="D86" i="19"/>
  <c r="D88" i="19" s="1"/>
  <c r="C86" i="19"/>
  <c r="C88" i="19" s="1"/>
  <c r="E83" i="19"/>
  <c r="D83" i="19"/>
  <c r="C83" i="19"/>
  <c r="E76" i="19"/>
  <c r="D76" i="19"/>
  <c r="C76" i="19"/>
  <c r="E75" i="19"/>
  <c r="E77" i="19" s="1"/>
  <c r="D75" i="19"/>
  <c r="D101" i="19" s="1"/>
  <c r="C75" i="19"/>
  <c r="C101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E33" i="19"/>
  <c r="D12" i="19"/>
  <c r="D33" i="19"/>
  <c r="C12" i="19"/>
  <c r="C34" i="19" s="1"/>
  <c r="C22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D44" i="17"/>
  <c r="C44" i="17"/>
  <c r="D43" i="17"/>
  <c r="E43" i="17" s="1"/>
  <c r="C43" i="17"/>
  <c r="C46" i="17"/>
  <c r="D36" i="17"/>
  <c r="D40" i="17" s="1"/>
  <c r="C36" i="17"/>
  <c r="C40" i="17" s="1"/>
  <c r="E35" i="17"/>
  <c r="F35" i="17" s="1"/>
  <c r="E34" i="17"/>
  <c r="F34" i="17" s="1"/>
  <c r="E33" i="17"/>
  <c r="F33" i="17" s="1"/>
  <c r="E30" i="17"/>
  <c r="F30" i="17" s="1"/>
  <c r="F29" i="17"/>
  <c r="E29" i="17"/>
  <c r="E28" i="17"/>
  <c r="F28" i="17" s="1"/>
  <c r="E27" i="17"/>
  <c r="F27" i="17" s="1"/>
  <c r="D25" i="17"/>
  <c r="D39" i="17" s="1"/>
  <c r="C25" i="17"/>
  <c r="C39" i="17" s="1"/>
  <c r="E24" i="17"/>
  <c r="F24" i="17" s="1"/>
  <c r="E23" i="17"/>
  <c r="F23" i="17" s="1"/>
  <c r="E22" i="17"/>
  <c r="F22" i="17" s="1"/>
  <c r="D19" i="17"/>
  <c r="E19" i="17" s="1"/>
  <c r="C19" i="17"/>
  <c r="F18" i="17"/>
  <c r="E18" i="17"/>
  <c r="D16" i="17"/>
  <c r="E16" i="17" s="1"/>
  <c r="F16" i="17" s="1"/>
  <c r="C16" i="17"/>
  <c r="F15" i="17"/>
  <c r="E15" i="17"/>
  <c r="F13" i="17"/>
  <c r="E13" i="17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E328" i="15"/>
  <c r="E325" i="15"/>
  <c r="D324" i="15"/>
  <c r="D326" i="15" s="1"/>
  <c r="E326" i="15" s="1"/>
  <c r="C324" i="15"/>
  <c r="C326" i="15" s="1"/>
  <c r="C330" i="15" s="1"/>
  <c r="E318" i="15"/>
  <c r="E315" i="15"/>
  <c r="D314" i="15"/>
  <c r="D316" i="15" s="1"/>
  <c r="D320" i="15" s="1"/>
  <c r="C314" i="15"/>
  <c r="C316" i="15"/>
  <c r="C320" i="15" s="1"/>
  <c r="E308" i="15"/>
  <c r="E305" i="15"/>
  <c r="D301" i="15"/>
  <c r="C301" i="15"/>
  <c r="E301" i="15" s="1"/>
  <c r="D293" i="15"/>
  <c r="C293" i="15"/>
  <c r="E293" i="15" s="1"/>
  <c r="D292" i="15"/>
  <c r="C292" i="15"/>
  <c r="D291" i="15"/>
  <c r="C291" i="15"/>
  <c r="E291" i="15" s="1"/>
  <c r="D290" i="15"/>
  <c r="C290" i="15"/>
  <c r="D288" i="15"/>
  <c r="C288" i="15"/>
  <c r="D287" i="15"/>
  <c r="E287" i="15" s="1"/>
  <c r="C287" i="15"/>
  <c r="D282" i="15"/>
  <c r="E282" i="15" s="1"/>
  <c r="C282" i="15"/>
  <c r="D281" i="15"/>
  <c r="E281" i="15" s="1"/>
  <c r="C281" i="15"/>
  <c r="D280" i="15"/>
  <c r="E280" i="15" s="1"/>
  <c r="C280" i="15"/>
  <c r="D279" i="15"/>
  <c r="E279" i="15" s="1"/>
  <c r="C279" i="15"/>
  <c r="D278" i="15"/>
  <c r="E278" i="15" s="1"/>
  <c r="C278" i="15"/>
  <c r="D277" i="15"/>
  <c r="C277" i="15"/>
  <c r="D276" i="15"/>
  <c r="E276" i="15" s="1"/>
  <c r="C276" i="15"/>
  <c r="E270" i="15"/>
  <c r="D265" i="15"/>
  <c r="E265" i="15" s="1"/>
  <c r="C265" i="15"/>
  <c r="C302" i="15" s="1"/>
  <c r="D262" i="15"/>
  <c r="E262" i="15" s="1"/>
  <c r="C262" i="15"/>
  <c r="D251" i="15"/>
  <c r="C251" i="15"/>
  <c r="D233" i="15"/>
  <c r="C233" i="15"/>
  <c r="D232" i="15"/>
  <c r="C232" i="15"/>
  <c r="E232" i="15" s="1"/>
  <c r="D231" i="15"/>
  <c r="C231" i="15"/>
  <c r="D230" i="15"/>
  <c r="C230" i="15"/>
  <c r="D228" i="15"/>
  <c r="C228" i="15"/>
  <c r="D227" i="15"/>
  <c r="C227" i="15"/>
  <c r="D221" i="15"/>
  <c r="E221" i="15" s="1"/>
  <c r="C221" i="15"/>
  <c r="C245" i="15" s="1"/>
  <c r="D220" i="15"/>
  <c r="E220" i="15" s="1"/>
  <c r="C220" i="15"/>
  <c r="C244" i="15" s="1"/>
  <c r="D219" i="15"/>
  <c r="D243" i="15" s="1"/>
  <c r="C219" i="15"/>
  <c r="C243" i="15"/>
  <c r="D218" i="15"/>
  <c r="D242" i="15"/>
  <c r="C218" i="15"/>
  <c r="C242" i="15" s="1"/>
  <c r="D216" i="15"/>
  <c r="E216" i="15" s="1"/>
  <c r="C216" i="15"/>
  <c r="C240" i="15" s="1"/>
  <c r="D215" i="15"/>
  <c r="D239" i="15" s="1"/>
  <c r="C215" i="15"/>
  <c r="C239" i="15" s="1"/>
  <c r="E209" i="15"/>
  <c r="E208" i="15"/>
  <c r="E207" i="15"/>
  <c r="E206" i="15"/>
  <c r="D205" i="15"/>
  <c r="D229" i="15" s="1"/>
  <c r="C205" i="15"/>
  <c r="C210" i="15" s="1"/>
  <c r="C211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D178" i="15"/>
  <c r="E178" i="15" s="1"/>
  <c r="C178" i="15"/>
  <c r="D177" i="15"/>
  <c r="E177" i="15" s="1"/>
  <c r="C177" i="15"/>
  <c r="D176" i="15"/>
  <c r="E176" i="15" s="1"/>
  <c r="C176" i="15"/>
  <c r="D174" i="15"/>
  <c r="E174" i="15" s="1"/>
  <c r="C174" i="15"/>
  <c r="D173" i="15"/>
  <c r="C173" i="15"/>
  <c r="D167" i="15"/>
  <c r="C167" i="15"/>
  <c r="D166" i="15"/>
  <c r="C166" i="15"/>
  <c r="D165" i="15"/>
  <c r="E165" i="15" s="1"/>
  <c r="C165" i="15"/>
  <c r="D164" i="15"/>
  <c r="C164" i="15"/>
  <c r="E164" i="15"/>
  <c r="D162" i="15"/>
  <c r="C162" i="15"/>
  <c r="E162" i="15" s="1"/>
  <c r="D161" i="15"/>
  <c r="E161" i="15" s="1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E75" i="15" s="1"/>
  <c r="D74" i="15"/>
  <c r="C74" i="15"/>
  <c r="D73" i="15"/>
  <c r="C73" i="15"/>
  <c r="E73" i="15" s="1"/>
  <c r="D72" i="15"/>
  <c r="C72" i="15"/>
  <c r="D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E38" i="15" s="1"/>
  <c r="C38" i="15"/>
  <c r="D37" i="15"/>
  <c r="D43" i="15"/>
  <c r="C37" i="15"/>
  <c r="C43" i="15" s="1"/>
  <c r="D36" i="15"/>
  <c r="E36" i="15" s="1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C22" i="15" s="1"/>
  <c r="C284" i="15" s="1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 s="1"/>
  <c r="F311" i="14" s="1"/>
  <c r="E308" i="14"/>
  <c r="F308" i="14"/>
  <c r="C307" i="14"/>
  <c r="E307" i="14" s="1"/>
  <c r="C299" i="14"/>
  <c r="C298" i="14"/>
  <c r="E298" i="14"/>
  <c r="F298" i="14" s="1"/>
  <c r="C297" i="14"/>
  <c r="E297" i="14" s="1"/>
  <c r="C296" i="14"/>
  <c r="E296" i="14" s="1"/>
  <c r="F296" i="14" s="1"/>
  <c r="C295" i="14"/>
  <c r="E295" i="14" s="1"/>
  <c r="F295" i="14" s="1"/>
  <c r="C294" i="14"/>
  <c r="E294" i="14" s="1"/>
  <c r="F294" i="14" s="1"/>
  <c r="C250" i="14"/>
  <c r="E250" i="14" s="1"/>
  <c r="F250" i="14" s="1"/>
  <c r="C306" i="14"/>
  <c r="E306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F238" i="14" s="1"/>
  <c r="C237" i="14"/>
  <c r="E237" i="14"/>
  <c r="F237" i="14" s="1"/>
  <c r="E234" i="14"/>
  <c r="F234" i="14"/>
  <c r="E233" i="14"/>
  <c r="F233" i="14"/>
  <c r="C230" i="14"/>
  <c r="E230" i="14" s="1"/>
  <c r="C229" i="14"/>
  <c r="E228" i="14"/>
  <c r="F228" i="14" s="1"/>
  <c r="C226" i="14"/>
  <c r="E225" i="14"/>
  <c r="F225" i="14" s="1"/>
  <c r="E224" i="14"/>
  <c r="F224" i="14"/>
  <c r="C223" i="14"/>
  <c r="E223" i="14" s="1"/>
  <c r="F223" i="14" s="1"/>
  <c r="E222" i="14"/>
  <c r="F222" i="14" s="1"/>
  <c r="E221" i="14"/>
  <c r="F221" i="14" s="1"/>
  <c r="C204" i="14"/>
  <c r="C203" i="14"/>
  <c r="C198" i="14"/>
  <c r="E198" i="14" s="1"/>
  <c r="C191" i="14"/>
  <c r="C264" i="14" s="1"/>
  <c r="C189" i="14"/>
  <c r="C278" i="14" s="1"/>
  <c r="C188" i="14"/>
  <c r="E188" i="14" s="1"/>
  <c r="C180" i="14"/>
  <c r="E180" i="14" s="1"/>
  <c r="F180" i="14" s="1"/>
  <c r="C179" i="14"/>
  <c r="C181" i="14" s="1"/>
  <c r="C171" i="14"/>
  <c r="E171" i="14" s="1"/>
  <c r="F171" i="14" s="1"/>
  <c r="C170" i="14"/>
  <c r="E170" i="14" s="1"/>
  <c r="F170" i="14" s="1"/>
  <c r="E169" i="14"/>
  <c r="F169" i="14" s="1"/>
  <c r="E168" i="14"/>
  <c r="F168" i="14" s="1"/>
  <c r="C165" i="14"/>
  <c r="C164" i="14"/>
  <c r="E164" i="14" s="1"/>
  <c r="E163" i="14"/>
  <c r="F163" i="14"/>
  <c r="C158" i="14"/>
  <c r="E157" i="14"/>
  <c r="F157" i="14" s="1"/>
  <c r="E156" i="14"/>
  <c r="F156" i="14"/>
  <c r="C155" i="14"/>
  <c r="E155" i="14"/>
  <c r="E154" i="14"/>
  <c r="F154" i="14"/>
  <c r="E153" i="14"/>
  <c r="F153" i="14"/>
  <c r="C145" i="14"/>
  <c r="E145" i="14" s="1"/>
  <c r="F145" i="14" s="1"/>
  <c r="C144" i="14"/>
  <c r="E144" i="14" s="1"/>
  <c r="C136" i="14"/>
  <c r="E136" i="14" s="1"/>
  <c r="F136" i="14" s="1"/>
  <c r="C135" i="14"/>
  <c r="E135" i="14" s="1"/>
  <c r="E134" i="14"/>
  <c r="F134" i="14" s="1"/>
  <c r="E133" i="14"/>
  <c r="F133" i="14" s="1"/>
  <c r="E130" i="14"/>
  <c r="C130" i="14"/>
  <c r="C129" i="14"/>
  <c r="E129" i="14" s="1"/>
  <c r="F129" i="14" s="1"/>
  <c r="E128" i="14"/>
  <c r="F128" i="14"/>
  <c r="C123" i="14"/>
  <c r="C193" i="14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E110" i="14" s="1"/>
  <c r="E109" i="14"/>
  <c r="C109" i="14"/>
  <c r="C102" i="14"/>
  <c r="C101" i="14"/>
  <c r="E101" i="14" s="1"/>
  <c r="F101" i="14" s="1"/>
  <c r="C100" i="14"/>
  <c r="E100" i="14" s="1"/>
  <c r="F100" i="14" s="1"/>
  <c r="E99" i="14"/>
  <c r="F99" i="14" s="1"/>
  <c r="E98" i="14"/>
  <c r="F98" i="14" s="1"/>
  <c r="C95" i="14"/>
  <c r="E95" i="14" s="1"/>
  <c r="C94" i="14"/>
  <c r="E94" i="14"/>
  <c r="E93" i="14"/>
  <c r="F93" i="14"/>
  <c r="C88" i="14"/>
  <c r="C89" i="14" s="1"/>
  <c r="E89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C77" i="14" s="1"/>
  <c r="E77" i="14" s="1"/>
  <c r="E74" i="14"/>
  <c r="F74" i="14" s="1"/>
  <c r="E73" i="14"/>
  <c r="F73" i="14" s="1"/>
  <c r="C67" i="14"/>
  <c r="E67" i="14"/>
  <c r="C66" i="14"/>
  <c r="E66" i="14" s="1"/>
  <c r="C59" i="14"/>
  <c r="C58" i="14"/>
  <c r="E57" i="14"/>
  <c r="F57" i="14" s="1"/>
  <c r="E56" i="14"/>
  <c r="F56" i="14" s="1"/>
  <c r="C53" i="14"/>
  <c r="E53" i="14" s="1"/>
  <c r="C52" i="14"/>
  <c r="E52" i="14" s="1"/>
  <c r="E51" i="14"/>
  <c r="F51" i="14"/>
  <c r="C47" i="14"/>
  <c r="C48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C35" i="14"/>
  <c r="C30" i="14"/>
  <c r="C29" i="14"/>
  <c r="E28" i="14"/>
  <c r="F28" i="14" s="1"/>
  <c r="E27" i="14"/>
  <c r="F27" i="14"/>
  <c r="C24" i="14"/>
  <c r="E24" i="14"/>
  <c r="C23" i="14"/>
  <c r="E23" i="14" s="1"/>
  <c r="E22" i="14"/>
  <c r="F22" i="14" s="1"/>
  <c r="C20" i="14"/>
  <c r="C266" i="14" s="1"/>
  <c r="E19" i="14"/>
  <c r="F19" i="14" s="1"/>
  <c r="E18" i="14"/>
  <c r="F18" i="14" s="1"/>
  <c r="C17" i="14"/>
  <c r="E17" i="14" s="1"/>
  <c r="F17" i="14" s="1"/>
  <c r="E16" i="14"/>
  <c r="F16" i="14" s="1"/>
  <c r="E15" i="14"/>
  <c r="F15" i="14" s="1"/>
  <c r="D21" i="13"/>
  <c r="C21" i="13"/>
  <c r="E21" i="13" s="1"/>
  <c r="E20" i="13"/>
  <c r="F20" i="13"/>
  <c r="D17" i="13"/>
  <c r="C17" i="13"/>
  <c r="E16" i="13"/>
  <c r="F16" i="13" s="1"/>
  <c r="D13" i="13"/>
  <c r="C13" i="13"/>
  <c r="E13" i="13" s="1"/>
  <c r="E12" i="13"/>
  <c r="F12" i="13"/>
  <c r="D99" i="12"/>
  <c r="C99" i="12"/>
  <c r="E98" i="12"/>
  <c r="F98" i="12" s="1"/>
  <c r="F97" i="12"/>
  <c r="E97" i="12"/>
  <c r="E96" i="12"/>
  <c r="F96" i="12" s="1"/>
  <c r="D92" i="12"/>
  <c r="C92" i="12"/>
  <c r="E92" i="12" s="1"/>
  <c r="E91" i="12"/>
  <c r="F91" i="12"/>
  <c r="F90" i="12"/>
  <c r="E90" i="12"/>
  <c r="E89" i="12"/>
  <c r="F89" i="12"/>
  <c r="E88" i="12"/>
  <c r="F88" i="12"/>
  <c r="E87" i="12"/>
  <c r="F87" i="12"/>
  <c r="D84" i="12"/>
  <c r="C84" i="12"/>
  <c r="F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 s="1"/>
  <c r="E69" i="12"/>
  <c r="F69" i="12" s="1"/>
  <c r="E68" i="12"/>
  <c r="F68" i="12" s="1"/>
  <c r="D65" i="12"/>
  <c r="C65" i="12"/>
  <c r="E65" i="12" s="1"/>
  <c r="E64" i="12"/>
  <c r="F64" i="12"/>
  <c r="E63" i="12"/>
  <c r="F63" i="12"/>
  <c r="D60" i="12"/>
  <c r="C60" i="12"/>
  <c r="F60" i="12" s="1"/>
  <c r="F59" i="12"/>
  <c r="E59" i="12"/>
  <c r="F58" i="12"/>
  <c r="E58" i="12"/>
  <c r="E60" i="12" s="1"/>
  <c r="D55" i="12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 s="1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 s="1"/>
  <c r="F22" i="12"/>
  <c r="E22" i="12"/>
  <c r="E21" i="12"/>
  <c r="F21" i="12" s="1"/>
  <c r="E20" i="12"/>
  <c r="F20" i="12" s="1"/>
  <c r="E19" i="12"/>
  <c r="F19" i="12" s="1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 s="1"/>
  <c r="D17" i="11"/>
  <c r="D31" i="11" s="1"/>
  <c r="C17" i="11"/>
  <c r="C33" i="11"/>
  <c r="C36" i="11" s="1"/>
  <c r="C38" i="11" s="1"/>
  <c r="C40" i="11" s="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D75" i="10"/>
  <c r="E73" i="10"/>
  <c r="E75" i="10"/>
  <c r="D73" i="10"/>
  <c r="C73" i="10"/>
  <c r="C75" i="10" s="1"/>
  <c r="E71" i="10"/>
  <c r="D71" i="10"/>
  <c r="C71" i="10"/>
  <c r="E66" i="10"/>
  <c r="E65" i="10" s="1"/>
  <c r="D66" i="10"/>
  <c r="D65" i="10" s="1"/>
  <c r="C66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C50" i="10" s="1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 s="1"/>
  <c r="F45" i="9"/>
  <c r="E45" i="9"/>
  <c r="F44" i="9"/>
  <c r="E44" i="9"/>
  <c r="D39" i="9"/>
  <c r="C39" i="9"/>
  <c r="F39" i="9"/>
  <c r="F38" i="9"/>
  <c r="E38" i="9"/>
  <c r="F37" i="9"/>
  <c r="E37" i="9"/>
  <c r="F36" i="9"/>
  <c r="E36" i="9"/>
  <c r="D31" i="9"/>
  <c r="C31" i="9"/>
  <c r="E30" i="9"/>
  <c r="F30" i="9" s="1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 s="1"/>
  <c r="D33" i="9" s="1"/>
  <c r="D41" i="9" s="1"/>
  <c r="D48" i="9" s="1"/>
  <c r="C16" i="9"/>
  <c r="F15" i="9"/>
  <c r="E15" i="9"/>
  <c r="E14" i="9"/>
  <c r="F14" i="9"/>
  <c r="E13" i="9"/>
  <c r="F13" i="9"/>
  <c r="E12" i="9"/>
  <c r="F12" i="9"/>
  <c r="D73" i="8"/>
  <c r="E73" i="8" s="1"/>
  <c r="C73" i="8"/>
  <c r="F72" i="8"/>
  <c r="E72" i="8"/>
  <c r="F71" i="8"/>
  <c r="E71" i="8"/>
  <c r="E70" i="8"/>
  <c r="F70" i="8" s="1"/>
  <c r="F67" i="8"/>
  <c r="E67" i="8"/>
  <c r="E64" i="8"/>
  <c r="F64" i="8" s="1"/>
  <c r="E63" i="8"/>
  <c r="F63" i="8" s="1"/>
  <c r="D61" i="8"/>
  <c r="D65" i="8" s="1"/>
  <c r="C61" i="8"/>
  <c r="C65" i="8"/>
  <c r="E60" i="8"/>
  <c r="F60" i="8"/>
  <c r="F59" i="8"/>
  <c r="E59" i="8"/>
  <c r="D56" i="8"/>
  <c r="C56" i="8"/>
  <c r="F55" i="8"/>
  <c r="E55" i="8"/>
  <c r="E54" i="8"/>
  <c r="F54" i="8" s="1"/>
  <c r="F53" i="8"/>
  <c r="E53" i="8"/>
  <c r="F52" i="8"/>
  <c r="E52" i="8"/>
  <c r="E51" i="8"/>
  <c r="F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/>
  <c r="D38" i="8"/>
  <c r="D41" i="8"/>
  <c r="C38" i="8"/>
  <c r="E38" i="8"/>
  <c r="E37" i="8"/>
  <c r="F37" i="8"/>
  <c r="E36" i="8"/>
  <c r="F36" i="8"/>
  <c r="E33" i="8"/>
  <c r="F33" i="8"/>
  <c r="F32" i="8"/>
  <c r="E32" i="8"/>
  <c r="F31" i="8"/>
  <c r="E31" i="8"/>
  <c r="D29" i="8"/>
  <c r="C29" i="8"/>
  <c r="F29" i="8"/>
  <c r="F28" i="8"/>
  <c r="E28" i="8"/>
  <c r="F27" i="8"/>
  <c r="E27" i="8"/>
  <c r="F26" i="8"/>
  <c r="E26" i="8"/>
  <c r="F25" i="8"/>
  <c r="E25" i="8"/>
  <c r="D22" i="8"/>
  <c r="E22" i="8" s="1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F14" i="8"/>
  <c r="E14" i="8"/>
  <c r="F13" i="8"/>
  <c r="E13" i="8"/>
  <c r="D120" i="7"/>
  <c r="E120" i="7" s="1"/>
  <c r="C120" i="7"/>
  <c r="F120" i="7"/>
  <c r="D119" i="7"/>
  <c r="C119" i="7"/>
  <c r="D118" i="7"/>
  <c r="E118" i="7" s="1"/>
  <c r="C118" i="7"/>
  <c r="D117" i="7"/>
  <c r="C117" i="7"/>
  <c r="E117" i="7" s="1"/>
  <c r="D116" i="7"/>
  <c r="E116" i="7" s="1"/>
  <c r="C116" i="7"/>
  <c r="D115" i="7"/>
  <c r="E115" i="7" s="1"/>
  <c r="C115" i="7"/>
  <c r="D114" i="7"/>
  <c r="C114" i="7"/>
  <c r="E114" i="7" s="1"/>
  <c r="D113" i="7"/>
  <c r="C113" i="7"/>
  <c r="D112" i="7"/>
  <c r="E112" i="7" s="1"/>
  <c r="C112" i="7"/>
  <c r="C121" i="7" s="1"/>
  <c r="D108" i="7"/>
  <c r="E108" i="7" s="1"/>
  <c r="C108" i="7"/>
  <c r="D107" i="7"/>
  <c r="C107" i="7"/>
  <c r="F106" i="7"/>
  <c r="E106" i="7"/>
  <c r="F105" i="7"/>
  <c r="E105" i="7"/>
  <c r="E104" i="7"/>
  <c r="F104" i="7" s="1"/>
  <c r="E103" i="7"/>
  <c r="F103" i="7" s="1"/>
  <c r="E102" i="7"/>
  <c r="F102" i="7" s="1"/>
  <c r="E101" i="7"/>
  <c r="F101" i="7"/>
  <c r="E100" i="7"/>
  <c r="F100" i="7"/>
  <c r="E99" i="7"/>
  <c r="F99" i="7" s="1"/>
  <c r="E98" i="7"/>
  <c r="F98" i="7" s="1"/>
  <c r="D96" i="7"/>
  <c r="E96" i="7" s="1"/>
  <c r="C96" i="7"/>
  <c r="D95" i="7"/>
  <c r="C95" i="7"/>
  <c r="E95" i="7" s="1"/>
  <c r="F94" i="7"/>
  <c r="E94" i="7"/>
  <c r="E93" i="7"/>
  <c r="F93" i="7"/>
  <c r="E92" i="7"/>
  <c r="F92" i="7"/>
  <c r="F91" i="7"/>
  <c r="E91" i="7"/>
  <c r="F90" i="7"/>
  <c r="E90" i="7"/>
  <c r="E89" i="7"/>
  <c r="F89" i="7"/>
  <c r="E88" i="7"/>
  <c r="F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D71" i="7"/>
  <c r="C71" i="7"/>
  <c r="F70" i="7"/>
  <c r="E70" i="7"/>
  <c r="F69" i="7"/>
  <c r="E69" i="7"/>
  <c r="E68" i="7"/>
  <c r="F68" i="7" s="1"/>
  <c r="F67" i="7"/>
  <c r="E67" i="7"/>
  <c r="F66" i="7"/>
  <c r="E66" i="7"/>
  <c r="E65" i="7"/>
  <c r="F65" i="7" s="1"/>
  <c r="E64" i="7"/>
  <c r="F64" i="7" s="1"/>
  <c r="F63" i="7"/>
  <c r="E63" i="7"/>
  <c r="F62" i="7"/>
  <c r="E62" i="7"/>
  <c r="D60" i="7"/>
  <c r="E60" i="7" s="1"/>
  <c r="C60" i="7"/>
  <c r="D59" i="7"/>
  <c r="C59" i="7"/>
  <c r="F58" i="7"/>
  <c r="E58" i="7"/>
  <c r="E57" i="7"/>
  <c r="F57" i="7" s="1"/>
  <c r="E56" i="7"/>
  <c r="F56" i="7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D47" i="7"/>
  <c r="C47" i="7"/>
  <c r="E47" i="7"/>
  <c r="F46" i="7"/>
  <c r="E46" i="7"/>
  <c r="E45" i="7"/>
  <c r="F45" i="7"/>
  <c r="E44" i="7"/>
  <c r="F44" i="7" s="1"/>
  <c r="F43" i="7"/>
  <c r="E43" i="7"/>
  <c r="F42" i="7"/>
  <c r="E42" i="7"/>
  <c r="E41" i="7"/>
  <c r="F41" i="7" s="1"/>
  <c r="E40" i="7"/>
  <c r="F40" i="7"/>
  <c r="F39" i="7"/>
  <c r="E39" i="7"/>
  <c r="F38" i="7"/>
  <c r="E38" i="7"/>
  <c r="D36" i="7"/>
  <c r="E36" i="7" s="1"/>
  <c r="C36" i="7"/>
  <c r="D35" i="7"/>
  <c r="C35" i="7"/>
  <c r="F34" i="7"/>
  <c r="E34" i="7"/>
  <c r="E33" i="7"/>
  <c r="F33" i="7" s="1"/>
  <c r="E32" i="7"/>
  <c r="F32" i="7"/>
  <c r="E31" i="7"/>
  <c r="F31" i="7" s="1"/>
  <c r="E30" i="7"/>
  <c r="F30" i="7" s="1"/>
  <c r="E29" i="7"/>
  <c r="F29" i="7" s="1"/>
  <c r="E28" i="7"/>
  <c r="F28" i="7" s="1"/>
  <c r="E27" i="7"/>
  <c r="F27" i="7"/>
  <c r="E26" i="7"/>
  <c r="F26" i="7"/>
  <c r="D24" i="7"/>
  <c r="C24" i="7"/>
  <c r="E24" i="7" s="1"/>
  <c r="D23" i="7"/>
  <c r="C23" i="7"/>
  <c r="E23" i="7" s="1"/>
  <c r="F22" i="7"/>
  <c r="E22" i="7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D206" i="6"/>
  <c r="E206" i="6" s="1"/>
  <c r="C206" i="6"/>
  <c r="F206" i="6" s="1"/>
  <c r="D205" i="6"/>
  <c r="E205" i="6" s="1"/>
  <c r="C205" i="6"/>
  <c r="F205" i="6" s="1"/>
  <c r="D204" i="6"/>
  <c r="E204" i="6" s="1"/>
  <c r="C204" i="6"/>
  <c r="D203" i="6"/>
  <c r="C203" i="6"/>
  <c r="D202" i="6"/>
  <c r="E202" i="6" s="1"/>
  <c r="C202" i="6"/>
  <c r="F202" i="6" s="1"/>
  <c r="D201" i="6"/>
  <c r="E201" i="6" s="1"/>
  <c r="C201" i="6"/>
  <c r="D200" i="6"/>
  <c r="E200" i="6" s="1"/>
  <c r="C200" i="6"/>
  <c r="D199" i="6"/>
  <c r="C199" i="6"/>
  <c r="C208" i="6" s="1"/>
  <c r="D198" i="6"/>
  <c r="E198" i="6" s="1"/>
  <c r="C198" i="6"/>
  <c r="F198" i="6" s="1"/>
  <c r="D193" i="6"/>
  <c r="E193" i="6" s="1"/>
  <c r="C193" i="6"/>
  <c r="F193" i="6" s="1"/>
  <c r="D192" i="6"/>
  <c r="C192" i="6"/>
  <c r="F191" i="6"/>
  <c r="E191" i="6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 s="1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C140" i="6"/>
  <c r="F139" i="6"/>
  <c r="E139" i="6"/>
  <c r="E138" i="6"/>
  <c r="F138" i="6" s="1"/>
  <c r="E137" i="6"/>
  <c r="F137" i="6" s="1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D128" i="6"/>
  <c r="C128" i="6"/>
  <c r="D127" i="6"/>
  <c r="E127" i="6" s="1"/>
  <c r="C127" i="6"/>
  <c r="F126" i="6"/>
  <c r="E126" i="6"/>
  <c r="E125" i="6"/>
  <c r="F125" i="6" s="1"/>
  <c r="E124" i="6"/>
  <c r="F124" i="6" s="1"/>
  <c r="F123" i="6"/>
  <c r="E123" i="6"/>
  <c r="E122" i="6"/>
  <c r="F122" i="6" s="1"/>
  <c r="E121" i="6"/>
  <c r="F121" i="6" s="1"/>
  <c r="E120" i="6"/>
  <c r="F120" i="6" s="1"/>
  <c r="F119" i="6"/>
  <c r="E119" i="6"/>
  <c r="E118" i="6"/>
  <c r="F118" i="6" s="1"/>
  <c r="D115" i="6"/>
  <c r="C115" i="6"/>
  <c r="D114" i="6"/>
  <c r="C114" i="6"/>
  <c r="F113" i="6"/>
  <c r="E113" i="6"/>
  <c r="E112" i="6"/>
  <c r="F112" i="6" s="1"/>
  <c r="F111" i="6"/>
  <c r="E111" i="6"/>
  <c r="E110" i="6"/>
  <c r="F110" i="6" s="1"/>
  <c r="E109" i="6"/>
  <c r="F109" i="6" s="1"/>
  <c r="E108" i="6"/>
  <c r="F108" i="6" s="1"/>
  <c r="F107" i="6"/>
  <c r="E107" i="6"/>
  <c r="E106" i="6"/>
  <c r="F106" i="6" s="1"/>
  <c r="E105" i="6"/>
  <c r="F105" i="6" s="1"/>
  <c r="D102" i="6"/>
  <c r="E102" i="6" s="1"/>
  <c r="C102" i="6"/>
  <c r="F102" i="6" s="1"/>
  <c r="D101" i="6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D88" i="6"/>
  <c r="C88" i="6"/>
  <c r="F87" i="6"/>
  <c r="E87" i="6"/>
  <c r="F86" i="6"/>
  <c r="E86" i="6"/>
  <c r="E85" i="6"/>
  <c r="F85" i="6" s="1"/>
  <c r="E84" i="6"/>
  <c r="F84" i="6" s="1"/>
  <c r="E83" i="6"/>
  <c r="F83" i="6" s="1"/>
  <c r="E82" i="6"/>
  <c r="F82" i="6" s="1"/>
  <c r="F81" i="6"/>
  <c r="E81" i="6"/>
  <c r="E80" i="6"/>
  <c r="F80" i="6" s="1"/>
  <c r="E79" i="6"/>
  <c r="F79" i="6" s="1"/>
  <c r="D76" i="6"/>
  <c r="E76" i="6" s="1"/>
  <c r="C76" i="6"/>
  <c r="D75" i="6"/>
  <c r="C75" i="6"/>
  <c r="F74" i="6"/>
  <c r="E74" i="6"/>
  <c r="E73" i="6"/>
  <c r="F73" i="6" s="1"/>
  <c r="E72" i="6"/>
  <c r="F72" i="6" s="1"/>
  <c r="E71" i="6"/>
  <c r="F71" i="6" s="1"/>
  <c r="E70" i="6"/>
  <c r="F70" i="6" s="1"/>
  <c r="F69" i="6"/>
  <c r="E69" i="6"/>
  <c r="E68" i="6"/>
  <c r="F68" i="6" s="1"/>
  <c r="E67" i="6"/>
  <c r="F67" i="6" s="1"/>
  <c r="E66" i="6"/>
  <c r="F66" i="6" s="1"/>
  <c r="D63" i="6"/>
  <c r="E63" i="6" s="1"/>
  <c r="C63" i="6"/>
  <c r="D62" i="6"/>
  <c r="E62" i="6" s="1"/>
  <c r="C62" i="6"/>
  <c r="F61" i="6"/>
  <c r="E61" i="6"/>
  <c r="F60" i="6"/>
  <c r="E60" i="6"/>
  <c r="E59" i="6"/>
  <c r="F59" i="6" s="1"/>
  <c r="E58" i="6"/>
  <c r="F58" i="6" s="1"/>
  <c r="F57" i="6"/>
  <c r="E57" i="6"/>
  <c r="E56" i="6"/>
  <c r="F56" i="6" s="1"/>
  <c r="E55" i="6"/>
  <c r="F55" i="6" s="1"/>
  <c r="E54" i="6"/>
  <c r="F54" i="6" s="1"/>
  <c r="E53" i="6"/>
  <c r="F53" i="6" s="1"/>
  <c r="D50" i="6"/>
  <c r="E50" i="6" s="1"/>
  <c r="C50" i="6"/>
  <c r="D49" i="6"/>
  <c r="C49" i="6"/>
  <c r="F48" i="6"/>
  <c r="E48" i="6"/>
  <c r="E47" i="6"/>
  <c r="F47" i="6" s="1"/>
  <c r="E46" i="6"/>
  <c r="F46" i="6" s="1"/>
  <c r="F45" i="6"/>
  <c r="E45" i="6"/>
  <c r="F44" i="6"/>
  <c r="E44" i="6"/>
  <c r="F43" i="6"/>
  <c r="E43" i="6"/>
  <c r="E42" i="6"/>
  <c r="F42" i="6" s="1"/>
  <c r="F41" i="6"/>
  <c r="E41" i="6"/>
  <c r="F40" i="6"/>
  <c r="E40" i="6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C23" i="6"/>
  <c r="F22" i="6"/>
  <c r="E22" i="6"/>
  <c r="F21" i="6"/>
  <c r="E21" i="6"/>
  <c r="E20" i="6"/>
  <c r="F20" i="6" s="1"/>
  <c r="F19" i="6"/>
  <c r="E19" i="6"/>
  <c r="F18" i="6"/>
  <c r="E18" i="6"/>
  <c r="E17" i="6"/>
  <c r="F17" i="6" s="1"/>
  <c r="E16" i="6"/>
  <c r="F16" i="6" s="1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C164" i="5"/>
  <c r="C160" i="5" s="1"/>
  <c r="E162" i="5"/>
  <c r="D162" i="5"/>
  <c r="D166" i="5" s="1"/>
  <c r="C162" i="5"/>
  <c r="E161" i="5"/>
  <c r="D161" i="5"/>
  <c r="C161" i="5"/>
  <c r="D160" i="5"/>
  <c r="C166" i="5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 s="1"/>
  <c r="E94" i="5"/>
  <c r="D94" i="5"/>
  <c r="E89" i="5"/>
  <c r="D89" i="5"/>
  <c r="C89" i="5"/>
  <c r="E87" i="5"/>
  <c r="D87" i="5"/>
  <c r="C87" i="5"/>
  <c r="E84" i="5"/>
  <c r="D84" i="5"/>
  <c r="C84" i="5"/>
  <c r="E83" i="5"/>
  <c r="D83" i="5"/>
  <c r="C83" i="5"/>
  <c r="D79" i="5"/>
  <c r="E75" i="5"/>
  <c r="E77" i="5" s="1"/>
  <c r="D75" i="5"/>
  <c r="D88" i="5" s="1"/>
  <c r="D90" i="5" s="1"/>
  <c r="D86" i="5" s="1"/>
  <c r="C75" i="5"/>
  <c r="C77" i="5" s="1"/>
  <c r="E74" i="5"/>
  <c r="D74" i="5"/>
  <c r="C74" i="5"/>
  <c r="E71" i="5"/>
  <c r="E67" i="5"/>
  <c r="D67" i="5"/>
  <c r="C67" i="5"/>
  <c r="E38" i="5"/>
  <c r="E43" i="5" s="1"/>
  <c r="D38" i="5"/>
  <c r="D49" i="5" s="1"/>
  <c r="C38" i="5"/>
  <c r="C49" i="5" s="1"/>
  <c r="E33" i="5"/>
  <c r="E34" i="5" s="1"/>
  <c r="D33" i="5"/>
  <c r="D34" i="5" s="1"/>
  <c r="E26" i="5"/>
  <c r="D26" i="5"/>
  <c r="C26" i="5"/>
  <c r="E13" i="5"/>
  <c r="E25" i="5" s="1"/>
  <c r="E27" i="5" s="1"/>
  <c r="D13" i="5"/>
  <c r="C13" i="5"/>
  <c r="C15" i="5" s="1"/>
  <c r="F174" i="4"/>
  <c r="E174" i="4"/>
  <c r="D171" i="4"/>
  <c r="C171" i="4"/>
  <c r="E171" i="4" s="1"/>
  <c r="F170" i="4"/>
  <c r="E170" i="4"/>
  <c r="F169" i="4"/>
  <c r="E169" i="4"/>
  <c r="F168" i="4"/>
  <c r="E168" i="4"/>
  <c r="F167" i="4"/>
  <c r="E167" i="4"/>
  <c r="F166" i="4"/>
  <c r="E166" i="4"/>
  <c r="F165" i="4"/>
  <c r="E165" i="4"/>
  <c r="E164" i="4"/>
  <c r="F164" i="4" s="1"/>
  <c r="F163" i="4"/>
  <c r="E163" i="4"/>
  <c r="F162" i="4"/>
  <c r="E162" i="4"/>
  <c r="E161" i="4"/>
  <c r="F161" i="4" s="1"/>
  <c r="F160" i="4"/>
  <c r="E160" i="4"/>
  <c r="E159" i="4"/>
  <c r="F159" i="4" s="1"/>
  <c r="E158" i="4"/>
  <c r="F158" i="4" s="1"/>
  <c r="D155" i="4"/>
  <c r="E155" i="4" s="1"/>
  <c r="C155" i="4"/>
  <c r="F155" i="4" s="1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 s="1"/>
  <c r="E144" i="4"/>
  <c r="F144" i="4" s="1"/>
  <c r="F143" i="4"/>
  <c r="E143" i="4"/>
  <c r="E142" i="4"/>
  <c r="F142" i="4" s="1"/>
  <c r="F141" i="4"/>
  <c r="E141" i="4"/>
  <c r="F140" i="4"/>
  <c r="E140" i="4"/>
  <c r="F139" i="4"/>
  <c r="E139" i="4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/>
  <c r="F132" i="4"/>
  <c r="E132" i="4"/>
  <c r="F131" i="4"/>
  <c r="E131" i="4"/>
  <c r="E130" i="4"/>
  <c r="F130" i="4" s="1"/>
  <c r="E129" i="4"/>
  <c r="F129" i="4" s="1"/>
  <c r="E128" i="4"/>
  <c r="F128" i="4" s="1"/>
  <c r="F127" i="4"/>
  <c r="E127" i="4"/>
  <c r="F126" i="4"/>
  <c r="E126" i="4"/>
  <c r="E125" i="4"/>
  <c r="F125" i="4"/>
  <c r="E124" i="4"/>
  <c r="F124" i="4" s="1"/>
  <c r="E123" i="4"/>
  <c r="F123" i="4" s="1"/>
  <c r="E122" i="4"/>
  <c r="F122" i="4" s="1"/>
  <c r="E121" i="4"/>
  <c r="F121" i="4"/>
  <c r="D118" i="4"/>
  <c r="E118" i="4"/>
  <c r="C118" i="4"/>
  <c r="F117" i="4"/>
  <c r="E117" i="4"/>
  <c r="E116" i="4"/>
  <c r="F116" i="4" s="1"/>
  <c r="F115" i="4"/>
  <c r="E115" i="4"/>
  <c r="E114" i="4"/>
  <c r="F114" i="4" s="1"/>
  <c r="F113" i="4"/>
  <c r="E113" i="4"/>
  <c r="E112" i="4"/>
  <c r="F112" i="4" s="1"/>
  <c r="D109" i="4"/>
  <c r="C109" i="4"/>
  <c r="E108" i="4"/>
  <c r="F108" i="4" s="1"/>
  <c r="E107" i="4"/>
  <c r="F107" i="4" s="1"/>
  <c r="F106" i="4"/>
  <c r="E106" i="4"/>
  <c r="F105" i="4"/>
  <c r="E105" i="4"/>
  <c r="F104" i="4"/>
  <c r="E104" i="4"/>
  <c r="E103" i="4"/>
  <c r="F103" i="4" s="1"/>
  <c r="E102" i="4"/>
  <c r="F102" i="4" s="1"/>
  <c r="E101" i="4"/>
  <c r="F101" i="4" s="1"/>
  <c r="E100" i="4"/>
  <c r="F100" i="4" s="1"/>
  <c r="F99" i="4"/>
  <c r="E99" i="4"/>
  <c r="E98" i="4"/>
  <c r="F98" i="4" s="1"/>
  <c r="F97" i="4"/>
  <c r="E97" i="4"/>
  <c r="F96" i="4"/>
  <c r="E96" i="4"/>
  <c r="F95" i="4"/>
  <c r="E95" i="4"/>
  <c r="F94" i="4"/>
  <c r="E94" i="4"/>
  <c r="F93" i="4"/>
  <c r="E93" i="4"/>
  <c r="F92" i="4"/>
  <c r="E92" i="4"/>
  <c r="E91" i="4"/>
  <c r="F91" i="4" s="1"/>
  <c r="F81" i="4"/>
  <c r="E81" i="4"/>
  <c r="D78" i="4"/>
  <c r="C78" i="4"/>
  <c r="E77" i="4"/>
  <c r="F77" i="4" s="1"/>
  <c r="E76" i="4"/>
  <c r="F76" i="4" s="1"/>
  <c r="E75" i="4"/>
  <c r="F75" i="4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F67" i="4"/>
  <c r="E67" i="4"/>
  <c r="E66" i="4"/>
  <c r="F66" i="4" s="1"/>
  <c r="F65" i="4"/>
  <c r="E65" i="4"/>
  <c r="E64" i="4"/>
  <c r="F64" i="4" s="1"/>
  <c r="E63" i="4"/>
  <c r="F63" i="4"/>
  <c r="E62" i="4"/>
  <c r="F62" i="4" s="1"/>
  <c r="D59" i="4"/>
  <c r="E59" i="4" s="1"/>
  <c r="C59" i="4"/>
  <c r="E58" i="4"/>
  <c r="F58" i="4" s="1"/>
  <c r="E57" i="4"/>
  <c r="F57" i="4" s="1"/>
  <c r="E56" i="4"/>
  <c r="F56" i="4"/>
  <c r="E55" i="4"/>
  <c r="F55" i="4" s="1"/>
  <c r="E54" i="4"/>
  <c r="F54" i="4" s="1"/>
  <c r="E53" i="4"/>
  <c r="F53" i="4" s="1"/>
  <c r="E50" i="4"/>
  <c r="F50" i="4"/>
  <c r="E47" i="4"/>
  <c r="F47" i="4" s="1"/>
  <c r="E44" i="4"/>
  <c r="F44" i="4" s="1"/>
  <c r="D41" i="4"/>
  <c r="E41" i="4" s="1"/>
  <c r="C41" i="4"/>
  <c r="F40" i="4"/>
  <c r="E40" i="4"/>
  <c r="E39" i="4"/>
  <c r="F39" i="4" s="1"/>
  <c r="E38" i="4"/>
  <c r="F38" i="4" s="1"/>
  <c r="D35" i="4"/>
  <c r="C35" i="4"/>
  <c r="E34" i="4"/>
  <c r="F34" i="4"/>
  <c r="E33" i="4"/>
  <c r="F33" i="4" s="1"/>
  <c r="D30" i="4"/>
  <c r="E30" i="4" s="1"/>
  <c r="C30" i="4"/>
  <c r="E29" i="4"/>
  <c r="F29" i="4" s="1"/>
  <c r="E28" i="4"/>
  <c r="F28" i="4" s="1"/>
  <c r="E27" i="4"/>
  <c r="F27" i="4"/>
  <c r="D24" i="4"/>
  <c r="C24" i="4"/>
  <c r="E24" i="4" s="1"/>
  <c r="F24" i="4" s="1"/>
  <c r="E23" i="4"/>
  <c r="F23" i="4" s="1"/>
  <c r="F22" i="4"/>
  <c r="E22" i="4"/>
  <c r="E21" i="4"/>
  <c r="F21" i="4" s="1"/>
  <c r="D18" i="4"/>
  <c r="E18" i="4" s="1"/>
  <c r="C18" i="4"/>
  <c r="E17" i="4"/>
  <c r="F17" i="4"/>
  <c r="F16" i="4"/>
  <c r="E16" i="4"/>
  <c r="E15" i="4"/>
  <c r="F15" i="4" s="1"/>
  <c r="D179" i="3"/>
  <c r="E179" i="3" s="1"/>
  <c r="C179" i="3"/>
  <c r="E178" i="3"/>
  <c r="F178" i="3" s="1"/>
  <c r="E177" i="3"/>
  <c r="F177" i="3" s="1"/>
  <c r="F176" i="3"/>
  <c r="E176" i="3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F168" i="3"/>
  <c r="E168" i="3"/>
  <c r="D166" i="3"/>
  <c r="E166" i="3" s="1"/>
  <c r="F166" i="3" s="1"/>
  <c r="C166" i="3"/>
  <c r="E165" i="3"/>
  <c r="F165" i="3" s="1"/>
  <c r="E164" i="3"/>
  <c r="F164" i="3" s="1"/>
  <c r="E163" i="3"/>
  <c r="F163" i="3" s="1"/>
  <c r="F162" i="3"/>
  <c r="E162" i="3"/>
  <c r="E161" i="3"/>
  <c r="F161" i="3" s="1"/>
  <c r="E160" i="3"/>
  <c r="F160" i="3" s="1"/>
  <c r="E159" i="3"/>
  <c r="F159" i="3" s="1"/>
  <c r="F158" i="3"/>
  <c r="E158" i="3"/>
  <c r="E157" i="3"/>
  <c r="F157" i="3" s="1"/>
  <c r="E156" i="3"/>
  <c r="F156" i="3" s="1"/>
  <c r="E155" i="3"/>
  <c r="F155" i="3" s="1"/>
  <c r="D153" i="3"/>
  <c r="E153" i="3" s="1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E137" i="3" s="1"/>
  <c r="F137" i="3" s="1"/>
  <c r="C137" i="3"/>
  <c r="E136" i="3"/>
  <c r="F136" i="3" s="1"/>
  <c r="E135" i="3"/>
  <c r="F135" i="3" s="1"/>
  <c r="E134" i="3"/>
  <c r="F134" i="3" s="1"/>
  <c r="F133" i="3"/>
  <c r="E133" i="3"/>
  <c r="E132" i="3"/>
  <c r="F132" i="3" s="1"/>
  <c r="E131" i="3"/>
  <c r="F131" i="3" s="1"/>
  <c r="E130" i="3"/>
  <c r="F130" i="3" s="1"/>
  <c r="F129" i="3"/>
  <c r="E129" i="3"/>
  <c r="E128" i="3"/>
  <c r="F128" i="3" s="1"/>
  <c r="E127" i="3"/>
  <c r="F127" i="3" s="1"/>
  <c r="E126" i="3"/>
  <c r="F126" i="3" s="1"/>
  <c r="D124" i="3"/>
  <c r="E124" i="3" s="1"/>
  <c r="F124" i="3" s="1"/>
  <c r="C124" i="3"/>
  <c r="F123" i="3"/>
  <c r="E123" i="3"/>
  <c r="E122" i="3"/>
  <c r="F122" i="3" s="1"/>
  <c r="E121" i="3"/>
  <c r="F121" i="3" s="1"/>
  <c r="E120" i="3"/>
  <c r="F120" i="3" s="1"/>
  <c r="F119" i="3"/>
  <c r="E119" i="3"/>
  <c r="E118" i="3"/>
  <c r="F118" i="3" s="1"/>
  <c r="E117" i="3"/>
  <c r="F117" i="3" s="1"/>
  <c r="E116" i="3"/>
  <c r="F116" i="3" s="1"/>
  <c r="F115" i="3"/>
  <c r="E115" i="3"/>
  <c r="E114" i="3"/>
  <c r="F114" i="3" s="1"/>
  <c r="E113" i="3"/>
  <c r="F113" i="3" s="1"/>
  <c r="D111" i="3"/>
  <c r="C111" i="3"/>
  <c r="E110" i="3"/>
  <c r="F110" i="3" s="1"/>
  <c r="F109" i="3"/>
  <c r="E109" i="3"/>
  <c r="E108" i="3"/>
  <c r="F108" i="3" s="1"/>
  <c r="E107" i="3"/>
  <c r="F107" i="3" s="1"/>
  <c r="E106" i="3"/>
  <c r="F106" i="3" s="1"/>
  <c r="F105" i="3"/>
  <c r="E105" i="3"/>
  <c r="E104" i="3"/>
  <c r="F104" i="3" s="1"/>
  <c r="E103" i="3"/>
  <c r="F103" i="3" s="1"/>
  <c r="E102" i="3"/>
  <c r="F102" i="3" s="1"/>
  <c r="F101" i="3"/>
  <c r="E101" i="3"/>
  <c r="E100" i="3"/>
  <c r="F100" i="3" s="1"/>
  <c r="D94" i="3"/>
  <c r="C94" i="3"/>
  <c r="D93" i="3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E81" i="3" s="1"/>
  <c r="E80" i="3"/>
  <c r="F80" i="3" s="1"/>
  <c r="E79" i="3"/>
  <c r="F79" i="3" s="1"/>
  <c r="E78" i="3"/>
  <c r="F78" i="3" s="1"/>
  <c r="E77" i="3"/>
  <c r="F77" i="3"/>
  <c r="E76" i="3"/>
  <c r="F76" i="3" s="1"/>
  <c r="E75" i="3"/>
  <c r="F75" i="3" s="1"/>
  <c r="E74" i="3"/>
  <c r="F74" i="3" s="1"/>
  <c r="E73" i="3"/>
  <c r="F73" i="3"/>
  <c r="E72" i="3"/>
  <c r="F72" i="3" s="1"/>
  <c r="E71" i="3"/>
  <c r="F71" i="3" s="1"/>
  <c r="E70" i="3"/>
  <c r="F70" i="3" s="1"/>
  <c r="D68" i="3"/>
  <c r="C68" i="3"/>
  <c r="E68" i="3" s="1"/>
  <c r="E67" i="3"/>
  <c r="F67" i="3"/>
  <c r="E66" i="3"/>
  <c r="F66" i="3" s="1"/>
  <c r="E65" i="3"/>
  <c r="F65" i="3" s="1"/>
  <c r="E64" i="3"/>
  <c r="F64" i="3" s="1"/>
  <c r="E63" i="3"/>
  <c r="F63" i="3"/>
  <c r="E62" i="3"/>
  <c r="F62" i="3" s="1"/>
  <c r="E61" i="3"/>
  <c r="F61" i="3" s="1"/>
  <c r="E60" i="3"/>
  <c r="F60" i="3" s="1"/>
  <c r="E59" i="3"/>
  <c r="F59" i="3"/>
  <c r="E58" i="3"/>
  <c r="F58" i="3" s="1"/>
  <c r="E57" i="3"/>
  <c r="F57" i="3" s="1"/>
  <c r="D51" i="3"/>
  <c r="E51" i="3" s="1"/>
  <c r="C51" i="3"/>
  <c r="D50" i="3"/>
  <c r="C50" i="3"/>
  <c r="D49" i="3"/>
  <c r="E49" i="3"/>
  <c r="C49" i="3"/>
  <c r="D48" i="3"/>
  <c r="E48" i="3" s="1"/>
  <c r="F48" i="3" s="1"/>
  <c r="C48" i="3"/>
  <c r="D47" i="3"/>
  <c r="E47" i="3" s="1"/>
  <c r="C47" i="3"/>
  <c r="D46" i="3"/>
  <c r="C46" i="3"/>
  <c r="D45" i="3"/>
  <c r="E45" i="3"/>
  <c r="C45" i="3"/>
  <c r="D44" i="3"/>
  <c r="E44" i="3" s="1"/>
  <c r="F44" i="3" s="1"/>
  <c r="C44" i="3"/>
  <c r="D43" i="3"/>
  <c r="E43" i="3" s="1"/>
  <c r="C43" i="3"/>
  <c r="D42" i="3"/>
  <c r="C42" i="3"/>
  <c r="D41" i="3"/>
  <c r="E41" i="3"/>
  <c r="C41" i="3"/>
  <c r="D38" i="3"/>
  <c r="E38" i="3" s="1"/>
  <c r="F38" i="3" s="1"/>
  <c r="C38" i="3"/>
  <c r="E37" i="3"/>
  <c r="F37" i="3" s="1"/>
  <c r="E36" i="3"/>
  <c r="F36" i="3"/>
  <c r="E35" i="3"/>
  <c r="F35" i="3" s="1"/>
  <c r="E34" i="3"/>
  <c r="F34" i="3" s="1"/>
  <c r="E33" i="3"/>
  <c r="F33" i="3" s="1"/>
  <c r="E32" i="3"/>
  <c r="F32" i="3"/>
  <c r="E31" i="3"/>
  <c r="F31" i="3" s="1"/>
  <c r="E30" i="3"/>
  <c r="F30" i="3" s="1"/>
  <c r="E29" i="3"/>
  <c r="F29" i="3" s="1"/>
  <c r="E28" i="3"/>
  <c r="F28" i="3"/>
  <c r="E27" i="3"/>
  <c r="F27" i="3" s="1"/>
  <c r="D25" i="3"/>
  <c r="E25" i="3" s="1"/>
  <c r="C25" i="3"/>
  <c r="E24" i="3"/>
  <c r="F24" i="3" s="1"/>
  <c r="E23" i="3"/>
  <c r="F23" i="3" s="1"/>
  <c r="E22" i="3"/>
  <c r="F22" i="3"/>
  <c r="E21" i="3"/>
  <c r="F21" i="3" s="1"/>
  <c r="E20" i="3"/>
  <c r="F20" i="3" s="1"/>
  <c r="E19" i="3"/>
  <c r="F19" i="3" s="1"/>
  <c r="E18" i="3"/>
  <c r="F18" i="3"/>
  <c r="E17" i="3"/>
  <c r="F17" i="3" s="1"/>
  <c r="E16" i="3"/>
  <c r="F16" i="3" s="1"/>
  <c r="E15" i="3"/>
  <c r="F15" i="3" s="1"/>
  <c r="E14" i="3"/>
  <c r="F14" i="3"/>
  <c r="E49" i="2"/>
  <c r="F49" i="2" s="1"/>
  <c r="D46" i="2"/>
  <c r="E46" i="2" s="1"/>
  <c r="C46" i="2"/>
  <c r="F46" i="2" s="1"/>
  <c r="F45" i="2"/>
  <c r="E45" i="2"/>
  <c r="F44" i="2"/>
  <c r="E44" i="2"/>
  <c r="D39" i="2"/>
  <c r="E39" i="2" s="1"/>
  <c r="C39" i="2"/>
  <c r="F39" i="2" s="1"/>
  <c r="F38" i="2"/>
  <c r="E38" i="2"/>
  <c r="F37" i="2"/>
  <c r="E37" i="2"/>
  <c r="F36" i="2"/>
  <c r="E36" i="2"/>
  <c r="D31" i="2"/>
  <c r="E31" i="2" s="1"/>
  <c r="C31" i="2"/>
  <c r="E30" i="2"/>
  <c r="F30" i="2" s="1"/>
  <c r="E29" i="2"/>
  <c r="F29" i="2" s="1"/>
  <c r="F28" i="2"/>
  <c r="E28" i="2"/>
  <c r="E27" i="2"/>
  <c r="F27" i="2" s="1"/>
  <c r="E26" i="2"/>
  <c r="F26" i="2" s="1"/>
  <c r="E25" i="2"/>
  <c r="F25" i="2" s="1"/>
  <c r="F24" i="2"/>
  <c r="E24" i="2"/>
  <c r="E23" i="2"/>
  <c r="F23" i="2" s="1"/>
  <c r="E22" i="2"/>
  <c r="F22" i="2" s="1"/>
  <c r="F18" i="2"/>
  <c r="E18" i="2"/>
  <c r="E17" i="2"/>
  <c r="F17" i="2" s="1"/>
  <c r="D16" i="2"/>
  <c r="D19" i="2" s="1"/>
  <c r="C16" i="2"/>
  <c r="C19" i="2" s="1"/>
  <c r="F15" i="2"/>
  <c r="E15" i="2"/>
  <c r="F14" i="2"/>
  <c r="E14" i="2"/>
  <c r="E13" i="2"/>
  <c r="F13" i="2" s="1"/>
  <c r="E12" i="2"/>
  <c r="F12" i="2" s="1"/>
  <c r="D73" i="1"/>
  <c r="E73" i="1" s="1"/>
  <c r="C73" i="1"/>
  <c r="F72" i="1"/>
  <c r="E72" i="1"/>
  <c r="F71" i="1"/>
  <c r="E71" i="1"/>
  <c r="E70" i="1"/>
  <c r="F70" i="1" s="1"/>
  <c r="F67" i="1"/>
  <c r="E67" i="1"/>
  <c r="E64" i="1"/>
  <c r="F64" i="1" s="1"/>
  <c r="F63" i="1"/>
  <c r="E63" i="1"/>
  <c r="D61" i="1"/>
  <c r="D65" i="1" s="1"/>
  <c r="E65" i="1" s="1"/>
  <c r="C61" i="1"/>
  <c r="C65" i="1" s="1"/>
  <c r="E60" i="1"/>
  <c r="F60" i="1" s="1"/>
  <c r="F59" i="1"/>
  <c r="E59" i="1"/>
  <c r="D56" i="1"/>
  <c r="C56" i="1"/>
  <c r="C75" i="1" s="1"/>
  <c r="F55" i="1"/>
  <c r="E55" i="1"/>
  <c r="E54" i="1"/>
  <c r="F54" i="1"/>
  <c r="F53" i="1"/>
  <c r="E53" i="1"/>
  <c r="F52" i="1"/>
  <c r="E52" i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E37" i="1"/>
  <c r="F37" i="1" s="1"/>
  <c r="E36" i="1"/>
  <c r="F36" i="1" s="1"/>
  <c r="F33" i="1"/>
  <c r="E33" i="1"/>
  <c r="F32" i="1"/>
  <c r="E32" i="1"/>
  <c r="F31" i="1"/>
  <c r="E31" i="1"/>
  <c r="D29" i="1"/>
  <c r="C29" i="1"/>
  <c r="F29" i="1" s="1"/>
  <c r="F28" i="1"/>
  <c r="E28" i="1"/>
  <c r="F27" i="1"/>
  <c r="E27" i="1"/>
  <c r="F26" i="1"/>
  <c r="E26" i="1"/>
  <c r="F25" i="1"/>
  <c r="E25" i="1"/>
  <c r="D22" i="1"/>
  <c r="C22" i="1"/>
  <c r="E21" i="1"/>
  <c r="F21" i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F14" i="1"/>
  <c r="E14" i="1"/>
  <c r="F13" i="1"/>
  <c r="E13" i="1"/>
  <c r="D126" i="14"/>
  <c r="D127" i="14" s="1"/>
  <c r="D148" i="14" s="1"/>
  <c r="F120" i="14"/>
  <c r="D111" i="14"/>
  <c r="D280" i="14"/>
  <c r="D278" i="14"/>
  <c r="E278" i="14"/>
  <c r="F278" i="14" s="1"/>
  <c r="D68" i="14"/>
  <c r="D146" i="14"/>
  <c r="D181" i="14"/>
  <c r="D239" i="14"/>
  <c r="D262" i="14"/>
  <c r="C24" i="5"/>
  <c r="C17" i="5"/>
  <c r="E137" i="5"/>
  <c r="E140" i="5"/>
  <c r="E136" i="5"/>
  <c r="E139" i="5"/>
  <c r="E135" i="5"/>
  <c r="E141" i="5" s="1"/>
  <c r="E138" i="5"/>
  <c r="E21" i="5"/>
  <c r="F31" i="2"/>
  <c r="F179" i="3"/>
  <c r="F118" i="4"/>
  <c r="F63" i="6"/>
  <c r="C156" i="5"/>
  <c r="C152" i="5"/>
  <c r="C155" i="5"/>
  <c r="C154" i="5"/>
  <c r="C157" i="5"/>
  <c r="C153" i="5"/>
  <c r="C75" i="8"/>
  <c r="F41" i="3"/>
  <c r="F43" i="3"/>
  <c r="F45" i="3"/>
  <c r="F47" i="3"/>
  <c r="F49" i="3"/>
  <c r="F51" i="3"/>
  <c r="F62" i="6"/>
  <c r="D21" i="10"/>
  <c r="C59" i="10"/>
  <c r="C61" i="10" s="1"/>
  <c r="C57" i="10" s="1"/>
  <c r="C48" i="10"/>
  <c r="C42" i="10" s="1"/>
  <c r="C60" i="14"/>
  <c r="E59" i="14"/>
  <c r="D52" i="3"/>
  <c r="D95" i="3"/>
  <c r="E95" i="3" s="1"/>
  <c r="F95" i="3" s="1"/>
  <c r="D176" i="4"/>
  <c r="C25" i="5"/>
  <c r="C27" i="5" s="1"/>
  <c r="E49" i="5"/>
  <c r="C57" i="5"/>
  <c r="C62" i="5"/>
  <c r="C88" i="5"/>
  <c r="C90" i="5"/>
  <c r="C86" i="5" s="1"/>
  <c r="D207" i="6"/>
  <c r="F36" i="7"/>
  <c r="F60" i="7"/>
  <c r="F112" i="7"/>
  <c r="D122" i="7"/>
  <c r="F116" i="7"/>
  <c r="E50" i="12"/>
  <c r="F13" i="13"/>
  <c r="F21" i="13"/>
  <c r="F24" i="14"/>
  <c r="F44" i="14"/>
  <c r="C68" i="14"/>
  <c r="F94" i="14"/>
  <c r="F110" i="14"/>
  <c r="E25" i="10"/>
  <c r="E27" i="10" s="1"/>
  <c r="E15" i="10"/>
  <c r="C31" i="14"/>
  <c r="E30" i="14"/>
  <c r="F30" i="14" s="1"/>
  <c r="C90" i="14"/>
  <c r="E48" i="14"/>
  <c r="F48" i="14" s="1"/>
  <c r="E264" i="14"/>
  <c r="F264" i="14" s="1"/>
  <c r="C265" i="14"/>
  <c r="E243" i="15"/>
  <c r="C252" i="15"/>
  <c r="E56" i="1"/>
  <c r="F56" i="1" s="1"/>
  <c r="E61" i="1"/>
  <c r="F61" i="1" s="1"/>
  <c r="E16" i="2"/>
  <c r="F16" i="2" s="1"/>
  <c r="C52" i="3"/>
  <c r="C83" i="4"/>
  <c r="C176" i="4"/>
  <c r="E53" i="5"/>
  <c r="C207" i="6"/>
  <c r="D208" i="6"/>
  <c r="E208" i="6" s="1"/>
  <c r="F208" i="6" s="1"/>
  <c r="F117" i="7"/>
  <c r="F67" i="14"/>
  <c r="E48" i="10"/>
  <c r="E42" i="10"/>
  <c r="E59" i="10"/>
  <c r="E61" i="10"/>
  <c r="E57" i="10" s="1"/>
  <c r="F17" i="11"/>
  <c r="C31" i="11"/>
  <c r="F31" i="11" s="1"/>
  <c r="C37" i="14"/>
  <c r="E36" i="14"/>
  <c r="F36" i="14" s="1"/>
  <c r="E39" i="17"/>
  <c r="D41" i="17"/>
  <c r="E57" i="5"/>
  <c r="E62" i="5" s="1"/>
  <c r="F23" i="7"/>
  <c r="F24" i="7"/>
  <c r="F47" i="7"/>
  <c r="F114" i="7"/>
  <c r="F118" i="7"/>
  <c r="F38" i="8"/>
  <c r="C41" i="8"/>
  <c r="D50" i="10"/>
  <c r="F16" i="12"/>
  <c r="F23" i="12"/>
  <c r="F70" i="12"/>
  <c r="F52" i="14"/>
  <c r="C15" i="10"/>
  <c r="C25" i="10"/>
  <c r="C27" i="10"/>
  <c r="C103" i="14"/>
  <c r="E102" i="14"/>
  <c r="F102" i="14" s="1"/>
  <c r="F108" i="7"/>
  <c r="D121" i="7"/>
  <c r="E121" i="7" s="1"/>
  <c r="F121" i="7" s="1"/>
  <c r="E113" i="7"/>
  <c r="F113" i="7" s="1"/>
  <c r="F115" i="7"/>
  <c r="C122" i="7"/>
  <c r="F22" i="8"/>
  <c r="E61" i="8"/>
  <c r="F61" i="8" s="1"/>
  <c r="F73" i="8"/>
  <c r="E16" i="9"/>
  <c r="F16" i="9" s="1"/>
  <c r="C19" i="9"/>
  <c r="E39" i="9"/>
  <c r="G17" i="11"/>
  <c r="E45" i="12"/>
  <c r="F65" i="12"/>
  <c r="E75" i="12"/>
  <c r="F75" i="12"/>
  <c r="F92" i="12"/>
  <c r="F23" i="14"/>
  <c r="F53" i="14"/>
  <c r="F59" i="14"/>
  <c r="F85" i="14"/>
  <c r="F89" i="14"/>
  <c r="F95" i="14"/>
  <c r="C111" i="14"/>
  <c r="D71" i="15"/>
  <c r="D65" i="15"/>
  <c r="D289" i="15"/>
  <c r="E289" i="15" s="1"/>
  <c r="E60" i="15"/>
  <c r="D144" i="15"/>
  <c r="D175" i="15"/>
  <c r="E175" i="15" s="1"/>
  <c r="E139" i="15"/>
  <c r="E231" i="15"/>
  <c r="C37" i="16"/>
  <c r="C38" i="16" s="1"/>
  <c r="C127" i="16" s="1"/>
  <c r="C129" i="16" s="1"/>
  <c r="C133" i="16" s="1"/>
  <c r="C22" i="16"/>
  <c r="D175" i="14"/>
  <c r="D62" i="14"/>
  <c r="D210" i="14"/>
  <c r="D105" i="14"/>
  <c r="D254" i="14"/>
  <c r="D216" i="14"/>
  <c r="F66" i="14"/>
  <c r="F109" i="14"/>
  <c r="C124" i="14"/>
  <c r="F130" i="14"/>
  <c r="C172" i="14"/>
  <c r="E179" i="14"/>
  <c r="C194" i="14"/>
  <c r="F230" i="14"/>
  <c r="C239" i="14"/>
  <c r="F297" i="14"/>
  <c r="F307" i="14"/>
  <c r="D283" i="15"/>
  <c r="E195" i="15"/>
  <c r="E215" i="15"/>
  <c r="C253" i="15"/>
  <c r="D240" i="15"/>
  <c r="D252" i="15" s="1"/>
  <c r="E252" i="15" s="1"/>
  <c r="D244" i="15"/>
  <c r="E244" i="15" s="1"/>
  <c r="E260" i="15"/>
  <c r="C303" i="15"/>
  <c r="C306" i="15"/>
  <c r="C310" i="15" s="1"/>
  <c r="C285" i="14"/>
  <c r="C288" i="14" s="1"/>
  <c r="E204" i="14"/>
  <c r="F204" i="14"/>
  <c r="C269" i="14"/>
  <c r="D33" i="15"/>
  <c r="E32" i="15"/>
  <c r="E251" i="15"/>
  <c r="C45" i="19"/>
  <c r="C39" i="19"/>
  <c r="C35" i="19"/>
  <c r="C29" i="19"/>
  <c r="C53" i="19"/>
  <c r="E109" i="19"/>
  <c r="E108" i="19"/>
  <c r="F135" i="14"/>
  <c r="F155" i="14"/>
  <c r="F188" i="14"/>
  <c r="C190" i="14"/>
  <c r="C192" i="14"/>
  <c r="C199" i="14"/>
  <c r="C206" i="14"/>
  <c r="C215" i="14"/>
  <c r="C280" i="14"/>
  <c r="C290" i="14"/>
  <c r="E290" i="14"/>
  <c r="C235" i="15"/>
  <c r="D223" i="15"/>
  <c r="D222" i="15"/>
  <c r="E314" i="15"/>
  <c r="D330" i="15"/>
  <c r="E330" i="15" s="1"/>
  <c r="C146" i="14"/>
  <c r="F144" i="14"/>
  <c r="E226" i="14"/>
  <c r="F226" i="14" s="1"/>
  <c r="C227" i="14"/>
  <c r="D55" i="15"/>
  <c r="E55" i="15" s="1"/>
  <c r="E54" i="15"/>
  <c r="C163" i="15"/>
  <c r="E163" i="15" s="1"/>
  <c r="C156" i="15"/>
  <c r="C157" i="15" s="1"/>
  <c r="E157" i="15" s="1"/>
  <c r="D189" i="15"/>
  <c r="D261" i="15"/>
  <c r="E261" i="15"/>
  <c r="E188" i="15"/>
  <c r="E205" i="15"/>
  <c r="D210" i="15"/>
  <c r="E218" i="15"/>
  <c r="D217" i="15"/>
  <c r="E123" i="14"/>
  <c r="F123" i="14" s="1"/>
  <c r="F164" i="14"/>
  <c r="E191" i="14"/>
  <c r="F191" i="14" s="1"/>
  <c r="F198" i="14"/>
  <c r="E22" i="15"/>
  <c r="C44" i="15"/>
  <c r="C234" i="15"/>
  <c r="E316" i="15"/>
  <c r="D20" i="17"/>
  <c r="C41" i="17"/>
  <c r="D46" i="17"/>
  <c r="E181" i="14"/>
  <c r="F181" i="14"/>
  <c r="E239" i="14"/>
  <c r="C277" i="14"/>
  <c r="C261" i="14"/>
  <c r="C254" i="14"/>
  <c r="D157" i="15"/>
  <c r="F43" i="17"/>
  <c r="D209" i="14"/>
  <c r="D104" i="14"/>
  <c r="D174" i="14"/>
  <c r="F179" i="14"/>
  <c r="C200" i="14"/>
  <c r="C214" i="14"/>
  <c r="C304" i="14" s="1"/>
  <c r="C255" i="14"/>
  <c r="E255" i="14" s="1"/>
  <c r="F255" i="14" s="1"/>
  <c r="C274" i="14"/>
  <c r="D44" i="15"/>
  <c r="E219" i="15"/>
  <c r="C283" i="15"/>
  <c r="D294" i="15"/>
  <c r="E40" i="17"/>
  <c r="F40" i="17"/>
  <c r="D272" i="14"/>
  <c r="C33" i="19"/>
  <c r="D34" i="19"/>
  <c r="D102" i="19"/>
  <c r="D103" i="19" s="1"/>
  <c r="D125" i="14"/>
  <c r="D138" i="14"/>
  <c r="D161" i="14"/>
  <c r="D267" i="14"/>
  <c r="D277" i="14"/>
  <c r="D285" i="14"/>
  <c r="E285" i="14" s="1"/>
  <c r="F285" i="14" s="1"/>
  <c r="D22" i="19"/>
  <c r="D160" i="14"/>
  <c r="D192" i="14"/>
  <c r="E192" i="14" s="1"/>
  <c r="F192" i="14" s="1"/>
  <c r="D200" i="14"/>
  <c r="D206" i="14"/>
  <c r="E206" i="14" s="1"/>
  <c r="F206" i="14" s="1"/>
  <c r="D274" i="14"/>
  <c r="C222" i="15"/>
  <c r="D23" i="19"/>
  <c r="D49" i="14"/>
  <c r="D91" i="14"/>
  <c r="D199" i="14"/>
  <c r="E199" i="14" s="1"/>
  <c r="F199" i="14" s="1"/>
  <c r="D205" i="14"/>
  <c r="D261" i="14"/>
  <c r="D190" i="14"/>
  <c r="E190" i="14" s="1"/>
  <c r="F190" i="14" s="1"/>
  <c r="D287" i="14"/>
  <c r="D279" i="14"/>
  <c r="D284" i="14"/>
  <c r="D50" i="14"/>
  <c r="D193" i="14"/>
  <c r="C258" i="15"/>
  <c r="C98" i="15"/>
  <c r="C87" i="15"/>
  <c r="C83" i="15"/>
  <c r="C100" i="15"/>
  <c r="C96" i="15"/>
  <c r="C89" i="15"/>
  <c r="C85" i="15"/>
  <c r="C95" i="15"/>
  <c r="C84" i="15"/>
  <c r="C101" i="15"/>
  <c r="C99" i="15"/>
  <c r="C88" i="15"/>
  <c r="C97" i="15"/>
  <c r="C86" i="15"/>
  <c r="D241" i="15"/>
  <c r="E222" i="15"/>
  <c r="D246" i="15"/>
  <c r="E280" i="14"/>
  <c r="F280" i="14" s="1"/>
  <c r="C55" i="19"/>
  <c r="C47" i="19"/>
  <c r="C37" i="19"/>
  <c r="E269" i="14"/>
  <c r="F269" i="14" s="1"/>
  <c r="E124" i="14"/>
  <c r="F124" i="14" s="1"/>
  <c r="D106" i="14"/>
  <c r="D176" i="14"/>
  <c r="E111" i="14"/>
  <c r="F111" i="14" s="1"/>
  <c r="C17" i="10"/>
  <c r="C28" i="10" s="1"/>
  <c r="C24" i="10"/>
  <c r="E17" i="10"/>
  <c r="E28" i="10" s="1"/>
  <c r="E70" i="10" s="1"/>
  <c r="E72" i="10" s="1"/>
  <c r="E69" i="10" s="1"/>
  <c r="E24" i="10"/>
  <c r="E68" i="14"/>
  <c r="F68" i="14" s="1"/>
  <c r="E274" i="14"/>
  <c r="F274" i="14" s="1"/>
  <c r="D139" i="14"/>
  <c r="E156" i="15"/>
  <c r="D284" i="15"/>
  <c r="E284" i="15" s="1"/>
  <c r="C300" i="14"/>
  <c r="C195" i="14"/>
  <c r="G31" i="11"/>
  <c r="C43" i="8"/>
  <c r="E41" i="8"/>
  <c r="F41" i="8" s="1"/>
  <c r="C158" i="5"/>
  <c r="D162" i="14"/>
  <c r="D99" i="15"/>
  <c r="E99" i="15" s="1"/>
  <c r="D95" i="15"/>
  <c r="D88" i="15"/>
  <c r="E88" i="15" s="1"/>
  <c r="D84" i="15"/>
  <c r="E44" i="15"/>
  <c r="D101" i="15"/>
  <c r="E101" i="15" s="1"/>
  <c r="D97" i="15"/>
  <c r="E97" i="15" s="1"/>
  <c r="D86" i="15"/>
  <c r="E86" i="15" s="1"/>
  <c r="D258" i="15"/>
  <c r="D100" i="15"/>
  <c r="E100" i="15" s="1"/>
  <c r="D89" i="15"/>
  <c r="E89" i="15" s="1"/>
  <c r="D98" i="15"/>
  <c r="E98" i="15" s="1"/>
  <c r="D87" i="15"/>
  <c r="E87" i="15" s="1"/>
  <c r="D96" i="15"/>
  <c r="D85" i="15"/>
  <c r="E85" i="15" s="1"/>
  <c r="D83" i="15"/>
  <c r="E227" i="14"/>
  <c r="F227" i="14" s="1"/>
  <c r="E33" i="15"/>
  <c r="E254" i="14"/>
  <c r="F254" i="14" s="1"/>
  <c r="D168" i="15"/>
  <c r="D145" i="15"/>
  <c r="D180" i="15"/>
  <c r="D76" i="15"/>
  <c r="C20" i="10"/>
  <c r="C21" i="10"/>
  <c r="E31" i="14"/>
  <c r="F31" i="14" s="1"/>
  <c r="C32" i="14"/>
  <c r="C28" i="5"/>
  <c r="C99" i="5" s="1"/>
  <c r="C101" i="5" s="1"/>
  <c r="C98" i="5" s="1"/>
  <c r="C112" i="5"/>
  <c r="C111" i="5" s="1"/>
  <c r="D288" i="14"/>
  <c r="F290" i="14"/>
  <c r="D140" i="14"/>
  <c r="C125" i="14"/>
  <c r="C223" i="15"/>
  <c r="E176" i="4"/>
  <c r="F176" i="4" s="1"/>
  <c r="D268" i="14"/>
  <c r="D271" i="14"/>
  <c r="D263" i="14"/>
  <c r="E261" i="14"/>
  <c r="F261" i="14" s="1"/>
  <c r="D92" i="14"/>
  <c r="D324" i="14" s="1"/>
  <c r="D53" i="19"/>
  <c r="D45" i="19"/>
  <c r="D39" i="19"/>
  <c r="D35" i="19"/>
  <c r="D29" i="19"/>
  <c r="C216" i="14"/>
  <c r="D46" i="19"/>
  <c r="D40" i="19"/>
  <c r="D36" i="19"/>
  <c r="D30" i="19"/>
  <c r="D54" i="19"/>
  <c r="D270" i="14"/>
  <c r="D234" i="15"/>
  <c r="E234" i="15" s="1"/>
  <c r="D211" i="15"/>
  <c r="D235" i="15" s="1"/>
  <c r="E210" i="15"/>
  <c r="E146" i="14"/>
  <c r="F146" i="14" s="1"/>
  <c r="E172" i="14"/>
  <c r="F172" i="14" s="1"/>
  <c r="C173" i="14"/>
  <c r="D63" i="14"/>
  <c r="D66" i="15"/>
  <c r="E19" i="9"/>
  <c r="F19" i="9" s="1"/>
  <c r="C33" i="9"/>
  <c r="E41" i="17"/>
  <c r="F39" i="17"/>
  <c r="F90" i="14"/>
  <c r="E90" i="14"/>
  <c r="E60" i="14"/>
  <c r="F60" i="14" s="1"/>
  <c r="C61" i="14"/>
  <c r="E200" i="14"/>
  <c r="F200" i="14" s="1"/>
  <c r="D300" i="14"/>
  <c r="E300" i="14" s="1"/>
  <c r="F41" i="17"/>
  <c r="D286" i="14"/>
  <c r="E283" i="15"/>
  <c r="E214" i="14"/>
  <c r="F214" i="14" s="1"/>
  <c r="E122" i="7"/>
  <c r="F122" i="7" s="1"/>
  <c r="E207" i="6"/>
  <c r="F207" i="6" s="1"/>
  <c r="C279" i="14"/>
  <c r="E279" i="14" s="1"/>
  <c r="D247" i="15"/>
  <c r="E215" i="14"/>
  <c r="F215" i="14" s="1"/>
  <c r="D211" i="14"/>
  <c r="E103" i="14"/>
  <c r="F103" i="14"/>
  <c r="E22" i="10"/>
  <c r="E125" i="14"/>
  <c r="F239" i="14"/>
  <c r="E216" i="14"/>
  <c r="C254" i="15"/>
  <c r="E52" i="3"/>
  <c r="F52" i="3"/>
  <c r="D77" i="15"/>
  <c r="D259" i="15"/>
  <c r="E258" i="15"/>
  <c r="F125" i="14"/>
  <c r="D295" i="15"/>
  <c r="C102" i="15"/>
  <c r="E211" i="15"/>
  <c r="E235" i="15"/>
  <c r="D113" i="14"/>
  <c r="E96" i="15"/>
  <c r="D102" i="15"/>
  <c r="E102" i="15" s="1"/>
  <c r="E95" i="15"/>
  <c r="D282" i="14"/>
  <c r="D194" i="14"/>
  <c r="D266" i="14"/>
  <c r="E193" i="14"/>
  <c r="F193" i="14" s="1"/>
  <c r="F216" i="14"/>
  <c r="C174" i="14"/>
  <c r="E61" i="14"/>
  <c r="F61" i="14" s="1"/>
  <c r="C104" i="14"/>
  <c r="C41" i="9"/>
  <c r="E33" i="9"/>
  <c r="F33" i="9" s="1"/>
  <c r="D304" i="14"/>
  <c r="D273" i="14"/>
  <c r="D181" i="15"/>
  <c r="D169" i="15"/>
  <c r="D183" i="14"/>
  <c r="D323" i="14"/>
  <c r="F300" i="14"/>
  <c r="E173" i="14"/>
  <c r="F173" i="14"/>
  <c r="D56" i="19"/>
  <c r="D48" i="19"/>
  <c r="D38" i="19"/>
  <c r="D47" i="19"/>
  <c r="D37" i="19"/>
  <c r="D55" i="19"/>
  <c r="D141" i="14"/>
  <c r="E32" i="14"/>
  <c r="F32" i="14" s="1"/>
  <c r="C175" i="14"/>
  <c r="C105" i="14"/>
  <c r="E105" i="14" s="1"/>
  <c r="F105" i="14" s="1"/>
  <c r="C62" i="14"/>
  <c r="E83" i="15"/>
  <c r="D90" i="15"/>
  <c r="D91" i="15" s="1"/>
  <c r="E84" i="15"/>
  <c r="D70" i="14"/>
  <c r="D291" i="14"/>
  <c r="D289" i="14"/>
  <c r="C103" i="15"/>
  <c r="E304" i="14"/>
  <c r="F304" i="14" s="1"/>
  <c r="E194" i="14"/>
  <c r="F194" i="14"/>
  <c r="D195" i="14"/>
  <c r="E195" i="14"/>
  <c r="F195" i="14" s="1"/>
  <c r="D196" i="14"/>
  <c r="C106" i="14"/>
  <c r="E266" i="14"/>
  <c r="F266" i="14" s="1"/>
  <c r="D265" i="14"/>
  <c r="E265" i="14" s="1"/>
  <c r="F265" i="14" s="1"/>
  <c r="D126" i="15"/>
  <c r="D122" i="15"/>
  <c r="D115" i="15"/>
  <c r="D111" i="15"/>
  <c r="D124" i="15"/>
  <c r="D113" i="15"/>
  <c r="D109" i="15"/>
  <c r="D123" i="15"/>
  <c r="D112" i="15"/>
  <c r="D121" i="15"/>
  <c r="D110" i="15"/>
  <c r="D127" i="15"/>
  <c r="D125" i="15"/>
  <c r="D114" i="15"/>
  <c r="D305" i="14"/>
  <c r="C63" i="14"/>
  <c r="E62" i="14"/>
  <c r="F62" i="14" s="1"/>
  <c r="C48" i="9"/>
  <c r="E41" i="9"/>
  <c r="F41" i="9" s="1"/>
  <c r="C176" i="14"/>
  <c r="E175" i="14"/>
  <c r="F175" i="14" s="1"/>
  <c r="D322" i="14"/>
  <c r="D325" i="14" s="1"/>
  <c r="E104" i="14"/>
  <c r="F104" i="14" s="1"/>
  <c r="E174" i="14"/>
  <c r="F174" i="14" s="1"/>
  <c r="D281" i="14"/>
  <c r="D263" i="15"/>
  <c r="D103" i="15"/>
  <c r="E103" i="15" s="1"/>
  <c r="D264" i="15"/>
  <c r="E176" i="14"/>
  <c r="F176" i="14" s="1"/>
  <c r="D309" i="14"/>
  <c r="D310" i="14" s="1"/>
  <c r="E106" i="14"/>
  <c r="F106" i="14" s="1"/>
  <c r="D197" i="14"/>
  <c r="E48" i="9"/>
  <c r="F48" i="9" s="1"/>
  <c r="E63" i="14"/>
  <c r="F63" i="14" s="1"/>
  <c r="D128" i="15"/>
  <c r="D129" i="15"/>
  <c r="D266" i="15"/>
  <c r="D267" i="15"/>
  <c r="D269" i="15"/>
  <c r="D268" i="15"/>
  <c r="D105" i="15" l="1"/>
  <c r="E105" i="15" s="1"/>
  <c r="E277" i="14"/>
  <c r="F277" i="14" s="1"/>
  <c r="E288" i="14"/>
  <c r="F288" i="14" s="1"/>
  <c r="C90" i="15"/>
  <c r="C91" i="15" s="1"/>
  <c r="C105" i="15" s="1"/>
  <c r="E22" i="1"/>
  <c r="F22" i="1" s="1"/>
  <c r="F41" i="4"/>
  <c r="E29" i="1"/>
  <c r="E42" i="3"/>
  <c r="F42" i="3" s="1"/>
  <c r="E46" i="3"/>
  <c r="F46" i="3" s="1"/>
  <c r="E50" i="3"/>
  <c r="F50" i="3" s="1"/>
  <c r="F153" i="3"/>
  <c r="F18" i="4"/>
  <c r="F35" i="4"/>
  <c r="D83" i="4"/>
  <c r="E83" i="4" s="1"/>
  <c r="F83" i="4" s="1"/>
  <c r="E109" i="4"/>
  <c r="F109" i="4" s="1"/>
  <c r="E15" i="5"/>
  <c r="E17" i="5" s="1"/>
  <c r="C53" i="5"/>
  <c r="E88" i="5"/>
  <c r="E90" i="5" s="1"/>
  <c r="E86" i="5" s="1"/>
  <c r="D149" i="5"/>
  <c r="D136" i="5" s="1"/>
  <c r="E166" i="5"/>
  <c r="E23" i="6"/>
  <c r="F23" i="6" s="1"/>
  <c r="F50" i="6"/>
  <c r="E75" i="6"/>
  <c r="F75" i="6" s="1"/>
  <c r="E101" i="6"/>
  <c r="F192" i="6"/>
  <c r="F200" i="6"/>
  <c r="F201" i="6"/>
  <c r="F204" i="6"/>
  <c r="E93" i="3"/>
  <c r="F93" i="3" s="1"/>
  <c r="E94" i="3"/>
  <c r="F94" i="3" s="1"/>
  <c r="E111" i="3"/>
  <c r="F111" i="3" s="1"/>
  <c r="F30" i="4"/>
  <c r="E35" i="4"/>
  <c r="F59" i="4"/>
  <c r="C71" i="5"/>
  <c r="D109" i="5"/>
  <c r="D106" i="5" s="1"/>
  <c r="C149" i="5"/>
  <c r="F24" i="6"/>
  <c r="E36" i="6"/>
  <c r="E37" i="6"/>
  <c r="E49" i="6"/>
  <c r="F76" i="6"/>
  <c r="F127" i="6"/>
  <c r="E128" i="6"/>
  <c r="E153" i="6"/>
  <c r="E166" i="6"/>
  <c r="E167" i="6"/>
  <c r="E179" i="6"/>
  <c r="E192" i="6"/>
  <c r="E199" i="6"/>
  <c r="F199" i="6" s="1"/>
  <c r="E203" i="6"/>
  <c r="F203" i="6" s="1"/>
  <c r="F96" i="7"/>
  <c r="E107" i="7"/>
  <c r="F107" i="7" s="1"/>
  <c r="E65" i="8"/>
  <c r="F65" i="8" s="1"/>
  <c r="E31" i="9"/>
  <c r="F31" i="9" s="1"/>
  <c r="E84" i="12"/>
  <c r="E99" i="12"/>
  <c r="F99" i="12" s="1"/>
  <c r="C282" i="14"/>
  <c r="E20" i="14"/>
  <c r="F20" i="14" s="1"/>
  <c r="C65" i="15"/>
  <c r="E69" i="15"/>
  <c r="E70" i="15"/>
  <c r="E72" i="15"/>
  <c r="E74" i="15"/>
  <c r="E166" i="15"/>
  <c r="E173" i="15"/>
  <c r="E288" i="15"/>
  <c r="E290" i="15"/>
  <c r="E292" i="15"/>
  <c r="E324" i="15"/>
  <c r="E36" i="17"/>
  <c r="F36" i="17" s="1"/>
  <c r="E22" i="19"/>
  <c r="C77" i="19"/>
  <c r="E35" i="7"/>
  <c r="F35" i="7" s="1"/>
  <c r="E48" i="7"/>
  <c r="F48" i="7" s="1"/>
  <c r="E59" i="7"/>
  <c r="F59" i="7" s="1"/>
  <c r="E72" i="7"/>
  <c r="F72" i="7" s="1"/>
  <c r="E119" i="7"/>
  <c r="F119" i="7" s="1"/>
  <c r="E29" i="8"/>
  <c r="E56" i="8"/>
  <c r="F56" i="8" s="1"/>
  <c r="D48" i="10"/>
  <c r="D42" i="10" s="1"/>
  <c r="E50" i="10"/>
  <c r="E37" i="12"/>
  <c r="E55" i="12"/>
  <c r="E17" i="13"/>
  <c r="F17" i="13" s="1"/>
  <c r="C137" i="14"/>
  <c r="E151" i="15"/>
  <c r="E179" i="15"/>
  <c r="E227" i="15"/>
  <c r="E228" i="15"/>
  <c r="E230" i="15"/>
  <c r="E233" i="15"/>
  <c r="D302" i="15"/>
  <c r="E277" i="15"/>
  <c r="C102" i="19"/>
  <c r="C103" i="19" s="1"/>
  <c r="E102" i="19"/>
  <c r="C93" i="19"/>
  <c r="E93" i="19"/>
  <c r="C98" i="19"/>
  <c r="E98" i="19"/>
  <c r="D37" i="14"/>
  <c r="E37" i="14" s="1"/>
  <c r="F37" i="14" s="1"/>
  <c r="D312" i="14"/>
  <c r="C70" i="10"/>
  <c r="C72" i="10" s="1"/>
  <c r="C69" i="10" s="1"/>
  <c r="C22" i="10"/>
  <c r="C22" i="5"/>
  <c r="C20" i="5"/>
  <c r="C21" i="5"/>
  <c r="C43" i="1"/>
  <c r="C33" i="2"/>
  <c r="D271" i="15"/>
  <c r="D116" i="15"/>
  <c r="E20" i="10"/>
  <c r="E21" i="10"/>
  <c r="D43" i="1"/>
  <c r="E43" i="1" s="1"/>
  <c r="E41" i="1"/>
  <c r="F41" i="1" s="1"/>
  <c r="D75" i="1"/>
  <c r="E75" i="1" s="1"/>
  <c r="F75" i="1" s="1"/>
  <c r="F65" i="1"/>
  <c r="F73" i="1"/>
  <c r="E19" i="2"/>
  <c r="F19" i="2" s="1"/>
  <c r="D33" i="2"/>
  <c r="F25" i="3"/>
  <c r="D135" i="5"/>
  <c r="D140" i="5"/>
  <c r="D137" i="5"/>
  <c r="D157" i="5"/>
  <c r="D156" i="5"/>
  <c r="D155" i="5"/>
  <c r="D153" i="5"/>
  <c r="D152" i="5"/>
  <c r="D154" i="5"/>
  <c r="E154" i="5"/>
  <c r="E153" i="5"/>
  <c r="E152" i="5"/>
  <c r="E157" i="5"/>
  <c r="E156" i="5"/>
  <c r="E155" i="5"/>
  <c r="F279" i="14"/>
  <c r="E223" i="15"/>
  <c r="E240" i="15"/>
  <c r="E38" i="1"/>
  <c r="F38" i="1" s="1"/>
  <c r="F68" i="3"/>
  <c r="F81" i="3"/>
  <c r="E24" i="5"/>
  <c r="E20" i="5" s="1"/>
  <c r="C79" i="5"/>
  <c r="E79" i="5"/>
  <c r="F49" i="6"/>
  <c r="E88" i="6"/>
  <c r="E89" i="6"/>
  <c r="F89" i="6" s="1"/>
  <c r="E114" i="6"/>
  <c r="F114" i="6" s="1"/>
  <c r="E115" i="6"/>
  <c r="F115" i="6" s="1"/>
  <c r="F128" i="6"/>
  <c r="E140" i="6"/>
  <c r="E141" i="6"/>
  <c r="F141" i="6" s="1"/>
  <c r="E78" i="4"/>
  <c r="F78" i="4" s="1"/>
  <c r="F171" i="4"/>
  <c r="D15" i="5"/>
  <c r="D25" i="5"/>
  <c r="D27" i="5" s="1"/>
  <c r="D53" i="5"/>
  <c r="D57" i="5"/>
  <c r="D62" i="5" s="1"/>
  <c r="D43" i="5"/>
  <c r="D77" i="5"/>
  <c r="D71" i="5" s="1"/>
  <c r="F88" i="6"/>
  <c r="F140" i="6"/>
  <c r="C43" i="5"/>
  <c r="E43" i="15"/>
  <c r="E71" i="7"/>
  <c r="F71" i="7" s="1"/>
  <c r="F95" i="7"/>
  <c r="D43" i="8"/>
  <c r="E43" i="8" s="1"/>
  <c r="F43" i="8" s="1"/>
  <c r="D75" i="8"/>
  <c r="E75" i="8" s="1"/>
  <c r="F75" i="8" s="1"/>
  <c r="E46" i="9"/>
  <c r="D15" i="10"/>
  <c r="D33" i="11"/>
  <c r="E33" i="11"/>
  <c r="E29" i="14"/>
  <c r="F29" i="14" s="1"/>
  <c r="E35" i="14"/>
  <c r="F35" i="14" s="1"/>
  <c r="E47" i="14"/>
  <c r="E58" i="14"/>
  <c r="F58" i="14" s="1"/>
  <c r="E158" i="14"/>
  <c r="F158" i="14" s="1"/>
  <c r="E165" i="14"/>
  <c r="F165" i="14" s="1"/>
  <c r="E189" i="14"/>
  <c r="E203" i="14"/>
  <c r="F203" i="14" s="1"/>
  <c r="C205" i="14"/>
  <c r="C262" i="14"/>
  <c r="C283" i="14"/>
  <c r="E299" i="14"/>
  <c r="F299" i="14" s="1"/>
  <c r="E21" i="15"/>
  <c r="E37" i="15"/>
  <c r="C144" i="15"/>
  <c r="C21" i="14"/>
  <c r="F47" i="14"/>
  <c r="E76" i="14"/>
  <c r="F76" i="14" s="1"/>
  <c r="E88" i="14"/>
  <c r="F88" i="14" s="1"/>
  <c r="C159" i="14"/>
  <c r="F189" i="14"/>
  <c r="C267" i="14"/>
  <c r="E229" i="14"/>
  <c r="F229" i="14" s="1"/>
  <c r="C71" i="15"/>
  <c r="E71" i="15" s="1"/>
  <c r="E167" i="15"/>
  <c r="E239" i="15"/>
  <c r="E242" i="15"/>
  <c r="E320" i="15"/>
  <c r="F19" i="17"/>
  <c r="C189" i="15"/>
  <c r="E189" i="15" s="1"/>
  <c r="C64" i="16"/>
  <c r="C65" i="16" s="1"/>
  <c r="C114" i="16" s="1"/>
  <c r="C116" i="16" s="1"/>
  <c r="C119" i="16" s="1"/>
  <c r="C123" i="16" s="1"/>
  <c r="E44" i="17"/>
  <c r="E45" i="17"/>
  <c r="F45" i="17" s="1"/>
  <c r="C23" i="19"/>
  <c r="E23" i="19"/>
  <c r="D77" i="19"/>
  <c r="C229" i="15"/>
  <c r="E229" i="15" s="1"/>
  <c r="C217" i="15"/>
  <c r="D245" i="15"/>
  <c r="E245" i="15" s="1"/>
  <c r="C20" i="17"/>
  <c r="E25" i="17"/>
  <c r="F25" i="17" s="1"/>
  <c r="E101" i="19"/>
  <c r="E103" i="19" s="1"/>
  <c r="E137" i="14" l="1"/>
  <c r="F137" i="14" s="1"/>
  <c r="C138" i="14"/>
  <c r="C207" i="14"/>
  <c r="E53" i="19"/>
  <c r="E110" i="19"/>
  <c r="E35" i="19"/>
  <c r="E45" i="19"/>
  <c r="E29" i="19"/>
  <c r="E39" i="19"/>
  <c r="C66" i="15"/>
  <c r="E65" i="15"/>
  <c r="C294" i="15"/>
  <c r="E294" i="15" s="1"/>
  <c r="C246" i="15"/>
  <c r="E246" i="15" s="1"/>
  <c r="C281" i="14"/>
  <c r="E281" i="14" s="1"/>
  <c r="F281" i="14" s="1"/>
  <c r="E282" i="14"/>
  <c r="F282" i="14" s="1"/>
  <c r="D158" i="5"/>
  <c r="D139" i="5"/>
  <c r="D138" i="5"/>
  <c r="E302" i="15"/>
  <c r="D303" i="15"/>
  <c r="C110" i="19"/>
  <c r="C109" i="19"/>
  <c r="C112" i="19"/>
  <c r="C108" i="19"/>
  <c r="C135" i="5"/>
  <c r="C137" i="5"/>
  <c r="C136" i="5"/>
  <c r="C139" i="5"/>
  <c r="C138" i="5"/>
  <c r="C140" i="5"/>
  <c r="E112" i="5"/>
  <c r="E111" i="5" s="1"/>
  <c r="E28" i="5"/>
  <c r="E90" i="15"/>
  <c r="E91" i="15"/>
  <c r="E54" i="19"/>
  <c r="E36" i="19"/>
  <c r="E46" i="19"/>
  <c r="E111" i="19"/>
  <c r="E30" i="19"/>
  <c r="E40" i="19"/>
  <c r="E158" i="5"/>
  <c r="E33" i="2"/>
  <c r="D41" i="2"/>
  <c r="C41" i="2"/>
  <c r="F33" i="2"/>
  <c r="F43" i="1"/>
  <c r="D313" i="14"/>
  <c r="C272" i="14"/>
  <c r="C263" i="14"/>
  <c r="E36" i="11"/>
  <c r="E38" i="11" s="1"/>
  <c r="E40" i="11" s="1"/>
  <c r="G33" i="11"/>
  <c r="G36" i="11" s="1"/>
  <c r="G38" i="11" s="1"/>
  <c r="G40" i="11" s="1"/>
  <c r="D24" i="10"/>
  <c r="D20" i="10" s="1"/>
  <c r="D17" i="10"/>
  <c r="D28" i="10" s="1"/>
  <c r="D24" i="5"/>
  <c r="D17" i="5"/>
  <c r="C241" i="15"/>
  <c r="E241" i="15" s="1"/>
  <c r="E217" i="15"/>
  <c r="D109" i="19"/>
  <c r="D110" i="19"/>
  <c r="D111" i="19"/>
  <c r="D108" i="19"/>
  <c r="D113" i="19"/>
  <c r="D112" i="19"/>
  <c r="C46" i="19"/>
  <c r="C111" i="19"/>
  <c r="C36" i="19"/>
  <c r="C54" i="19"/>
  <c r="C30" i="19"/>
  <c r="C40" i="19"/>
  <c r="E46" i="17"/>
  <c r="F46" i="17" s="1"/>
  <c r="F44" i="17"/>
  <c r="C271" i="14"/>
  <c r="C268" i="14"/>
  <c r="C270" i="14"/>
  <c r="E267" i="14"/>
  <c r="F267" i="14"/>
  <c r="E159" i="14"/>
  <c r="F159" i="14"/>
  <c r="C160" i="14"/>
  <c r="C91" i="14"/>
  <c r="E21" i="14"/>
  <c r="C161" i="14"/>
  <c r="C196" i="14"/>
  <c r="C49" i="14"/>
  <c r="F21" i="14"/>
  <c r="C126" i="14"/>
  <c r="C145" i="15"/>
  <c r="E144" i="15"/>
  <c r="C168" i="15"/>
  <c r="E168" i="15" s="1"/>
  <c r="C180" i="15"/>
  <c r="E180" i="15" s="1"/>
  <c r="E283" i="14"/>
  <c r="F283" i="14" s="1"/>
  <c r="C286" i="14"/>
  <c r="C287" i="14"/>
  <c r="C284" i="14"/>
  <c r="E205" i="14"/>
  <c r="F205" i="14" s="1"/>
  <c r="D36" i="11"/>
  <c r="D38" i="11" s="1"/>
  <c r="D40" i="11" s="1"/>
  <c r="F33" i="11"/>
  <c r="F36" i="11" s="1"/>
  <c r="F38" i="11" s="1"/>
  <c r="F40" i="11" s="1"/>
  <c r="C76" i="15"/>
  <c r="D20" i="5"/>
  <c r="D21" i="5"/>
  <c r="D253" i="15"/>
  <c r="D141" i="5"/>
  <c r="E20" i="17"/>
  <c r="F20" i="17" s="1"/>
  <c r="D117" i="15"/>
  <c r="E262" i="14"/>
  <c r="F262" i="14" s="1"/>
  <c r="E99" i="5" l="1"/>
  <c r="E101" i="5" s="1"/>
  <c r="E98" i="5" s="1"/>
  <c r="E22" i="5"/>
  <c r="D306" i="15"/>
  <c r="E303" i="15"/>
  <c r="E66" i="15"/>
  <c r="C247" i="15"/>
  <c r="E247" i="15" s="1"/>
  <c r="C295" i="15"/>
  <c r="E295" i="15" s="1"/>
  <c r="E37" i="19"/>
  <c r="E55" i="19"/>
  <c r="E47" i="19"/>
  <c r="E112" i="19"/>
  <c r="C140" i="14"/>
  <c r="E138" i="14"/>
  <c r="F138" i="14" s="1"/>
  <c r="C139" i="14"/>
  <c r="E139" i="14" s="1"/>
  <c r="F139" i="14" s="1"/>
  <c r="C141" i="5"/>
  <c r="F207" i="14"/>
  <c r="E207" i="14"/>
  <c r="C208" i="14"/>
  <c r="C289" i="14"/>
  <c r="E287" i="14"/>
  <c r="C291" i="14"/>
  <c r="F287" i="14"/>
  <c r="C127" i="14"/>
  <c r="E126" i="14"/>
  <c r="F126" i="14" s="1"/>
  <c r="E49" i="14"/>
  <c r="F49" i="14"/>
  <c r="C50" i="14"/>
  <c r="F161" i="14"/>
  <c r="E161" i="14"/>
  <c r="C162" i="14"/>
  <c r="C92" i="14"/>
  <c r="F91" i="14"/>
  <c r="E91" i="14"/>
  <c r="F270" i="14"/>
  <c r="E270" i="14"/>
  <c r="E271" i="14"/>
  <c r="C273" i="14"/>
  <c r="F271" i="14"/>
  <c r="C48" i="19"/>
  <c r="C113" i="19"/>
  <c r="C56" i="19"/>
  <c r="C38" i="19"/>
  <c r="D112" i="5"/>
  <c r="D111" i="5" s="1"/>
  <c r="D28" i="5"/>
  <c r="D22" i="10"/>
  <c r="D70" i="10"/>
  <c r="D72" i="10" s="1"/>
  <c r="D69" i="10" s="1"/>
  <c r="E263" i="14"/>
  <c r="F263" i="14" s="1"/>
  <c r="D251" i="14"/>
  <c r="D315" i="14"/>
  <c r="D256" i="14"/>
  <c r="D314" i="14"/>
  <c r="E253" i="15"/>
  <c r="D254" i="15"/>
  <c r="E254" i="15" s="1"/>
  <c r="E76" i="15"/>
  <c r="C259" i="15"/>
  <c r="C77" i="15"/>
  <c r="D131" i="15"/>
  <c r="E284" i="14"/>
  <c r="F284" i="14"/>
  <c r="E286" i="14"/>
  <c r="F286" i="14"/>
  <c r="C181" i="15"/>
  <c r="E181" i="15" s="1"/>
  <c r="C169" i="15"/>
  <c r="E169" i="15" s="1"/>
  <c r="E145" i="15"/>
  <c r="F196" i="14"/>
  <c r="E196" i="14"/>
  <c r="F160" i="14"/>
  <c r="E160" i="14"/>
  <c r="E268" i="14"/>
  <c r="F268" i="14" s="1"/>
  <c r="E272" i="14"/>
  <c r="F272" i="14" s="1"/>
  <c r="C48" i="2"/>
  <c r="D48" i="2"/>
  <c r="E41" i="2"/>
  <c r="F41" i="2" s="1"/>
  <c r="E48" i="19"/>
  <c r="E113" i="19"/>
  <c r="E38" i="19"/>
  <c r="E56" i="19"/>
  <c r="E48" i="2" l="1"/>
  <c r="C209" i="14"/>
  <c r="E208" i="14"/>
  <c r="F208" i="14" s="1"/>
  <c r="C210" i="14"/>
  <c r="E210" i="14" s="1"/>
  <c r="F210" i="14" s="1"/>
  <c r="C141" i="14"/>
  <c r="E140" i="14"/>
  <c r="F140" i="14" s="1"/>
  <c r="E306" i="15"/>
  <c r="D310" i="15"/>
  <c r="E310" i="15" s="1"/>
  <c r="F48" i="2"/>
  <c r="C263" i="15"/>
  <c r="E259" i="15"/>
  <c r="D318" i="14"/>
  <c r="D257" i="14"/>
  <c r="E273" i="14"/>
  <c r="F273" i="14" s="1"/>
  <c r="C324" i="14"/>
  <c r="C113" i="14"/>
  <c r="E92" i="14"/>
  <c r="F92" i="14" s="1"/>
  <c r="E50" i="14"/>
  <c r="F50" i="14" s="1"/>
  <c r="C70" i="14"/>
  <c r="C125" i="15"/>
  <c r="E125" i="15" s="1"/>
  <c r="C114" i="15"/>
  <c r="E114" i="15" s="1"/>
  <c r="C123" i="15"/>
  <c r="E123" i="15" s="1"/>
  <c r="C126" i="15"/>
  <c r="E126" i="15" s="1"/>
  <c r="C124" i="15"/>
  <c r="E124" i="15" s="1"/>
  <c r="C122" i="15"/>
  <c r="C111" i="15"/>
  <c r="E111" i="15" s="1"/>
  <c r="C121" i="15"/>
  <c r="C110" i="15"/>
  <c r="C127" i="15"/>
  <c r="E127" i="15" s="1"/>
  <c r="C112" i="15"/>
  <c r="E112" i="15" s="1"/>
  <c r="C115" i="15"/>
  <c r="E115" i="15" s="1"/>
  <c r="C113" i="15"/>
  <c r="E113" i="15" s="1"/>
  <c r="C109" i="15"/>
  <c r="E77" i="15"/>
  <c r="D99" i="5"/>
  <c r="D101" i="5" s="1"/>
  <c r="D98" i="5" s="1"/>
  <c r="D22" i="5"/>
  <c r="E162" i="14"/>
  <c r="C323" i="14"/>
  <c r="F162" i="14"/>
  <c r="C183" i="14"/>
  <c r="E127" i="14"/>
  <c r="C148" i="14"/>
  <c r="C197" i="14"/>
  <c r="F127" i="14"/>
  <c r="E291" i="14"/>
  <c r="C305" i="14"/>
  <c r="F291" i="14"/>
  <c r="E289" i="14"/>
  <c r="F289" i="14" s="1"/>
  <c r="E141" i="14" l="1"/>
  <c r="C322" i="14"/>
  <c r="C211" i="14"/>
  <c r="E211" i="14" s="1"/>
  <c r="F211" i="14" s="1"/>
  <c r="F141" i="14"/>
  <c r="E209" i="14"/>
  <c r="F209" i="14" s="1"/>
  <c r="C309" i="14"/>
  <c r="E305" i="14"/>
  <c r="F305" i="14" s="1"/>
  <c r="E148" i="14"/>
  <c r="F148" i="14" s="1"/>
  <c r="E323" i="14"/>
  <c r="F323" i="14" s="1"/>
  <c r="C128" i="15"/>
  <c r="E128" i="15" s="1"/>
  <c r="E122" i="15"/>
  <c r="E324" i="14"/>
  <c r="C325" i="14"/>
  <c r="F324" i="14"/>
  <c r="C264" i="15"/>
  <c r="E263" i="15"/>
  <c r="E183" i="14"/>
  <c r="F183" i="14" s="1"/>
  <c r="E109" i="15"/>
  <c r="C129" i="15"/>
  <c r="E129" i="15" s="1"/>
  <c r="E121" i="15"/>
  <c r="E197" i="14"/>
  <c r="F197" i="14" s="1"/>
  <c r="C116" i="15"/>
  <c r="E116" i="15" s="1"/>
  <c r="E110" i="15"/>
  <c r="E70" i="14"/>
  <c r="F70" i="14"/>
  <c r="E113" i="14"/>
  <c r="F113" i="14"/>
  <c r="E322" i="14" l="1"/>
  <c r="F322" i="14" s="1"/>
  <c r="C117" i="15"/>
  <c r="C266" i="15"/>
  <c r="E264" i="15"/>
  <c r="E325" i="14"/>
  <c r="F325" i="14" s="1"/>
  <c r="C310" i="14"/>
  <c r="F309" i="14"/>
  <c r="E309" i="14"/>
  <c r="C312" i="14" l="1"/>
  <c r="E310" i="14"/>
  <c r="F310" i="14" s="1"/>
  <c r="C267" i="15"/>
  <c r="E266" i="15"/>
  <c r="C131" i="15"/>
  <c r="E131" i="15" s="1"/>
  <c r="E117" i="15"/>
  <c r="C313" i="14" l="1"/>
  <c r="E312" i="14"/>
  <c r="F312" i="14" s="1"/>
  <c r="C268" i="15"/>
  <c r="C269" i="15"/>
  <c r="E269" i="15" s="1"/>
  <c r="E267" i="15"/>
  <c r="C314" i="14" l="1"/>
  <c r="C256" i="14"/>
  <c r="C251" i="14"/>
  <c r="C315" i="14"/>
  <c r="E313" i="14"/>
  <c r="F313" i="14" s="1"/>
  <c r="E268" i="15"/>
  <c r="C271" i="15"/>
  <c r="E271" i="15" s="1"/>
  <c r="E251" i="14" l="1"/>
  <c r="F251" i="14" s="1"/>
  <c r="C257" i="14"/>
  <c r="E256" i="14"/>
  <c r="F256" i="14" s="1"/>
  <c r="E315" i="14"/>
  <c r="F315" i="14" s="1"/>
  <c r="C318" i="14"/>
  <c r="E314" i="14"/>
  <c r="F314" i="14" s="1"/>
  <c r="E318" i="14" l="1"/>
  <c r="F318" i="14" s="1"/>
  <c r="E257" i="14"/>
  <c r="F257" i="14" s="1"/>
</calcChain>
</file>

<file path=xl/sharedStrings.xml><?xml version="1.0" encoding="utf-8"?>
<sst xmlns="http://schemas.openxmlformats.org/spreadsheetml/2006/main" count="2300" uniqueCount="978">
  <si>
    <t>ESSENT-SHARON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</si>
  <si>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</si>
  <si>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</si>
  <si>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</si>
  <si>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</si>
  <si>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</si>
  <si>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</si>
  <si>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</si>
  <si>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</si>
  <si>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</si>
  <si>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</si>
  <si>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</si>
  <si>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</si>
  <si>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</si>
  <si>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</si>
  <si>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</si>
  <si>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</si>
  <si>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</si>
  <si>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</si>
  <si>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</si>
  <si>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</si>
  <si>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</si>
  <si>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</si>
  <si>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</si>
  <si>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</si>
  <si>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</si>
  <si>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</si>
  <si>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</si>
  <si>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</si>
  <si>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</si>
  <si>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</si>
  <si>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</si>
  <si>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</si>
  <si>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</si>
  <si>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</si>
  <si>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</si>
  <si>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</si>
  <si>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</si>
  <si>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</si>
  <si>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</si>
  <si>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</si>
  <si>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</si>
  <si>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</si>
  <si>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</si>
  <si>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</si>
  <si>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</si>
  <si>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</si>
  <si>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</si>
  <si>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</si>
  <si>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</si>
  <si>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</si>
  <si>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</si>
  <si>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</si>
  <si>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</si>
  <si>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</si>
  <si>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</si>
  <si>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</si>
  <si>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</si>
  <si>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</si>
  <si>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</si>
  <si>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</si>
  <si>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</si>
  <si>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</si>
  <si>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</si>
  <si>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</si>
  <si>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</si>
  <si>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</si>
  <si>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</si>
  <si>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</si>
  <si>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</si>
  <si>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</si>
  <si>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</si>
  <si>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</si>
  <si>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</si>
  <si>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</si>
  <si>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</si>
  <si>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</si>
  <si>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</si>
  <si>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</si>
  <si>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</si>
  <si>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</si>
  <si>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</si>
  <si>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</si>
  <si>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</si>
  <si>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</si>
  <si>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</si>
  <si>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</si>
  <si>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</si>
  <si>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</si>
  <si>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</si>
  <si>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</si>
  <si>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</si>
  <si>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</si>
  <si>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</si>
  <si>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</si>
  <si>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</si>
  <si>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</si>
  <si>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</si>
  <si>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</si>
  <si>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</si>
  <si>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</si>
  <si>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</si>
  <si>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</si>
  <si>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</si>
  <si>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</si>
  <si>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</si>
  <si>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</si>
  <si>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</si>
  <si>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</si>
  <si>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</si>
  <si>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</si>
  <si>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</si>
  <si>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</si>
  <si>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</si>
  <si>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</si>
  <si>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</si>
  <si>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</si>
  <si>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</si>
  <si>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</si>
  <si>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</si>
  <si>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</si>
  <si>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</si>
  <si>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</si>
  <si>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</si>
  <si>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</si>
  <si>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</si>
  <si>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</si>
  <si>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</si>
  <si>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</si>
  <si>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</si>
  <si>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</si>
  <si>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</si>
  <si>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</si>
  <si>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</si>
  <si>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</si>
  <si>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</si>
  <si>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</si>
  <si>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</si>
  <si>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</si>
  <si>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</si>
  <si>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</si>
  <si>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</si>
  <si>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</si>
  <si>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</si>
  <si>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</si>
  <si>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</si>
  <si>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</si>
  <si>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</si>
  <si>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</si>
  <si>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</si>
  <si>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</si>
  <si>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</si>
  <si>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</si>
  <si>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</si>
  <si>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</si>
  <si>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</si>
  <si>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</si>
  <si>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</si>
  <si>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</si>
  <si>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</si>
  <si>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</si>
  <si>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</si>
  <si>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</si>
  <si>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</si>
  <si>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</si>
  <si>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</si>
  <si>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</si>
  <si>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</si>
  <si>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</si>
  <si>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</si>
  <si>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</si>
  <si>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</si>
  <si>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</si>
  <si>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</si>
  <si>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</si>
  <si>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</si>
  <si>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</si>
  <si>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</si>
  <si>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</si>
  <si>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</si>
  <si>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</si>
  <si>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</si>
  <si>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</si>
  <si>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</si>
  <si>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</si>
  <si>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</si>
  <si>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</si>
  <si>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</si>
  <si>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</si>
  <si>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</si>
  <si>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</si>
  <si>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</si>
  <si>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</si>
  <si>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</si>
  <si>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</si>
  <si>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</si>
  <si>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</si>
  <si>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</si>
  <si>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</si>
  <si>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</si>
  <si>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</si>
  <si>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</si>
  <si>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</si>
  <si>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</si>
  <si>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</si>
  <si>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</si>
  <si>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</si>
  <si>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</si>
  <si>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</si>
  <si>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</si>
  <si>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</si>
  <si>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</si>
  <si>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</si>
  <si>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</si>
  <si>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</si>
  <si>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</si>
  <si>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</si>
  <si>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</si>
  <si>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</si>
  <si>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</si>
  <si>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</si>
  <si>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</si>
  <si>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</si>
  <si>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</si>
  <si>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</si>
  <si>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</si>
  <si>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</si>
  <si>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</si>
  <si>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</si>
  <si>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</si>
  <si>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</si>
  <si>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</si>
  <si>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</si>
  <si>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</si>
  <si>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</si>
  <si>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</si>
  <si>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</si>
  <si>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</si>
  <si>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</si>
  <si>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</si>
  <si>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</si>
  <si>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</si>
  <si>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</si>
  <si>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</si>
  <si>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</si>
  <si>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</si>
  <si>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</si>
  <si>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</si>
  <si>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</si>
  <si>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</si>
  <si>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</si>
  <si>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</si>
  <si>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</si>
  <si>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</si>
  <si>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</si>
  <si>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</si>
  <si>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</si>
  <si>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</si>
  <si>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</si>
  <si>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</si>
  <si>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</si>
  <si>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</si>
  <si>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</si>
  <si>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</si>
  <si>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</si>
  <si>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</si>
  <si>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</si>
  <si>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</si>
  <si>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</si>
  <si>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</si>
  <si>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</si>
  <si>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</si>
  <si>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</si>
  <si>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</si>
  <si>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</si>
  <si>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</si>
  <si>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</si>
  <si>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</si>
  <si>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</si>
  <si>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</si>
  <si>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</si>
  <si>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</si>
  <si>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</si>
  <si>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</si>
  <si>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</si>
  <si>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</si>
  <si>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</si>
  <si>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</si>
  <si>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</si>
  <si>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</si>
  <si>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</si>
  <si>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</si>
  <si>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</si>
  <si>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</si>
  <si>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</si>
  <si>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</si>
  <si>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</si>
  <si>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</si>
  <si>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</si>
  <si>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</si>
  <si>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</si>
  <si>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</si>
  <si>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</si>
  <si>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</si>
  <si>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</si>
  <si>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</si>
  <si>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</si>
  <si>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</si>
  <si>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</si>
  <si>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</si>
  <si>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</si>
  <si>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</si>
  <si>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</si>
  <si>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</si>
  <si>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</si>
  <si>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</si>
  <si>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</si>
  <si>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</si>
  <si>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</si>
  <si>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</si>
  <si>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</si>
  <si>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</si>
  <si>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</si>
  <si>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</si>
  <si>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</si>
  <si>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</si>
  <si>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</si>
  <si>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</si>
  <si>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</si>
  <si>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</si>
  <si>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</si>
  <si>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</si>
  <si>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</si>
  <si>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</si>
  <si>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</si>
  <si>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</si>
  <si>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</si>
  <si>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</si>
  <si>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</si>
  <si>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</si>
  <si>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</si>
  <si>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</si>
  <si>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</si>
  <si>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</si>
  <si>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</si>
  <si>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</si>
  <si>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</si>
  <si>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</si>
  <si>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</si>
  <si>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</si>
  <si>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</si>
  <si>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</si>
  <si>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</si>
  <si>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</si>
  <si>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</si>
  <si>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</si>
  <si>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</si>
  <si>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</si>
  <si>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</si>
  <si>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</si>
  <si>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</si>
  <si>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</si>
  <si>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</si>
  <si>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</si>
  <si>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</si>
  <si>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</si>
  <si>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</si>
  <si>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</si>
  <si>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</si>
  <si>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</si>
  <si>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</si>
  <si>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</si>
  <si>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</si>
  <si>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</si>
  <si>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</si>
  <si>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</si>
  <si>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</si>
  <si>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</si>
  <si>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</si>
  <si>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</si>
  <si>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</si>
  <si>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</si>
  <si>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</si>
  <si>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</si>
  <si>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</si>
  <si>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</si>
  <si>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</si>
  <si>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</si>
  <si>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</si>
  <si>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</si>
  <si>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</si>
  <si>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</si>
  <si>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</si>
  <si>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</si>
  <si>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</si>
  <si>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</si>
  <si>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</si>
  <si>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</si>
  <si>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</si>
  <si>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</si>
  <si>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</si>
  <si>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</si>
  <si>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</si>
  <si>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</si>
  <si>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</si>
  <si>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</si>
  <si>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</si>
  <si>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</si>
  <si>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</si>
  <si>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</si>
  <si>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</si>
  <si>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</si>
  <si>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</si>
  <si>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</si>
  <si>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</si>
  <si>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</si>
  <si>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</si>
  <si>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</si>
  <si>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</si>
  <si>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</si>
  <si>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</si>
  <si>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</si>
  <si>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</si>
  <si>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</si>
  <si>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</si>
  <si>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</si>
  <si>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</si>
  <si>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</si>
  <si>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</si>
  <si>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</si>
  <si>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</si>
  <si>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</si>
  <si>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</si>
  <si>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</si>
  <si>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</si>
  <si>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</si>
  <si>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</si>
  <si>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</si>
  <si>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</si>
  <si>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</si>
  <si>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</si>
  <si>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</si>
  <si>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</si>
  <si>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</si>
  <si>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</si>
  <si>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</si>
  <si>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</si>
  <si>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</si>
  <si>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</si>
  <si>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</si>
  <si>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</si>
  <si>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</si>
  <si>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</si>
  <si>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</si>
  <si>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</si>
  <si>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</si>
  <si>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</si>
  <si>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</si>
  <si>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</si>
  <si>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</si>
  <si>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</si>
  <si>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</si>
  <si>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</si>
  <si>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</si>
  <si>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</si>
  <si>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</si>
  <si>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</si>
  <si>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</si>
  <si>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</si>
  <si>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</si>
  <si>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</si>
  <si>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</si>
  <si>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</si>
  <si>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</si>
  <si>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</si>
  <si>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</si>
  <si>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</si>
  <si>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</si>
  <si>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</si>
  <si>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SHARON HOSPITAL HOLDING CO,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</si>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</sst>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B12" sqref="B12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6306510</v>
      </c>
      <c r="D15" s="23">
        <v>5879926</v>
      </c>
      <c r="E15" s="23">
        <f t="shared" si="0"/>
        <v>-426584</v>
      </c>
      <c r="F15" s="24">
        <f t="shared" si="1"/>
        <v>-6.7641849453976916E-2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1140534</v>
      </c>
      <c r="D19" s="23">
        <v>1162381</v>
      </c>
      <c r="E19" s="23">
        <f t="shared" si="0"/>
        <v>21847</v>
      </c>
      <c r="F19" s="24">
        <f t="shared" si="1"/>
        <v>1.9155062453201747E-2</v>
      </c>
    </row>
    <row r="20" spans="1:11" ht="24" customHeight="1" x14ac:dyDescent="0.2">
      <c r="A20" s="21">
        <v>8</v>
      </c>
      <c r="B20" s="22" t="s">
        <v>23</v>
      </c>
      <c r="C20" s="23">
        <v>1517860</v>
      </c>
      <c r="D20" s="23">
        <v>598277</v>
      </c>
      <c r="E20" s="23">
        <f t="shared" si="0"/>
        <v>-919583</v>
      </c>
      <c r="F20" s="24">
        <f t="shared" si="1"/>
        <v>-0.60584177723900756</v>
      </c>
    </row>
    <row r="21" spans="1:11" ht="24" customHeight="1" x14ac:dyDescent="0.2">
      <c r="A21" s="21">
        <v>9</v>
      </c>
      <c r="B21" s="22" t="s">
        <v>24</v>
      </c>
      <c r="C21" s="23">
        <v>1707366</v>
      </c>
      <c r="D21" s="23">
        <v>1640784</v>
      </c>
      <c r="E21" s="23">
        <f t="shared" si="0"/>
        <v>-66582</v>
      </c>
      <c r="F21" s="24">
        <f t="shared" si="1"/>
        <v>-3.8996911031378159E-2</v>
      </c>
    </row>
    <row r="22" spans="1:11" ht="24" customHeight="1" x14ac:dyDescent="0.25">
      <c r="A22" s="25"/>
      <c r="B22" s="26" t="s">
        <v>25</v>
      </c>
      <c r="C22" s="27">
        <f>SUM(C13:C21)</f>
        <v>10672270</v>
      </c>
      <c r="D22" s="27">
        <f>SUM(D13:D21)</f>
        <v>9281368</v>
      </c>
      <c r="E22" s="27">
        <f t="shared" si="0"/>
        <v>-1390902</v>
      </c>
      <c r="F22" s="28">
        <f t="shared" si="1"/>
        <v>-0.13032859925770243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8911918</v>
      </c>
      <c r="D33" s="23">
        <v>13068006</v>
      </c>
      <c r="E33" s="23">
        <f>D33-C33</f>
        <v>4156088</v>
      </c>
      <c r="F33" s="24">
        <f>IF(C33=0,0,E33/C33)</f>
        <v>0.46635168770628277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56490008</v>
      </c>
      <c r="D36" s="23">
        <v>57854109</v>
      </c>
      <c r="E36" s="23">
        <f>D36-C36</f>
        <v>1364101</v>
      </c>
      <c r="F36" s="24">
        <f>IF(C36=0,0,E36/C36)</f>
        <v>2.4147651032373724E-2</v>
      </c>
    </row>
    <row r="37" spans="1:8" ht="24" customHeight="1" x14ac:dyDescent="0.2">
      <c r="A37" s="21">
        <v>2</v>
      </c>
      <c r="B37" s="22" t="s">
        <v>39</v>
      </c>
      <c r="C37" s="23">
        <v>16284093</v>
      </c>
      <c r="D37" s="23">
        <v>19433867</v>
      </c>
      <c r="E37" s="23">
        <f>D37-C37</f>
        <v>3149774</v>
      </c>
      <c r="F37" s="24">
        <f>IF(C37=0,0,E37/C37)</f>
        <v>0.19342643154887409</v>
      </c>
    </row>
    <row r="38" spans="1:8" ht="24" customHeight="1" x14ac:dyDescent="0.25">
      <c r="A38" s="25"/>
      <c r="B38" s="26" t="s">
        <v>40</v>
      </c>
      <c r="C38" s="27">
        <f>C36-C37</f>
        <v>40205915</v>
      </c>
      <c r="D38" s="27">
        <f>D36-D37</f>
        <v>38420242</v>
      </c>
      <c r="E38" s="27">
        <f>D38-C38</f>
        <v>-1785673</v>
      </c>
      <c r="F38" s="28">
        <f>IF(C38=0,0,E38/C38)</f>
        <v>-4.4413191442104975E-2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235793</v>
      </c>
      <c r="D40" s="23">
        <v>242040</v>
      </c>
      <c r="E40" s="23">
        <f>D40-C40</f>
        <v>6247</v>
      </c>
      <c r="F40" s="24">
        <f>IF(C40=0,0,E40/C40)</f>
        <v>2.6493576993379786E-2</v>
      </c>
    </row>
    <row r="41" spans="1:8" ht="24" customHeight="1" x14ac:dyDescent="0.25">
      <c r="A41" s="25"/>
      <c r="B41" s="26" t="s">
        <v>42</v>
      </c>
      <c r="C41" s="27">
        <f>+C38+C40</f>
        <v>40441708</v>
      </c>
      <c r="D41" s="27">
        <f>+D38+D40</f>
        <v>38662282</v>
      </c>
      <c r="E41" s="27">
        <f>D41-C41</f>
        <v>-1779426</v>
      </c>
      <c r="F41" s="28">
        <f>IF(C41=0,0,E41/C41)</f>
        <v>-4.3999773698974336E-2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60025896</v>
      </c>
      <c r="D43" s="27">
        <f>D22+D29+D31+D32+D33+D41</f>
        <v>61011656</v>
      </c>
      <c r="E43" s="27">
        <f>D43-C43</f>
        <v>985760</v>
      </c>
      <c r="F43" s="28">
        <f>IF(C43=0,0,E43/C43)</f>
        <v>1.6422245492178907E-2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1950304</v>
      </c>
      <c r="D49" s="23">
        <v>1338667</v>
      </c>
      <c r="E49" s="23">
        <f t="shared" ref="E49:E56" si="2">D49-C49</f>
        <v>-611637</v>
      </c>
      <c r="F49" s="24">
        <f t="shared" ref="F49:F56" si="3">IF(C49=0,0,E49/C49)</f>
        <v>-0.31361110883226412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3690101</v>
      </c>
      <c r="D50" s="23">
        <v>3591616</v>
      </c>
      <c r="E50" s="23">
        <f t="shared" si="2"/>
        <v>-98485</v>
      </c>
      <c r="F50" s="24">
        <f t="shared" si="3"/>
        <v>-2.6688971385878058E-2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435106</v>
      </c>
      <c r="D51" s="23">
        <v>322546</v>
      </c>
      <c r="E51" s="23">
        <f t="shared" si="2"/>
        <v>-112560</v>
      </c>
      <c r="F51" s="24">
        <f t="shared" si="3"/>
        <v>-0.25869558222594036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956509</v>
      </c>
      <c r="D54" s="23">
        <v>897476</v>
      </c>
      <c r="E54" s="23">
        <f t="shared" si="2"/>
        <v>-59033</v>
      </c>
      <c r="F54" s="24">
        <f t="shared" si="3"/>
        <v>-6.1717140141911889E-2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7032020</v>
      </c>
      <c r="D56" s="27">
        <f>SUM(D49:D55)</f>
        <v>6150305</v>
      </c>
      <c r="E56" s="27">
        <f t="shared" si="2"/>
        <v>-881715</v>
      </c>
      <c r="F56" s="28">
        <f t="shared" si="3"/>
        <v>-0.12538573553545068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34037500</v>
      </c>
      <c r="D60" s="23">
        <v>33687500</v>
      </c>
      <c r="E60" s="23">
        <f>D60-C60</f>
        <v>-350000</v>
      </c>
      <c r="F60" s="24">
        <f>IF(C60=0,0,E60/C60)</f>
        <v>-1.0282776349614395E-2</v>
      </c>
    </row>
    <row r="61" spans="1:6" ht="24" customHeight="1" x14ac:dyDescent="0.25">
      <c r="A61" s="25"/>
      <c r="B61" s="26" t="s">
        <v>58</v>
      </c>
      <c r="C61" s="27">
        <f>SUM(C59:C60)</f>
        <v>34037500</v>
      </c>
      <c r="D61" s="27">
        <f>SUM(D59:D60)</f>
        <v>33687500</v>
      </c>
      <c r="E61" s="27">
        <f>D61-C61</f>
        <v>-350000</v>
      </c>
      <c r="F61" s="28">
        <f>IF(C61=0,0,E61/C61)</f>
        <v>-1.0282776349614395E-2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1407000</v>
      </c>
      <c r="D63" s="23">
        <v>1502000</v>
      </c>
      <c r="E63" s="23">
        <f>D63-C63</f>
        <v>95000</v>
      </c>
      <c r="F63" s="24">
        <f>IF(C63=0,0,E63/C63)</f>
        <v>6.7519545131485434E-2</v>
      </c>
    </row>
    <row r="64" spans="1:6" ht="24" customHeight="1" x14ac:dyDescent="0.2">
      <c r="A64" s="21">
        <v>4</v>
      </c>
      <c r="B64" s="22" t="s">
        <v>60</v>
      </c>
      <c r="C64" s="23">
        <v>2095785</v>
      </c>
      <c r="D64" s="23">
        <v>1404029</v>
      </c>
      <c r="E64" s="23">
        <f>D64-C64</f>
        <v>-691756</v>
      </c>
      <c r="F64" s="24">
        <f>IF(C64=0,0,E64/C64)</f>
        <v>-0.33007011692516169</v>
      </c>
    </row>
    <row r="65" spans="1:6" ht="24" customHeight="1" x14ac:dyDescent="0.25">
      <c r="A65" s="25"/>
      <c r="B65" s="26" t="s">
        <v>61</v>
      </c>
      <c r="C65" s="27">
        <f>SUM(C61:C64)</f>
        <v>37540285</v>
      </c>
      <c r="D65" s="27">
        <f>SUM(D61:D64)</f>
        <v>36593529</v>
      </c>
      <c r="E65" s="27">
        <f>D65-C65</f>
        <v>-946756</v>
      </c>
      <c r="F65" s="28">
        <f>IF(C65=0,0,E65/C65)</f>
        <v>-2.5219733947145048E-2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15453591</v>
      </c>
      <c r="D70" s="23">
        <v>18267822</v>
      </c>
      <c r="E70" s="23">
        <f>D70-C70</f>
        <v>2814231</v>
      </c>
      <c r="F70" s="24">
        <f>IF(C70=0,0,E70/C70)</f>
        <v>0.18210854680960561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15453591</v>
      </c>
      <c r="D73" s="27">
        <f>SUM(D70:D72)</f>
        <v>18267822</v>
      </c>
      <c r="E73" s="27">
        <f>D73-C73</f>
        <v>2814231</v>
      </c>
      <c r="F73" s="28">
        <f>IF(C73=0,0,E73/C73)</f>
        <v>0.18210854680960561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60025896</v>
      </c>
      <c r="D75" s="27">
        <f>D56+D65+D67+D73</f>
        <v>61011656</v>
      </c>
      <c r="E75" s="27">
        <f>D75-C75</f>
        <v>985760</v>
      </c>
      <c r="F75" s="28">
        <f>IF(C75=0,0,E75/C75)</f>
        <v>1.6422245492178907E-2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55524108</v>
      </c>
      <c r="D11" s="51">
        <v>54310740</v>
      </c>
      <c r="E11" s="51">
        <v>54034467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671644</v>
      </c>
      <c r="D12" s="49">
        <v>543474</v>
      </c>
      <c r="E12" s="49">
        <v>531371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56195752</v>
      </c>
      <c r="D13" s="51">
        <f>+D11+D12</f>
        <v>54854214</v>
      </c>
      <c r="E13" s="51">
        <f>+E11+E12</f>
        <v>54565838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55942818</v>
      </c>
      <c r="D14" s="49">
        <v>52980631</v>
      </c>
      <c r="E14" s="49">
        <v>52992832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252934</v>
      </c>
      <c r="D15" s="51">
        <f>+D13-D14</f>
        <v>1873583</v>
      </c>
      <c r="E15" s="51">
        <f>+E13-E14</f>
        <v>1573006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252934</v>
      </c>
      <c r="D17" s="51">
        <f>D15+D16</f>
        <v>1873583</v>
      </c>
      <c r="E17" s="51">
        <f>E15+E16</f>
        <v>1573006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4.5009451959998684E-3</v>
      </c>
      <c r="D20" s="169">
        <f>IF(+D27=0,0,+D24/+D27)</f>
        <v>3.4155680363955263E-2</v>
      </c>
      <c r="E20" s="169">
        <f>IF(+E27=0,0,+E24/+E27)</f>
        <v>2.8827670528948902E-2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0</v>
      </c>
      <c r="D21" s="169">
        <f>IF(+D27=0,0,+D26/+D27)</f>
        <v>0</v>
      </c>
      <c r="E21" s="169">
        <f>IF(+E27=0,0,+E26/+E27)</f>
        <v>0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4.5009451959998684E-3</v>
      </c>
      <c r="D22" s="169">
        <f>IF(+D27=0,0,+D28/+D27)</f>
        <v>3.4155680363955263E-2</v>
      </c>
      <c r="E22" s="169">
        <f>IF(+E27=0,0,+E28/+E27)</f>
        <v>2.8827670528948902E-2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252934</v>
      </c>
      <c r="D24" s="51">
        <f>+D15</f>
        <v>1873583</v>
      </c>
      <c r="E24" s="51">
        <f>+E15</f>
        <v>1573006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56195752</v>
      </c>
      <c r="D25" s="51">
        <f>+D13</f>
        <v>54854214</v>
      </c>
      <c r="E25" s="51">
        <f>+E13</f>
        <v>54565838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56195752</v>
      </c>
      <c r="D27" s="51">
        <f>SUM(D25:D26)</f>
        <v>54854214</v>
      </c>
      <c r="E27" s="51">
        <f>SUM(E25:E26)</f>
        <v>54565838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252934</v>
      </c>
      <c r="D28" s="51">
        <f>+D17</f>
        <v>1873583</v>
      </c>
      <c r="E28" s="51">
        <f>+E17</f>
        <v>1573006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11529344</v>
      </c>
      <c r="D31" s="51">
        <v>13049049</v>
      </c>
      <c r="E31" s="52">
        <v>14518956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11529344</v>
      </c>
      <c r="D32" s="51">
        <v>13049049</v>
      </c>
      <c r="E32" s="51">
        <v>14518956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128778</v>
      </c>
      <c r="D33" s="51">
        <f>+D32-C32</f>
        <v>1519705</v>
      </c>
      <c r="E33" s="51">
        <f>+E32-D32</f>
        <v>1469907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1.0112000000000001</v>
      </c>
      <c r="D34" s="171">
        <f>IF(C32=0,0,+D33/C32)</f>
        <v>0.13181192269048439</v>
      </c>
      <c r="E34" s="171">
        <f>IF(D32=0,0,+E33/D32)</f>
        <v>0.11264476054921703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1.5980069673590784</v>
      </c>
      <c r="D38" s="269">
        <f>IF(+D40=0,0,+D39/+D40)</f>
        <v>1.5452388177923375</v>
      </c>
      <c r="E38" s="269">
        <f>IF(+E40=0,0,+E39/+E40)</f>
        <v>1.5585574127202277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10162773</v>
      </c>
      <c r="D39" s="270">
        <v>10916933</v>
      </c>
      <c r="E39" s="270">
        <v>9643867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6359655</v>
      </c>
      <c r="D40" s="270">
        <v>7064884</v>
      </c>
      <c r="E40" s="270">
        <v>6187688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0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0</v>
      </c>
      <c r="D45" s="270">
        <f>+D43+D44</f>
        <v>0</v>
      </c>
      <c r="E45" s="270">
        <f>+E43+E44</f>
        <v>0</v>
      </c>
    </row>
    <row r="46" spans="1:14" ht="24" customHeight="1" x14ac:dyDescent="0.2">
      <c r="A46" s="17">
        <v>8</v>
      </c>
      <c r="B46" s="45" t="s">
        <v>324</v>
      </c>
      <c r="C46" s="270">
        <f>+C14</f>
        <v>55942818</v>
      </c>
      <c r="D46" s="270">
        <f>+D14</f>
        <v>52980631</v>
      </c>
      <c r="E46" s="270">
        <f>+E14</f>
        <v>52992832</v>
      </c>
    </row>
    <row r="47" spans="1:14" ht="24" customHeight="1" x14ac:dyDescent="0.2">
      <c r="A47" s="17">
        <v>9</v>
      </c>
      <c r="B47" s="45" t="s">
        <v>347</v>
      </c>
      <c r="C47" s="270">
        <v>3568388</v>
      </c>
      <c r="D47" s="270">
        <v>3555043</v>
      </c>
      <c r="E47" s="270">
        <v>3287347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52374430</v>
      </c>
      <c r="D48" s="270">
        <f>+D46-D47</f>
        <v>49425588</v>
      </c>
      <c r="E48" s="270">
        <f>+E46-E47</f>
        <v>49705485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42.388333100281415</v>
      </c>
      <c r="D50" s="278">
        <f>IF((D55/365)=0,0,+D54/(D55/365))</f>
        <v>41.043048943910541</v>
      </c>
      <c r="E50" s="278">
        <f>IF((E55/365)=0,0,+E54/(E55/365))</f>
        <v>39.988473190639603</v>
      </c>
    </row>
    <row r="51" spans="1:5" ht="24" customHeight="1" x14ac:dyDescent="0.2">
      <c r="A51" s="17">
        <v>12</v>
      </c>
      <c r="B51" s="188" t="s">
        <v>350</v>
      </c>
      <c r="C51" s="279">
        <v>6656193</v>
      </c>
      <c r="D51" s="279">
        <v>6542170</v>
      </c>
      <c r="E51" s="279">
        <v>6242425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208044</v>
      </c>
      <c r="D53" s="270">
        <v>435106</v>
      </c>
      <c r="E53" s="270">
        <v>322546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6448149</v>
      </c>
      <c r="D54" s="280">
        <f>+D51+D52-D53</f>
        <v>6107064</v>
      </c>
      <c r="E54" s="280">
        <f>+E51+E52-E53</f>
        <v>5919879</v>
      </c>
    </row>
    <row r="55" spans="1:5" ht="24" customHeight="1" x14ac:dyDescent="0.2">
      <c r="A55" s="17">
        <v>16</v>
      </c>
      <c r="B55" s="45" t="s">
        <v>75</v>
      </c>
      <c r="C55" s="270">
        <f>+C11</f>
        <v>55524108</v>
      </c>
      <c r="D55" s="270">
        <f>+D11</f>
        <v>54310740</v>
      </c>
      <c r="E55" s="270">
        <f>+E11</f>
        <v>54034467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44.320751080250417</v>
      </c>
      <c r="D57" s="283">
        <f>IF((D61/365)=0,0,+D58/(D61/365))</f>
        <v>52.173029484242051</v>
      </c>
      <c r="E57" s="283">
        <f>IF((E61/365)=0,0,+E58/(E61/365))</f>
        <v>45.437764464022436</v>
      </c>
    </row>
    <row r="58" spans="1:5" ht="24" customHeight="1" x14ac:dyDescent="0.2">
      <c r="A58" s="17">
        <v>18</v>
      </c>
      <c r="B58" s="45" t="s">
        <v>54</v>
      </c>
      <c r="C58" s="281">
        <f>+C40</f>
        <v>6359655</v>
      </c>
      <c r="D58" s="281">
        <f>+D40</f>
        <v>7064884</v>
      </c>
      <c r="E58" s="281">
        <f>+E40</f>
        <v>6187688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55942818</v>
      </c>
      <c r="D59" s="281">
        <f t="shared" si="0"/>
        <v>52980631</v>
      </c>
      <c r="E59" s="281">
        <f t="shared" si="0"/>
        <v>52992832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3568388</v>
      </c>
      <c r="D60" s="176">
        <f t="shared" si="0"/>
        <v>3555043</v>
      </c>
      <c r="E60" s="176">
        <f t="shared" si="0"/>
        <v>3287347</v>
      </c>
    </row>
    <row r="61" spans="1:5" ht="24" customHeight="1" x14ac:dyDescent="0.2">
      <c r="A61" s="17">
        <v>21</v>
      </c>
      <c r="B61" s="45" t="s">
        <v>353</v>
      </c>
      <c r="C61" s="281">
        <f>+C59-C60</f>
        <v>52374430</v>
      </c>
      <c r="D61" s="281">
        <f>+D59-D60</f>
        <v>49425588</v>
      </c>
      <c r="E61" s="281">
        <f>+E59-E60</f>
        <v>49705485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20.445114582679054</v>
      </c>
      <c r="D65" s="284">
        <f>IF(D67=0,0,(D66/D67)*100)</f>
        <v>22.633687160359376</v>
      </c>
      <c r="E65" s="284">
        <f>IF(E67=0,0,(E66/E67)*100)</f>
        <v>25.338415644923096</v>
      </c>
    </row>
    <row r="66" spans="1:5" ht="24" customHeight="1" x14ac:dyDescent="0.2">
      <c r="A66" s="17">
        <v>2</v>
      </c>
      <c r="B66" s="45" t="s">
        <v>67</v>
      </c>
      <c r="C66" s="281">
        <f>+C32</f>
        <v>11529344</v>
      </c>
      <c r="D66" s="281">
        <f>+D32</f>
        <v>13049049</v>
      </c>
      <c r="E66" s="281">
        <f>+E32</f>
        <v>14518956</v>
      </c>
    </row>
    <row r="67" spans="1:5" ht="24" customHeight="1" x14ac:dyDescent="0.2">
      <c r="A67" s="17">
        <v>3</v>
      </c>
      <c r="B67" s="45" t="s">
        <v>43</v>
      </c>
      <c r="C67" s="281">
        <v>56391682</v>
      </c>
      <c r="D67" s="281">
        <v>57653218</v>
      </c>
      <c r="E67" s="281">
        <v>57300173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9.378132043819992</v>
      </c>
      <c r="D69" s="284">
        <f>IF(D75=0,0,(D72/D75)*100)</f>
        <v>13.207569663112483</v>
      </c>
      <c r="E69" s="284">
        <f>IF(E75=0,0,(E72/E75)*100)</f>
        <v>12.188915573263253</v>
      </c>
    </row>
    <row r="70" spans="1:5" ht="24" customHeight="1" x14ac:dyDescent="0.2">
      <c r="A70" s="17">
        <v>5</v>
      </c>
      <c r="B70" s="45" t="s">
        <v>358</v>
      </c>
      <c r="C70" s="281">
        <f>+C28</f>
        <v>252934</v>
      </c>
      <c r="D70" s="281">
        <f>+D28</f>
        <v>1873583</v>
      </c>
      <c r="E70" s="281">
        <f>+E28</f>
        <v>1573006</v>
      </c>
    </row>
    <row r="71" spans="1:5" ht="24" customHeight="1" x14ac:dyDescent="0.2">
      <c r="A71" s="17">
        <v>6</v>
      </c>
      <c r="B71" s="45" t="s">
        <v>347</v>
      </c>
      <c r="C71" s="176">
        <f>+C47</f>
        <v>3568388</v>
      </c>
      <c r="D71" s="176">
        <f>+D47</f>
        <v>3555043</v>
      </c>
      <c r="E71" s="176">
        <f>+E47</f>
        <v>3287347</v>
      </c>
    </row>
    <row r="72" spans="1:5" ht="24" customHeight="1" x14ac:dyDescent="0.2">
      <c r="A72" s="17">
        <v>7</v>
      </c>
      <c r="B72" s="45" t="s">
        <v>359</v>
      </c>
      <c r="C72" s="281">
        <f>+C70+C71</f>
        <v>3821322</v>
      </c>
      <c r="D72" s="281">
        <f>+D70+D71</f>
        <v>5428626</v>
      </c>
      <c r="E72" s="281">
        <f>+E70+E71</f>
        <v>4860353</v>
      </c>
    </row>
    <row r="73" spans="1:5" ht="24" customHeight="1" x14ac:dyDescent="0.2">
      <c r="A73" s="17">
        <v>8</v>
      </c>
      <c r="B73" s="45" t="s">
        <v>54</v>
      </c>
      <c r="C73" s="270">
        <f>+C40</f>
        <v>6359655</v>
      </c>
      <c r="D73" s="270">
        <f>+D40</f>
        <v>7064884</v>
      </c>
      <c r="E73" s="270">
        <f>+E40</f>
        <v>6187688</v>
      </c>
    </row>
    <row r="74" spans="1:5" ht="24" customHeight="1" x14ac:dyDescent="0.2">
      <c r="A74" s="17">
        <v>9</v>
      </c>
      <c r="B74" s="45" t="s">
        <v>58</v>
      </c>
      <c r="C74" s="281">
        <v>34387500</v>
      </c>
      <c r="D74" s="281">
        <v>34037500</v>
      </c>
      <c r="E74" s="281">
        <v>33687500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40747155</v>
      </c>
      <c r="D75" s="270">
        <f>+D73+D74</f>
        <v>41102384</v>
      </c>
      <c r="E75" s="270">
        <f>+E73+E74</f>
        <v>39875188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74.890817844536528</v>
      </c>
      <c r="D77" s="286">
        <f>IF(D80=0,0,(D78/D80)*100)</f>
        <v>72.28709838132329</v>
      </c>
      <c r="E77" s="286">
        <f>IF(E80=0,0,(E78/E80)*100)</f>
        <v>69.881718747381058</v>
      </c>
    </row>
    <row r="78" spans="1:5" ht="24" customHeight="1" x14ac:dyDescent="0.2">
      <c r="A78" s="17">
        <v>12</v>
      </c>
      <c r="B78" s="45" t="s">
        <v>58</v>
      </c>
      <c r="C78" s="270">
        <f>+C74</f>
        <v>34387500</v>
      </c>
      <c r="D78" s="270">
        <f>+D74</f>
        <v>34037500</v>
      </c>
      <c r="E78" s="270">
        <f>+E74</f>
        <v>33687500</v>
      </c>
    </row>
    <row r="79" spans="1:5" ht="24" customHeight="1" x14ac:dyDescent="0.2">
      <c r="A79" s="17">
        <v>13</v>
      </c>
      <c r="B79" s="45" t="s">
        <v>67</v>
      </c>
      <c r="C79" s="270">
        <f>+C32</f>
        <v>11529344</v>
      </c>
      <c r="D79" s="270">
        <f>+D32</f>
        <v>13049049</v>
      </c>
      <c r="E79" s="270">
        <f>+E32</f>
        <v>14518956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45916844</v>
      </c>
      <c r="D80" s="270">
        <f>+D78+D79</f>
        <v>47086549</v>
      </c>
      <c r="E80" s="270">
        <f>+E78+E79</f>
        <v>48206456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FILING&amp;R&amp;8SHARON HOSPITAL HOLDING CO,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5290</v>
      </c>
      <c r="D11" s="297">
        <v>22</v>
      </c>
      <c r="E11" s="297">
        <v>47</v>
      </c>
      <c r="F11" s="298">
        <f>IF(D11=0,0,$C11/(D11*365))</f>
        <v>0.65877957658779573</v>
      </c>
      <c r="G11" s="298">
        <f>IF(E11=0,0,$C11/(E11*365))</f>
        <v>0.30836490819003204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1698</v>
      </c>
      <c r="D13" s="297">
        <v>5</v>
      </c>
      <c r="E13" s="297">
        <v>11</v>
      </c>
      <c r="F13" s="298">
        <f>IF(D13=0,0,$C13/(D13*365))</f>
        <v>0.93041095890410963</v>
      </c>
      <c r="G13" s="298">
        <f>IF(E13=0,0,$C13/(E13*365))</f>
        <v>0.42291407222914074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3243</v>
      </c>
      <c r="D16" s="297">
        <v>12</v>
      </c>
      <c r="E16" s="297">
        <v>12</v>
      </c>
      <c r="F16" s="298">
        <f t="shared" si="0"/>
        <v>0.74041095890410957</v>
      </c>
      <c r="G16" s="298">
        <f t="shared" si="0"/>
        <v>0.74041095890410957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3243</v>
      </c>
      <c r="D17" s="300">
        <f>SUM(D15:D16)</f>
        <v>12</v>
      </c>
      <c r="E17" s="300">
        <f>SUM(E15:E16)</f>
        <v>12</v>
      </c>
      <c r="F17" s="301">
        <f t="shared" si="0"/>
        <v>0.74041095890410957</v>
      </c>
      <c r="G17" s="301">
        <f t="shared" si="0"/>
        <v>0.74041095890410957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778</v>
      </c>
      <c r="D21" s="297">
        <v>4</v>
      </c>
      <c r="E21" s="297">
        <v>8</v>
      </c>
      <c r="F21" s="298">
        <f>IF(D21=0,0,$C21/(D21*365))</f>
        <v>0.5328767123287671</v>
      </c>
      <c r="G21" s="298">
        <f>IF(E21=0,0,$C21/(E21*365))</f>
        <v>0.26643835616438355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613</v>
      </c>
      <c r="D23" s="297">
        <v>4</v>
      </c>
      <c r="E23" s="297">
        <v>16</v>
      </c>
      <c r="F23" s="298">
        <f>IF(D23=0,0,$C23/(D23*365))</f>
        <v>0.41986301369863016</v>
      </c>
      <c r="G23" s="298">
        <f>IF(E23=0,0,$C23/(E23*365))</f>
        <v>0.10496575342465754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11009</v>
      </c>
      <c r="D31" s="300">
        <f>SUM(D10:D29)-D17-D23</f>
        <v>43</v>
      </c>
      <c r="E31" s="300">
        <f>SUM(E10:E29)-E17-E23</f>
        <v>78</v>
      </c>
      <c r="F31" s="301">
        <f>IF(D31=0,0,$C31/(D31*365))</f>
        <v>0.70143357757247526</v>
      </c>
      <c r="G31" s="301">
        <f>IF(E31=0,0,$C31/(E31*365))</f>
        <v>0.38668774148226204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11622</v>
      </c>
      <c r="D33" s="300">
        <f>SUM(D10:D29)-D17</f>
        <v>47</v>
      </c>
      <c r="E33" s="300">
        <f>SUM(E10:E29)-E17</f>
        <v>94</v>
      </c>
      <c r="F33" s="301">
        <f>IF(D33=0,0,$C33/(D33*365))</f>
        <v>0.67747012532789275</v>
      </c>
      <c r="G33" s="301">
        <f>IF(E33=0,0,$C33/(E33*365))</f>
        <v>0.33873506266394637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11622</v>
      </c>
      <c r="D36" s="300">
        <f>+D33</f>
        <v>47</v>
      </c>
      <c r="E36" s="300">
        <f>+E33</f>
        <v>94</v>
      </c>
      <c r="F36" s="301">
        <f>+F33</f>
        <v>0.67747012532789275</v>
      </c>
      <c r="G36" s="301">
        <f>+G33</f>
        <v>0.33873506266394637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11466</v>
      </c>
      <c r="D37" s="302">
        <v>47</v>
      </c>
      <c r="E37" s="302">
        <v>94</v>
      </c>
      <c r="F37" s="301">
        <f>IF(D37=0,0,$C37/(D37*365))</f>
        <v>0.66837656659865929</v>
      </c>
      <c r="G37" s="301">
        <f>IF(E37=0,0,$C37/(E37*365))</f>
        <v>0.33418828329932965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156</v>
      </c>
      <c r="D38" s="300">
        <f>+D36-D37</f>
        <v>0</v>
      </c>
      <c r="E38" s="300">
        <f>+E36-E37</f>
        <v>0</v>
      </c>
      <c r="F38" s="301">
        <f>+F36-F37</f>
        <v>9.093558729233453E-3</v>
      </c>
      <c r="G38" s="301">
        <f>+G36-G37</f>
        <v>4.5467793646167265E-3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1.3605442176870748E-2</v>
      </c>
      <c r="D40" s="148">
        <f>IF(D37=0,0,D38/D37)</f>
        <v>0</v>
      </c>
      <c r="E40" s="148">
        <f>IF(E37=0,0,E38/E37)</f>
        <v>0</v>
      </c>
      <c r="F40" s="148">
        <f>IF(F37=0,0,F38/F37)</f>
        <v>1.3605442176870737E-2</v>
      </c>
      <c r="G40" s="148">
        <f>IF(G37=0,0,G38/G37)</f>
        <v>1.3605442176870737E-2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94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571</v>
      </c>
      <c r="D12" s="296">
        <v>517</v>
      </c>
      <c r="E12" s="296">
        <f>+D12-C12</f>
        <v>-54</v>
      </c>
      <c r="F12" s="316">
        <f>IF(C12=0,0,+E12/C12)</f>
        <v>-9.4570928196147111E-2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2289</v>
      </c>
      <c r="D13" s="296">
        <v>2202</v>
      </c>
      <c r="E13" s="296">
        <f>+D13-C13</f>
        <v>-87</v>
      </c>
      <c r="F13" s="316">
        <f>IF(C13=0,0,+E13/C13)</f>
        <v>-3.8007863695937089E-2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2993</v>
      </c>
      <c r="D14" s="296">
        <v>3340</v>
      </c>
      <c r="E14" s="296">
        <f>+D14-C14</f>
        <v>347</v>
      </c>
      <c r="F14" s="316">
        <f>IF(C14=0,0,+E14/C14)</f>
        <v>0.11593718676912797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5853</v>
      </c>
      <c r="D16" s="300">
        <f>SUM(D12:D15)</f>
        <v>6059</v>
      </c>
      <c r="E16" s="300">
        <f>+D16-C16</f>
        <v>206</v>
      </c>
      <c r="F16" s="309">
        <f>IF(C16=0,0,+E16/C16)</f>
        <v>3.5195626174611312E-2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303</v>
      </c>
      <c r="D19" s="296">
        <v>276</v>
      </c>
      <c r="E19" s="296">
        <f>+D19-C19</f>
        <v>-27</v>
      </c>
      <c r="F19" s="316">
        <f>IF(C19=0,0,+E19/C19)</f>
        <v>-8.9108910891089105E-2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1710</v>
      </c>
      <c r="D20" s="296">
        <v>1772</v>
      </c>
      <c r="E20" s="296">
        <f>+D20-C20</f>
        <v>62</v>
      </c>
      <c r="F20" s="316">
        <f>IF(C20=0,0,+E20/C20)</f>
        <v>3.6257309941520467E-2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48</v>
      </c>
      <c r="D21" s="296">
        <v>56</v>
      </c>
      <c r="E21" s="296">
        <f>+D21-C21</f>
        <v>8</v>
      </c>
      <c r="F21" s="316">
        <f>IF(C21=0,0,+E21/C21)</f>
        <v>0.16666666666666666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2061</v>
      </c>
      <c r="D23" s="300">
        <f>SUM(D19:D22)</f>
        <v>2104</v>
      </c>
      <c r="E23" s="300">
        <f>+D23-C23</f>
        <v>43</v>
      </c>
      <c r="F23" s="309">
        <f>IF(C23=0,0,+E23/C23)</f>
        <v>2.0863658418243572E-2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507</v>
      </c>
      <c r="D63" s="296">
        <v>453</v>
      </c>
      <c r="E63" s="296">
        <f>+D63-C63</f>
        <v>-54</v>
      </c>
      <c r="F63" s="316">
        <f>IF(C63=0,0,+E63/C63)</f>
        <v>-0.10650887573964497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1522</v>
      </c>
      <c r="D64" s="296">
        <v>1481</v>
      </c>
      <c r="E64" s="296">
        <f>+D64-C64</f>
        <v>-41</v>
      </c>
      <c r="F64" s="316">
        <f>IF(C64=0,0,+E64/C64)</f>
        <v>-2.6938239159001315E-2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2029</v>
      </c>
      <c r="D65" s="300">
        <f>SUM(D63:D64)</f>
        <v>1934</v>
      </c>
      <c r="E65" s="300">
        <f>+D65-C65</f>
        <v>-95</v>
      </c>
      <c r="F65" s="309">
        <f>IF(C65=0,0,+E65/C65)</f>
        <v>-4.6821094135041895E-2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127</v>
      </c>
      <c r="D68" s="296">
        <v>100</v>
      </c>
      <c r="E68" s="296">
        <f>+D68-C68</f>
        <v>-27</v>
      </c>
      <c r="F68" s="316">
        <f>IF(C68=0,0,+E68/C68)</f>
        <v>-0.2125984251968504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1040</v>
      </c>
      <c r="D69" s="296">
        <v>1081</v>
      </c>
      <c r="E69" s="296">
        <f>+D69-C69</f>
        <v>41</v>
      </c>
      <c r="F69" s="318">
        <f>IF(C69=0,0,+E69/C69)</f>
        <v>3.9423076923076922E-2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1167</v>
      </c>
      <c r="D70" s="300">
        <f>SUM(D68:D69)</f>
        <v>1181</v>
      </c>
      <c r="E70" s="300">
        <f>+D70-C70</f>
        <v>14</v>
      </c>
      <c r="F70" s="309">
        <f>IF(C70=0,0,+E70/C70)</f>
        <v>1.1996572407883462E-2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1524</v>
      </c>
      <c r="D73" s="319">
        <v>1597</v>
      </c>
      <c r="E73" s="296">
        <f>+D73-C73</f>
        <v>73</v>
      </c>
      <c r="F73" s="316">
        <f>IF(C73=0,0,+E73/C73)</f>
        <v>4.7900262467191604E-2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14489</v>
      </c>
      <c r="D74" s="319">
        <v>13668</v>
      </c>
      <c r="E74" s="296">
        <f>+D74-C74</f>
        <v>-821</v>
      </c>
      <c r="F74" s="316">
        <f>IF(C74=0,0,+E74/C74)</f>
        <v>-5.6663675892056044E-2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16013</v>
      </c>
      <c r="D75" s="300">
        <f>SUM(D73:D74)</f>
        <v>15265</v>
      </c>
      <c r="E75" s="300">
        <f>SUM(E73:E74)</f>
        <v>-748</v>
      </c>
      <c r="F75" s="309">
        <f>IF(C75=0,0,+E75/C75)</f>
        <v>-4.6712046462249419E-2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863</v>
      </c>
      <c r="E81" s="296">
        <f t="shared" si="0"/>
        <v>863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1692</v>
      </c>
      <c r="E83" s="296">
        <f t="shared" si="0"/>
        <v>1692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0</v>
      </c>
      <c r="D84" s="320">
        <f>SUM(D79:D83)</f>
        <v>2555</v>
      </c>
      <c r="E84" s="300">
        <f t="shared" si="0"/>
        <v>2555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10243</v>
      </c>
      <c r="D87" s="322">
        <v>9896</v>
      </c>
      <c r="E87" s="323">
        <f t="shared" ref="E87:E92" si="2">+D87-C87</f>
        <v>-347</v>
      </c>
      <c r="F87" s="318">
        <f t="shared" ref="F87:F92" si="3">IF(C87=0,0,+E87/C87)</f>
        <v>-3.3876793908034754E-2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5532</v>
      </c>
      <c r="D88" s="322">
        <v>5230</v>
      </c>
      <c r="E88" s="296">
        <f t="shared" si="2"/>
        <v>-302</v>
      </c>
      <c r="F88" s="316">
        <f t="shared" si="3"/>
        <v>-5.4591467823571944E-2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721</v>
      </c>
      <c r="D89" s="322">
        <v>554</v>
      </c>
      <c r="E89" s="296">
        <f t="shared" si="2"/>
        <v>-167</v>
      </c>
      <c r="F89" s="316">
        <f t="shared" si="3"/>
        <v>-0.23162274618585299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49232</v>
      </c>
      <c r="D91" s="322">
        <v>46771</v>
      </c>
      <c r="E91" s="296">
        <f t="shared" si="2"/>
        <v>-2461</v>
      </c>
      <c r="F91" s="316">
        <f t="shared" si="3"/>
        <v>-4.9987812804679885E-2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65728</v>
      </c>
      <c r="D92" s="320">
        <f>SUM(D87:D91)</f>
        <v>62451</v>
      </c>
      <c r="E92" s="300">
        <f t="shared" si="2"/>
        <v>-3277</v>
      </c>
      <c r="F92" s="309">
        <f t="shared" si="3"/>
        <v>-4.9856986368062316E-2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81.3</v>
      </c>
      <c r="D96" s="325">
        <v>93.2</v>
      </c>
      <c r="E96" s="326">
        <f>+D96-C96</f>
        <v>11.900000000000006</v>
      </c>
      <c r="F96" s="316">
        <f>IF(C96=0,0,+E96/C96)</f>
        <v>0.14637146371463722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0</v>
      </c>
      <c r="D97" s="325">
        <v>0</v>
      </c>
      <c r="E97" s="326">
        <f>+D97-C97</f>
        <v>0</v>
      </c>
      <c r="F97" s="316">
        <f>IF(C97=0,0,+E97/C97)</f>
        <v>0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174</v>
      </c>
      <c r="D98" s="325">
        <v>163.1</v>
      </c>
      <c r="E98" s="326">
        <f>+D98-C98</f>
        <v>-10.900000000000006</v>
      </c>
      <c r="F98" s="316">
        <f>IF(C98=0,0,+E98/C98)</f>
        <v>-6.2643678160919578E-2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255.3</v>
      </c>
      <c r="D99" s="327">
        <f>SUM(D96:D98)</f>
        <v>256.3</v>
      </c>
      <c r="E99" s="327">
        <f>+D99-C99</f>
        <v>1</v>
      </c>
      <c r="F99" s="309">
        <f>IF(C99=0,0,+E99/C99)</f>
        <v>3.9169604386995686E-3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1522</v>
      </c>
      <c r="D12" s="296">
        <v>1481</v>
      </c>
      <c r="E12" s="296">
        <f>+D12-C12</f>
        <v>-41</v>
      </c>
      <c r="F12" s="316">
        <f>IF(C12=0,0,+E12/C12)</f>
        <v>-2.6938239159001315E-2</v>
      </c>
    </row>
    <row r="13" spans="1:16" ht="15.75" customHeight="1" x14ac:dyDescent="0.25">
      <c r="A13" s="294"/>
      <c r="B13" s="135" t="s">
        <v>584</v>
      </c>
      <c r="C13" s="300">
        <f>SUM(C11:C12)</f>
        <v>1522</v>
      </c>
      <c r="D13" s="300">
        <f>SUM(D11:D12)</f>
        <v>1481</v>
      </c>
      <c r="E13" s="300">
        <f>+D13-C13</f>
        <v>-41</v>
      </c>
      <c r="F13" s="309">
        <f>IF(C13=0,0,+E13/C13)</f>
        <v>-2.6938239159001315E-2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1040</v>
      </c>
      <c r="D16" s="296">
        <v>1081</v>
      </c>
      <c r="E16" s="296">
        <f>+D16-C16</f>
        <v>41</v>
      </c>
      <c r="F16" s="316">
        <f>IF(C16=0,0,+E16/C16)</f>
        <v>3.9423076923076922E-2</v>
      </c>
    </row>
    <row r="17" spans="1:6" ht="15.75" customHeight="1" x14ac:dyDescent="0.25">
      <c r="A17" s="294"/>
      <c r="B17" s="135" t="s">
        <v>585</v>
      </c>
      <c r="C17" s="300">
        <f>SUM(C15:C16)</f>
        <v>1040</v>
      </c>
      <c r="D17" s="300">
        <f>SUM(D15:D16)</f>
        <v>1081</v>
      </c>
      <c r="E17" s="300">
        <f>+D17-C17</f>
        <v>41</v>
      </c>
      <c r="F17" s="309">
        <f>IF(C17=0,0,+E17/C17)</f>
        <v>3.9423076923076922E-2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14489</v>
      </c>
      <c r="D20" s="296">
        <v>13668</v>
      </c>
      <c r="E20" s="296">
        <f>+D20-C20</f>
        <v>-821</v>
      </c>
      <c r="F20" s="316">
        <f>IF(C20=0,0,+E20/C20)</f>
        <v>-5.6663675892056044E-2</v>
      </c>
    </row>
    <row r="21" spans="1:6" ht="15.75" customHeight="1" x14ac:dyDescent="0.25">
      <c r="A21" s="294"/>
      <c r="B21" s="135" t="s">
        <v>587</v>
      </c>
      <c r="C21" s="300">
        <f>SUM(C19:C20)</f>
        <v>14489</v>
      </c>
      <c r="D21" s="300">
        <f>SUM(D19:D20)</f>
        <v>13668</v>
      </c>
      <c r="E21" s="300">
        <f>+D21-C21</f>
        <v>-821</v>
      </c>
      <c r="F21" s="309">
        <f>IF(C21=0,0,+E21/C21)</f>
        <v>-5.6663675892056044E-2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30497030</v>
      </c>
      <c r="D15" s="361">
        <v>31529133</v>
      </c>
      <c r="E15" s="361">
        <f t="shared" ref="E15:E24" si="0">D15-C15</f>
        <v>1032103</v>
      </c>
      <c r="F15" s="362">
        <f t="shared" ref="F15:F24" si="1">IF(C15=0,0,E15/C15)</f>
        <v>3.3842738128925999E-2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14932749</v>
      </c>
      <c r="D16" s="361">
        <v>14533658</v>
      </c>
      <c r="E16" s="361">
        <f t="shared" si="0"/>
        <v>-399091</v>
      </c>
      <c r="F16" s="362">
        <f t="shared" si="1"/>
        <v>-2.6725889519739466E-2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0.48964600815226927</v>
      </c>
      <c r="D17" s="366">
        <f>IF(LN_IA1=0,0,LN_IA2/LN_IA1)</f>
        <v>0.46095964643239634</v>
      </c>
      <c r="E17" s="367">
        <f t="shared" si="0"/>
        <v>-2.8686361719872933E-2</v>
      </c>
      <c r="F17" s="362">
        <f t="shared" si="1"/>
        <v>-5.8585919709881709E-2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1484</v>
      </c>
      <c r="D18" s="369">
        <v>1479</v>
      </c>
      <c r="E18" s="369">
        <f t="shared" si="0"/>
        <v>-5</v>
      </c>
      <c r="F18" s="362">
        <f t="shared" si="1"/>
        <v>-3.3692722371967657E-3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1.1322000000000001</v>
      </c>
      <c r="D19" s="372">
        <v>1.1483000000000001</v>
      </c>
      <c r="E19" s="373">
        <f t="shared" si="0"/>
        <v>1.6100000000000003E-2</v>
      </c>
      <c r="F19" s="362">
        <f t="shared" si="1"/>
        <v>1.4220102455396575E-2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1680.1848000000002</v>
      </c>
      <c r="D20" s="376">
        <f>LN_IA4*LN_IA5</f>
        <v>1698.3357000000001</v>
      </c>
      <c r="E20" s="376">
        <f t="shared" si="0"/>
        <v>18.150899999999865</v>
      </c>
      <c r="F20" s="362">
        <f t="shared" si="1"/>
        <v>1.0802918821786665E-2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8887.5634394502304</v>
      </c>
      <c r="D21" s="378">
        <f>IF(LN_IA6=0,0,LN_IA2/LN_IA6)</f>
        <v>8557.5884673448236</v>
      </c>
      <c r="E21" s="378">
        <f t="shared" si="0"/>
        <v>-329.97497210540678</v>
      </c>
      <c r="F21" s="362">
        <f t="shared" si="1"/>
        <v>-3.7127720589954907E-2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8001</v>
      </c>
      <c r="D22" s="369">
        <v>8145</v>
      </c>
      <c r="E22" s="369">
        <f t="shared" si="0"/>
        <v>144</v>
      </c>
      <c r="F22" s="362">
        <f t="shared" si="1"/>
        <v>1.799775028121485E-2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1866.3603299587551</v>
      </c>
      <c r="D23" s="378">
        <f>IF(LN_IA8=0,0,LN_IA2/LN_IA8)</f>
        <v>1784.3656230816453</v>
      </c>
      <c r="E23" s="378">
        <f t="shared" si="0"/>
        <v>-81.99470687710982</v>
      </c>
      <c r="F23" s="362">
        <f t="shared" si="1"/>
        <v>-4.3932945616627972E-2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5.3915094339622645</v>
      </c>
      <c r="D24" s="379">
        <f>IF(LN_IA4=0,0,LN_IA8/LN_IA4)</f>
        <v>5.5070993914807298</v>
      </c>
      <c r="E24" s="379">
        <f t="shared" si="0"/>
        <v>0.11558995751846535</v>
      </c>
      <c r="F24" s="362">
        <f t="shared" si="1"/>
        <v>2.1439257212523755E-2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24865075</v>
      </c>
      <c r="D27" s="361">
        <v>28028963</v>
      </c>
      <c r="E27" s="361">
        <f t="shared" ref="E27:E32" si="2">D27-C27</f>
        <v>3163888</v>
      </c>
      <c r="F27" s="362">
        <f t="shared" ref="F27:F32" si="3">IF(C27=0,0,E27/C27)</f>
        <v>0.12724224640384152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6411237</v>
      </c>
      <c r="D28" s="361">
        <v>6631214</v>
      </c>
      <c r="E28" s="361">
        <f t="shared" si="2"/>
        <v>219977</v>
      </c>
      <c r="F28" s="362">
        <f t="shared" si="3"/>
        <v>3.4311163352719609E-2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0.25784104813679426</v>
      </c>
      <c r="D29" s="366">
        <f>IF(LN_IA11=0,0,LN_IA12/LN_IA11)</f>
        <v>0.23658435026654392</v>
      </c>
      <c r="E29" s="367">
        <f t="shared" si="2"/>
        <v>-2.1256697870250335E-2</v>
      </c>
      <c r="F29" s="362">
        <f t="shared" si="3"/>
        <v>-8.2441093161290849E-2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0.81532775486662146</v>
      </c>
      <c r="D30" s="366">
        <f>IF(LN_IA1=0,0,LN_IA11/LN_IA1)</f>
        <v>0.88898616400267017</v>
      </c>
      <c r="E30" s="367">
        <f t="shared" si="2"/>
        <v>7.3658409136048708E-2</v>
      </c>
      <c r="F30" s="362">
        <f t="shared" si="3"/>
        <v>9.0342084758415223E-2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1209.9463882220662</v>
      </c>
      <c r="D31" s="376">
        <f>LN_IA14*LN_IA4</f>
        <v>1314.8105365599492</v>
      </c>
      <c r="E31" s="376">
        <f t="shared" si="2"/>
        <v>104.86414833788308</v>
      </c>
      <c r="F31" s="362">
        <f t="shared" si="3"/>
        <v>8.6668425443191588E-2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5298.7777495008486</v>
      </c>
      <c r="D32" s="378">
        <f>IF(LN_IA15=0,0,LN_IA12/LN_IA15)</f>
        <v>5043.47494609361</v>
      </c>
      <c r="E32" s="378">
        <f t="shared" si="2"/>
        <v>-255.30280340723857</v>
      </c>
      <c r="F32" s="362">
        <f t="shared" si="3"/>
        <v>-4.8181451549140442E-2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55362105</v>
      </c>
      <c r="D35" s="361">
        <f>LN_IA1+LN_IA11</f>
        <v>59558096</v>
      </c>
      <c r="E35" s="361">
        <f>D35-C35</f>
        <v>4195991</v>
      </c>
      <c r="F35" s="362">
        <f>IF(C35=0,0,E35/C35)</f>
        <v>7.5791753221811198E-2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21343986</v>
      </c>
      <c r="D36" s="361">
        <f>LN_IA2+LN_IA12</f>
        <v>21164872</v>
      </c>
      <c r="E36" s="361">
        <f>D36-C36</f>
        <v>-179114</v>
      </c>
      <c r="F36" s="362">
        <f>IF(C36=0,0,E36/C36)</f>
        <v>-8.3917783679205941E-3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34018119</v>
      </c>
      <c r="D37" s="361">
        <f>LN_IA17-LN_IA18</f>
        <v>38393224</v>
      </c>
      <c r="E37" s="361">
        <f>D37-C37</f>
        <v>4375105</v>
      </c>
      <c r="F37" s="362">
        <f>IF(C37=0,0,E37/C37)</f>
        <v>0.1286110204976354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14751232</v>
      </c>
      <c r="D42" s="361">
        <v>13888946</v>
      </c>
      <c r="E42" s="361">
        <f t="shared" ref="E42:E53" si="4">D42-C42</f>
        <v>-862286</v>
      </c>
      <c r="F42" s="362">
        <f t="shared" ref="F42:F53" si="5">IF(C42=0,0,E42/C42)</f>
        <v>-5.8455185302488631E-2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6924284</v>
      </c>
      <c r="D43" s="361">
        <v>6039862</v>
      </c>
      <c r="E43" s="361">
        <f t="shared" si="4"/>
        <v>-884422</v>
      </c>
      <c r="F43" s="362">
        <f t="shared" si="5"/>
        <v>-0.12772757443224456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0.4694037759015654</v>
      </c>
      <c r="D44" s="366">
        <f>IF(LN_IB1=0,0,LN_IB2/LN_IB1)</f>
        <v>0.43486827582164983</v>
      </c>
      <c r="E44" s="367">
        <f t="shared" si="4"/>
        <v>-3.4535500079915571E-2</v>
      </c>
      <c r="F44" s="362">
        <f t="shared" si="5"/>
        <v>-7.3573119461138953E-2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877</v>
      </c>
      <c r="D45" s="369">
        <v>808</v>
      </c>
      <c r="E45" s="369">
        <f t="shared" si="4"/>
        <v>-69</v>
      </c>
      <c r="F45" s="362">
        <f t="shared" si="5"/>
        <v>-7.8677309007981755E-2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1.0299</v>
      </c>
      <c r="D46" s="372">
        <v>0.98860000000000003</v>
      </c>
      <c r="E46" s="373">
        <f t="shared" si="4"/>
        <v>-4.1300000000000003E-2</v>
      </c>
      <c r="F46" s="362">
        <f t="shared" si="5"/>
        <v>-4.0100980677735702E-2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903.22230000000002</v>
      </c>
      <c r="D47" s="376">
        <f>LN_IB4*LN_IB5</f>
        <v>798.78880000000004</v>
      </c>
      <c r="E47" s="376">
        <f t="shared" si="4"/>
        <v>-104.43349999999998</v>
      </c>
      <c r="F47" s="362">
        <f t="shared" si="5"/>
        <v>-0.11562325243741212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7666.2013327173163</v>
      </c>
      <c r="D48" s="378">
        <f>IF(LN_IB6=0,0,LN_IB2/LN_IB6)</f>
        <v>7561.2752707599302</v>
      </c>
      <c r="E48" s="378">
        <f t="shared" si="4"/>
        <v>-104.92606195738608</v>
      </c>
      <c r="F48" s="362">
        <f t="shared" si="5"/>
        <v>-1.3686838814105944E-2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1221.3621067329141</v>
      </c>
      <c r="D49" s="378">
        <f>LN_IA7-LN_IB7</f>
        <v>996.31319658489338</v>
      </c>
      <c r="E49" s="378">
        <f t="shared" si="4"/>
        <v>-225.0489101480207</v>
      </c>
      <c r="F49" s="362">
        <f t="shared" si="5"/>
        <v>-0.18426059635173708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1103161.4911761482</v>
      </c>
      <c r="D50" s="391">
        <f>LN_IB8*LN_IB6</f>
        <v>795843.82272421115</v>
      </c>
      <c r="E50" s="391">
        <f t="shared" si="4"/>
        <v>-307317.66845193703</v>
      </c>
      <c r="F50" s="362">
        <f t="shared" si="5"/>
        <v>-0.27857903934290418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2612</v>
      </c>
      <c r="D51" s="369">
        <v>2277</v>
      </c>
      <c r="E51" s="369">
        <f t="shared" si="4"/>
        <v>-335</v>
      </c>
      <c r="F51" s="362">
        <f t="shared" si="5"/>
        <v>-0.12825421133231241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2650.9509954058194</v>
      </c>
      <c r="D52" s="378">
        <f>IF(LN_IB10=0,0,LN_IB2/LN_IB10)</f>
        <v>2652.5524813350899</v>
      </c>
      <c r="E52" s="378">
        <f t="shared" si="4"/>
        <v>1.6014859292704386</v>
      </c>
      <c r="F52" s="362">
        <f t="shared" si="5"/>
        <v>6.0411751558058359E-4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2.9783352337514253</v>
      </c>
      <c r="D53" s="379">
        <f>IF(LN_IB4=0,0,LN_IB10/LN_IB4)</f>
        <v>2.8180693069306932</v>
      </c>
      <c r="E53" s="379">
        <f t="shared" si="4"/>
        <v>-0.16026592682073204</v>
      </c>
      <c r="F53" s="362">
        <f t="shared" si="5"/>
        <v>-5.3810573438660796E-2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36344225</v>
      </c>
      <c r="D56" s="361">
        <v>37387778</v>
      </c>
      <c r="E56" s="361">
        <f t="shared" ref="E56:E63" si="6">D56-C56</f>
        <v>1043553</v>
      </c>
      <c r="F56" s="362">
        <f t="shared" ref="F56:F63" si="7">IF(C56=0,0,E56/C56)</f>
        <v>2.8713034876930242E-2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18350298</v>
      </c>
      <c r="D57" s="361">
        <v>18476015</v>
      </c>
      <c r="E57" s="361">
        <f t="shared" si="6"/>
        <v>125717</v>
      </c>
      <c r="F57" s="362">
        <f t="shared" si="7"/>
        <v>6.8509514123421865E-3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0.50490271838235645</v>
      </c>
      <c r="D58" s="366">
        <f>IF(LN_IB13=0,0,LN_IB14/LN_IB13)</f>
        <v>0.49417258763010735</v>
      </c>
      <c r="E58" s="367">
        <f t="shared" si="6"/>
        <v>-1.0730130752249101E-2</v>
      </c>
      <c r="F58" s="362">
        <f t="shared" si="7"/>
        <v>-2.1251877562923533E-2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2.4638094635078618</v>
      </c>
      <c r="D59" s="366">
        <f>IF(LN_IB1=0,0,LN_IB13/LN_IB1)</f>
        <v>2.6919089468704103</v>
      </c>
      <c r="E59" s="367">
        <f t="shared" si="6"/>
        <v>0.22809948336254848</v>
      </c>
      <c r="F59" s="362">
        <f t="shared" si="7"/>
        <v>9.258000131138007E-2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2160.7608994963948</v>
      </c>
      <c r="D60" s="376">
        <f>LN_IB16*LN_IB4</f>
        <v>2175.0624290712917</v>
      </c>
      <c r="E60" s="376">
        <f t="shared" si="6"/>
        <v>14.301529574896904</v>
      </c>
      <c r="F60" s="362">
        <f t="shared" si="7"/>
        <v>6.6187469322636014E-3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8492.5166890408254</v>
      </c>
      <c r="D61" s="378">
        <f>IF(LN_IB17=0,0,LN_IB14/LN_IB17)</f>
        <v>8494.4757231124113</v>
      </c>
      <c r="E61" s="378">
        <f t="shared" si="6"/>
        <v>1.9590340715858474</v>
      </c>
      <c r="F61" s="362">
        <f t="shared" si="7"/>
        <v>2.3067768287272068E-4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-3193.7389395399769</v>
      </c>
      <c r="D62" s="378">
        <f>LN_IA16-LN_IB18</f>
        <v>-3451.0007770188013</v>
      </c>
      <c r="E62" s="378">
        <f t="shared" si="6"/>
        <v>-257.26183747882442</v>
      </c>
      <c r="F62" s="362">
        <f t="shared" si="7"/>
        <v>8.0551930620816545E-2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-6900906.2237570621</v>
      </c>
      <c r="D63" s="361">
        <f>LN_IB19*LN_IB17</f>
        <v>-7506142.1327894293</v>
      </c>
      <c r="E63" s="361">
        <f t="shared" si="6"/>
        <v>-605235.90903236717</v>
      </c>
      <c r="F63" s="362">
        <f t="shared" si="7"/>
        <v>8.7703830396764673E-2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51095457</v>
      </c>
      <c r="D66" s="361">
        <f>LN_IB1+LN_IB13</f>
        <v>51276724</v>
      </c>
      <c r="E66" s="361">
        <f>D66-C66</f>
        <v>181267</v>
      </c>
      <c r="F66" s="362">
        <f>IF(C66=0,0,E66/C66)</f>
        <v>3.5476148104517393E-3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25274582</v>
      </c>
      <c r="D67" s="361">
        <f>LN_IB2+LN_IB14</f>
        <v>24515877</v>
      </c>
      <c r="E67" s="361">
        <f>D67-C67</f>
        <v>-758705</v>
      </c>
      <c r="F67" s="362">
        <f>IF(C67=0,0,E67/C67)</f>
        <v>-3.0018498426601082E-2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25820875</v>
      </c>
      <c r="D68" s="361">
        <f>LN_IB21-LN_IB22</f>
        <v>26760847</v>
      </c>
      <c r="E68" s="361">
        <f>D68-C68</f>
        <v>939972</v>
      </c>
      <c r="F68" s="362">
        <f>IF(C68=0,0,E68/C68)</f>
        <v>3.6403568817865391E-2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-5797744.7325809142</v>
      </c>
      <c r="D70" s="353">
        <f>LN_IB9+LN_IB20</f>
        <v>-6710298.3100652182</v>
      </c>
      <c r="E70" s="361">
        <f>D70-C70</f>
        <v>-912553.57748430409</v>
      </c>
      <c r="F70" s="362">
        <f>IF(C70=0,0,E70/C70)</f>
        <v>0.15739802622839402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51095456</v>
      </c>
      <c r="D73" s="400">
        <v>51276724</v>
      </c>
      <c r="E73" s="400">
        <f>D73-C73</f>
        <v>181268</v>
      </c>
      <c r="F73" s="401">
        <f>IF(C73=0,0,E73/C73)</f>
        <v>3.5476344510948291E-3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29524736</v>
      </c>
      <c r="D74" s="400">
        <v>28057281</v>
      </c>
      <c r="E74" s="400">
        <f>D74-C74</f>
        <v>-1467455</v>
      </c>
      <c r="F74" s="401">
        <f>IF(C74=0,0,E74/C74)</f>
        <v>-4.9702561269303135E-2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21570720</v>
      </c>
      <c r="D76" s="353">
        <f>LN_IB32-LN_IB33</f>
        <v>23219443</v>
      </c>
      <c r="E76" s="400">
        <f>D76-C76</f>
        <v>1648723</v>
      </c>
      <c r="F76" s="401">
        <f>IF(C76=0,0,E76/C76)</f>
        <v>7.643337820897958E-2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0.4221651334318261</v>
      </c>
      <c r="D77" s="366">
        <f>IF(LN_IB1=0,0,LN_IB34/LN_IB32)</f>
        <v>0.45282617898912575</v>
      </c>
      <c r="E77" s="405">
        <f>D77-C77</f>
        <v>3.0661045557299649E-2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850966</v>
      </c>
      <c r="D83" s="361">
        <v>1035642</v>
      </c>
      <c r="E83" s="361">
        <f t="shared" ref="E83:E95" si="8">D83-C83</f>
        <v>184676</v>
      </c>
      <c r="F83" s="362">
        <f t="shared" ref="F83:F95" si="9">IF(C83=0,0,E83/C83)</f>
        <v>0.21701924636236936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83830</v>
      </c>
      <c r="D84" s="361">
        <v>92627</v>
      </c>
      <c r="E84" s="361">
        <f t="shared" si="8"/>
        <v>8797</v>
      </c>
      <c r="F84" s="362">
        <f t="shared" si="9"/>
        <v>0.1049385661457712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9.8511573905420424E-2</v>
      </c>
      <c r="D85" s="366">
        <f>IF(LN_IC1=0,0,LN_IC2/LN_IC1)</f>
        <v>8.9439207757120706E-2</v>
      </c>
      <c r="E85" s="367">
        <f t="shared" si="8"/>
        <v>-9.0723661482997181E-3</v>
      </c>
      <c r="F85" s="362">
        <f t="shared" si="9"/>
        <v>-9.20944188447336E-2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72</v>
      </c>
      <c r="D86" s="369">
        <v>65</v>
      </c>
      <c r="E86" s="369">
        <f t="shared" si="8"/>
        <v>-7</v>
      </c>
      <c r="F86" s="362">
        <f t="shared" si="9"/>
        <v>-9.7222222222222224E-2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0.83479999999999999</v>
      </c>
      <c r="D87" s="372">
        <v>0.81330000000000002</v>
      </c>
      <c r="E87" s="373">
        <f t="shared" si="8"/>
        <v>-2.1499999999999964E-2</v>
      </c>
      <c r="F87" s="362">
        <f t="shared" si="9"/>
        <v>-2.5754671777671254E-2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60.105599999999995</v>
      </c>
      <c r="D88" s="376">
        <f>LN_IC4*LN_IC5</f>
        <v>52.8645</v>
      </c>
      <c r="E88" s="376">
        <f t="shared" si="8"/>
        <v>-7.2410999999999959</v>
      </c>
      <c r="F88" s="362">
        <f t="shared" si="9"/>
        <v>-0.12047296757706431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1394.7119735931428</v>
      </c>
      <c r="D89" s="378">
        <f>IF(LN_IC6=0,0,LN_IC2/LN_IC6)</f>
        <v>1752.1588211370579</v>
      </c>
      <c r="E89" s="378">
        <f t="shared" si="8"/>
        <v>357.44684754391506</v>
      </c>
      <c r="F89" s="362">
        <f t="shared" si="9"/>
        <v>0.25628721507497959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6271.4893591241735</v>
      </c>
      <c r="D90" s="378">
        <f>LN_IB7-LN_IC7</f>
        <v>5809.1164496228721</v>
      </c>
      <c r="E90" s="378">
        <f t="shared" si="8"/>
        <v>-462.37290950130136</v>
      </c>
      <c r="F90" s="362">
        <f t="shared" si="9"/>
        <v>-7.3726173006833054E-2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7492.8514658570875</v>
      </c>
      <c r="D91" s="378">
        <f>LN_IA7-LN_IC7</f>
        <v>6805.4296462077655</v>
      </c>
      <c r="E91" s="378">
        <f t="shared" si="8"/>
        <v>-687.42181964932206</v>
      </c>
      <c r="F91" s="362">
        <f t="shared" si="9"/>
        <v>-9.1743687003768684E-2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450362.33306621975</v>
      </c>
      <c r="D92" s="353">
        <f>LN_IC9*LN_IC6</f>
        <v>359765.63553195039</v>
      </c>
      <c r="E92" s="353">
        <f t="shared" si="8"/>
        <v>-90596.697534269362</v>
      </c>
      <c r="F92" s="362">
        <f t="shared" si="9"/>
        <v>-0.20116402035102773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205</v>
      </c>
      <c r="D93" s="369">
        <v>178</v>
      </c>
      <c r="E93" s="369">
        <f t="shared" si="8"/>
        <v>-27</v>
      </c>
      <c r="F93" s="362">
        <f t="shared" si="9"/>
        <v>-0.13170731707317074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408.92682926829269</v>
      </c>
      <c r="D94" s="411">
        <f>IF(LN_IC11=0,0,LN_IC2/LN_IC11)</f>
        <v>520.37640449438197</v>
      </c>
      <c r="E94" s="411">
        <f t="shared" si="8"/>
        <v>111.44957522608928</v>
      </c>
      <c r="F94" s="362">
        <f t="shared" si="9"/>
        <v>0.2725416070779948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2.8472222222222223</v>
      </c>
      <c r="D95" s="379">
        <f>IF(LN_IC4=0,0,LN_IC11/LN_IC4)</f>
        <v>2.7384615384615385</v>
      </c>
      <c r="E95" s="379">
        <f t="shared" si="8"/>
        <v>-0.10876068376068382</v>
      </c>
      <c r="F95" s="362">
        <f t="shared" si="9"/>
        <v>-3.8198874296435294E-2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1991028</v>
      </c>
      <c r="D98" s="361">
        <v>2361759</v>
      </c>
      <c r="E98" s="361">
        <f t="shared" ref="E98:E106" si="10">D98-C98</f>
        <v>370731</v>
      </c>
      <c r="F98" s="362">
        <f t="shared" ref="F98:F106" si="11">IF(C98=0,0,E98/C98)</f>
        <v>0.18620079677432963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606321</v>
      </c>
      <c r="D99" s="361">
        <v>623982</v>
      </c>
      <c r="E99" s="361">
        <f t="shared" si="10"/>
        <v>17661</v>
      </c>
      <c r="F99" s="362">
        <f t="shared" si="11"/>
        <v>2.9128135096755679E-2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0.30452660635611351</v>
      </c>
      <c r="D100" s="366">
        <f>IF(LN_IC14=0,0,LN_IC15/LN_IC14)</f>
        <v>0.2642022323192163</v>
      </c>
      <c r="E100" s="367">
        <f t="shared" si="10"/>
        <v>-4.0324374036897204E-2</v>
      </c>
      <c r="F100" s="362">
        <f t="shared" si="11"/>
        <v>-0.1324165875665454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2.3397268516015917</v>
      </c>
      <c r="D101" s="366">
        <f>IF(LN_IC1=0,0,LN_IC14/LN_IC1)</f>
        <v>2.2804781961334131</v>
      </c>
      <c r="E101" s="367">
        <f t="shared" si="10"/>
        <v>-5.924865546817859E-2</v>
      </c>
      <c r="F101" s="362">
        <f t="shared" si="11"/>
        <v>-2.5322894177848859E-2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168.46033331531459</v>
      </c>
      <c r="D102" s="376">
        <f>LN_IC17*LN_IC4</f>
        <v>148.23108274867184</v>
      </c>
      <c r="E102" s="376">
        <f t="shared" si="10"/>
        <v>-20.229250566642747</v>
      </c>
      <c r="F102" s="362">
        <f t="shared" si="11"/>
        <v>-0.12008316835500243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3599.1915014505071</v>
      </c>
      <c r="D103" s="378">
        <f>IF(LN_IC18=0,0,LN_IC15/LN_IC18)</f>
        <v>4209.5219735928895</v>
      </c>
      <c r="E103" s="378">
        <f t="shared" si="10"/>
        <v>610.3304721423824</v>
      </c>
      <c r="F103" s="362">
        <f t="shared" si="11"/>
        <v>0.16957432576077533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4893.3251875903188</v>
      </c>
      <c r="D104" s="378">
        <f>LN_IB18-LN_IC19</f>
        <v>4284.9537495195218</v>
      </c>
      <c r="E104" s="378">
        <f t="shared" si="10"/>
        <v>-608.37143807079701</v>
      </c>
      <c r="F104" s="362">
        <f t="shared" si="11"/>
        <v>-0.12432679512362123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1699.5862480503415</v>
      </c>
      <c r="D105" s="378">
        <f>LN_IA16-LN_IC19</f>
        <v>833.95297250072053</v>
      </c>
      <c r="E105" s="378">
        <f t="shared" si="10"/>
        <v>-865.63327554962098</v>
      </c>
      <c r="F105" s="362">
        <f t="shared" si="11"/>
        <v>-0.50932000452617276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286312.86584468547</v>
      </c>
      <c r="D106" s="361">
        <f>LN_IC21*LN_IC18</f>
        <v>123617.75207525515</v>
      </c>
      <c r="E106" s="361">
        <f t="shared" si="10"/>
        <v>-162695.11376943032</v>
      </c>
      <c r="F106" s="362">
        <f t="shared" si="11"/>
        <v>-0.56824241303108824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2841994</v>
      </c>
      <c r="D109" s="361">
        <f>LN_IC1+LN_IC14</f>
        <v>3397401</v>
      </c>
      <c r="E109" s="361">
        <f>D109-C109</f>
        <v>555407</v>
      </c>
      <c r="F109" s="362">
        <f>IF(C109=0,0,E109/C109)</f>
        <v>0.19542863215052531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690151</v>
      </c>
      <c r="D110" s="361">
        <f>LN_IC2+LN_IC15</f>
        <v>716609</v>
      </c>
      <c r="E110" s="361">
        <f>D110-C110</f>
        <v>26458</v>
      </c>
      <c r="F110" s="362">
        <f>IF(C110=0,0,E110/C110)</f>
        <v>3.8336537946043692E-2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2151843</v>
      </c>
      <c r="D111" s="361">
        <f>LN_IC23-LN_IC24</f>
        <v>2680792</v>
      </c>
      <c r="E111" s="361">
        <f>D111-C111</f>
        <v>528949</v>
      </c>
      <c r="F111" s="362">
        <f>IF(C111=0,0,E111/C111)</f>
        <v>0.24581207829753379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736675.19891090528</v>
      </c>
      <c r="D113" s="361">
        <f>LN_IC10+LN_IC22</f>
        <v>483383.38760720554</v>
      </c>
      <c r="E113" s="361">
        <f>D113-C113</f>
        <v>-253291.81130369974</v>
      </c>
      <c r="F113" s="362">
        <f>IF(C113=0,0,E113/C113)</f>
        <v>-0.34383105563776861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1298721</v>
      </c>
      <c r="D118" s="361">
        <v>2015194</v>
      </c>
      <c r="E118" s="361">
        <f t="shared" ref="E118:E130" si="12">D118-C118</f>
        <v>716473</v>
      </c>
      <c r="F118" s="362">
        <f t="shared" ref="F118:F130" si="13">IF(C118=0,0,E118/C118)</f>
        <v>0.5516758410774909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362892</v>
      </c>
      <c r="D119" s="361">
        <v>750725</v>
      </c>
      <c r="E119" s="361">
        <f t="shared" si="12"/>
        <v>387833</v>
      </c>
      <c r="F119" s="362">
        <f t="shared" si="13"/>
        <v>1.0687284371107657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0.27942260115914042</v>
      </c>
      <c r="D120" s="366">
        <f>IF(LN_ID1=0,0,LN_1D2/LN_ID1)</f>
        <v>0.37253237157315872</v>
      </c>
      <c r="E120" s="367">
        <f t="shared" si="12"/>
        <v>9.31097704140183E-2</v>
      </c>
      <c r="F120" s="362">
        <f t="shared" si="13"/>
        <v>0.33322204441504433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142</v>
      </c>
      <c r="D121" s="369">
        <v>217</v>
      </c>
      <c r="E121" s="369">
        <f t="shared" si="12"/>
        <v>75</v>
      </c>
      <c r="F121" s="362">
        <f t="shared" si="13"/>
        <v>0.528169014084507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0.77890000000000004</v>
      </c>
      <c r="D122" s="372">
        <v>0.85470000000000002</v>
      </c>
      <c r="E122" s="373">
        <f t="shared" si="12"/>
        <v>7.5799999999999979E-2</v>
      </c>
      <c r="F122" s="362">
        <f t="shared" si="13"/>
        <v>9.7316728719989698E-2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110.60380000000001</v>
      </c>
      <c r="D123" s="376">
        <f>LN_ID4*LN_ID5</f>
        <v>185.4699</v>
      </c>
      <c r="E123" s="376">
        <f t="shared" si="12"/>
        <v>74.866099999999989</v>
      </c>
      <c r="F123" s="362">
        <f t="shared" si="13"/>
        <v>0.67688542346646308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3281.0084282818489</v>
      </c>
      <c r="D124" s="378">
        <f>IF(LN_ID6=0,0,LN_1D2/LN_ID6)</f>
        <v>4047.6918357102691</v>
      </c>
      <c r="E124" s="378">
        <f t="shared" si="12"/>
        <v>766.6834074284202</v>
      </c>
      <c r="F124" s="362">
        <f t="shared" si="13"/>
        <v>0.23367309904470618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4385.1929044354674</v>
      </c>
      <c r="D125" s="378">
        <f>LN_IB7-LN_ID7</f>
        <v>3513.5834350496611</v>
      </c>
      <c r="E125" s="378">
        <f t="shared" si="12"/>
        <v>-871.60946938580628</v>
      </c>
      <c r="F125" s="362">
        <f t="shared" si="13"/>
        <v>-0.19876194465794289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5606.5550111683815</v>
      </c>
      <c r="D126" s="378">
        <f>LN_IA7-LN_ID7</f>
        <v>4509.8966316345541</v>
      </c>
      <c r="E126" s="378">
        <f t="shared" si="12"/>
        <v>-1096.6583795338274</v>
      </c>
      <c r="F126" s="362">
        <f t="shared" si="13"/>
        <v>-0.19560289292609448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620106.28914426547</v>
      </c>
      <c r="D127" s="391">
        <f>LN_ID9*LN_ID6</f>
        <v>836450.07727959752</v>
      </c>
      <c r="E127" s="391">
        <f t="shared" si="12"/>
        <v>216343.78813533206</v>
      </c>
      <c r="F127" s="362">
        <f t="shared" si="13"/>
        <v>0.34888178353082377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360</v>
      </c>
      <c r="D128" s="369">
        <v>589</v>
      </c>
      <c r="E128" s="369">
        <f t="shared" si="12"/>
        <v>229</v>
      </c>
      <c r="F128" s="362">
        <f t="shared" si="13"/>
        <v>0.63611111111111107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1008.0333333333333</v>
      </c>
      <c r="D129" s="378">
        <f>IF(LN_ID11=0,0,LN_1D2/LN_ID11)</f>
        <v>1274.5755517826826</v>
      </c>
      <c r="E129" s="378">
        <f t="shared" si="12"/>
        <v>266.54221844934932</v>
      </c>
      <c r="F129" s="362">
        <f t="shared" si="13"/>
        <v>0.26441806003374491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2.535211267605634</v>
      </c>
      <c r="D130" s="379">
        <f>IF(LN_ID4=0,0,LN_ID11/LN_ID4)</f>
        <v>2.7142857142857144</v>
      </c>
      <c r="E130" s="379">
        <f t="shared" si="12"/>
        <v>0.17907444668008043</v>
      </c>
      <c r="F130" s="362">
        <f t="shared" si="13"/>
        <v>7.0634920634920606E-2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1961827</v>
      </c>
      <c r="D133" s="361">
        <v>2820836</v>
      </c>
      <c r="E133" s="361">
        <f t="shared" ref="E133:E141" si="14">D133-C133</f>
        <v>859009</v>
      </c>
      <c r="F133" s="362">
        <f t="shared" ref="F133:F141" si="15">IF(C133=0,0,E133/C133)</f>
        <v>0.43786174825812879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458634</v>
      </c>
      <c r="D134" s="361">
        <v>729848</v>
      </c>
      <c r="E134" s="361">
        <f t="shared" si="14"/>
        <v>271214</v>
      </c>
      <c r="F134" s="362">
        <f t="shared" si="15"/>
        <v>0.59135170964211115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0.23377902332876446</v>
      </c>
      <c r="D135" s="366">
        <f>IF(LN_ID14=0,0,LN_ID15/LN_ID14)</f>
        <v>0.25873464462308338</v>
      </c>
      <c r="E135" s="367">
        <f t="shared" si="14"/>
        <v>2.4955621294318914E-2</v>
      </c>
      <c r="F135" s="362">
        <f t="shared" si="15"/>
        <v>0.10674876188195771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1.5105838744426248</v>
      </c>
      <c r="D136" s="366">
        <f>IF(LN_ID1=0,0,LN_ID14/LN_ID1)</f>
        <v>1.3997838421511775</v>
      </c>
      <c r="E136" s="367">
        <f t="shared" si="14"/>
        <v>-0.1108000322914473</v>
      </c>
      <c r="F136" s="362">
        <f t="shared" si="15"/>
        <v>-7.3349142782508717E-2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214.50291017085272</v>
      </c>
      <c r="D137" s="376">
        <f>LN_ID17*LN_ID4</f>
        <v>303.75309374680552</v>
      </c>
      <c r="E137" s="376">
        <f t="shared" si="14"/>
        <v>89.250183575952803</v>
      </c>
      <c r="F137" s="362">
        <f t="shared" si="15"/>
        <v>0.41607912687461701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2138.1248377222273</v>
      </c>
      <c r="D138" s="378">
        <f>IF(LN_ID18=0,0,LN_ID15/LN_ID18)</f>
        <v>2402.7672969427181</v>
      </c>
      <c r="E138" s="378">
        <f t="shared" si="14"/>
        <v>264.64245922049076</v>
      </c>
      <c r="F138" s="362">
        <f t="shared" si="15"/>
        <v>0.12377315606249534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6354.3918513185981</v>
      </c>
      <c r="D139" s="378">
        <f>LN_IB18-LN_ID19</f>
        <v>6091.7084261696928</v>
      </c>
      <c r="E139" s="378">
        <f t="shared" si="14"/>
        <v>-262.68342514890537</v>
      </c>
      <c r="F139" s="362">
        <f t="shared" si="15"/>
        <v>-4.1338877314340633E-2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3160.6529117786213</v>
      </c>
      <c r="D140" s="378">
        <f>LN_IA16-LN_ID19</f>
        <v>2640.7076491508919</v>
      </c>
      <c r="E140" s="378">
        <f t="shared" si="14"/>
        <v>-519.94526262772933</v>
      </c>
      <c r="F140" s="362">
        <f t="shared" si="15"/>
        <v>-0.16450565030094877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677969.24761649373</v>
      </c>
      <c r="D141" s="353">
        <f>LN_ID21*LN_ID18</f>
        <v>802123.1181104373</v>
      </c>
      <c r="E141" s="353">
        <f t="shared" si="14"/>
        <v>124153.87049394357</v>
      </c>
      <c r="F141" s="362">
        <f t="shared" si="15"/>
        <v>0.18312610923050832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3260548</v>
      </c>
      <c r="D144" s="361">
        <f>LN_ID1+LN_ID14</f>
        <v>4836030</v>
      </c>
      <c r="E144" s="361">
        <f>D144-C144</f>
        <v>1575482</v>
      </c>
      <c r="F144" s="362">
        <f>IF(C144=0,0,E144/C144)</f>
        <v>0.4831954628485764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821526</v>
      </c>
      <c r="D145" s="361">
        <f>LN_1D2+LN_ID15</f>
        <v>1480573</v>
      </c>
      <c r="E145" s="361">
        <f>D145-C145</f>
        <v>659047</v>
      </c>
      <c r="F145" s="362">
        <f>IF(C145=0,0,E145/C145)</f>
        <v>0.80222293634042019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2439022</v>
      </c>
      <c r="D146" s="361">
        <f>LN_ID23-LN_ID24</f>
        <v>3355457</v>
      </c>
      <c r="E146" s="361">
        <f>D146-C146</f>
        <v>916435</v>
      </c>
      <c r="F146" s="362">
        <f>IF(C146=0,0,E146/C146)</f>
        <v>0.37573871822394384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1298075.5367607591</v>
      </c>
      <c r="D148" s="361">
        <f>LN_ID10+LN_ID22</f>
        <v>1638573.1953900349</v>
      </c>
      <c r="E148" s="361">
        <f>D148-C148</f>
        <v>340497.65862927586</v>
      </c>
      <c r="F148" s="415">
        <f>IF(C148=0,0,E148/C148)</f>
        <v>0.26230958752905847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1859352</v>
      </c>
      <c r="D153" s="361">
        <v>2513807</v>
      </c>
      <c r="E153" s="361">
        <f t="shared" ref="E153:E165" si="16">D153-C153</f>
        <v>654455</v>
      </c>
      <c r="F153" s="362">
        <f t="shared" ref="F153:F165" si="17">IF(C153=0,0,E153/C153)</f>
        <v>0.35198015222507628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555847</v>
      </c>
      <c r="D154" s="361">
        <v>814018</v>
      </c>
      <c r="E154" s="361">
        <f t="shared" si="16"/>
        <v>258171</v>
      </c>
      <c r="F154" s="362">
        <f t="shared" si="17"/>
        <v>0.46446414211104853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0.29894662226410063</v>
      </c>
      <c r="D155" s="366">
        <f>IF(LN_IE1=0,0,LN_IE2/LN_IE1)</f>
        <v>0.32381881345703944</v>
      </c>
      <c r="E155" s="367">
        <f t="shared" si="16"/>
        <v>2.487219119293882E-2</v>
      </c>
      <c r="F155" s="362">
        <f t="shared" si="17"/>
        <v>8.319943876457582E-2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153</v>
      </c>
      <c r="D156" s="419">
        <v>170</v>
      </c>
      <c r="E156" s="419">
        <f t="shared" si="16"/>
        <v>17</v>
      </c>
      <c r="F156" s="362">
        <f t="shared" si="17"/>
        <v>0.1111111111111111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1.0781000000000001</v>
      </c>
      <c r="D157" s="372">
        <v>0.86509999999999998</v>
      </c>
      <c r="E157" s="373">
        <f t="shared" si="16"/>
        <v>-0.21300000000000008</v>
      </c>
      <c r="F157" s="362">
        <f t="shared" si="17"/>
        <v>-0.19756979871997038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164.94930000000002</v>
      </c>
      <c r="D158" s="376">
        <f>LN_IE4*LN_IE5</f>
        <v>147.06700000000001</v>
      </c>
      <c r="E158" s="376">
        <f t="shared" si="16"/>
        <v>-17.882300000000015</v>
      </c>
      <c r="F158" s="362">
        <f t="shared" si="17"/>
        <v>-0.10841088746663376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3369.8051461873433</v>
      </c>
      <c r="D159" s="378">
        <f>IF(LN_IE6=0,0,LN_IE2/LN_IE6)</f>
        <v>5535.0146531852824</v>
      </c>
      <c r="E159" s="378">
        <f t="shared" si="16"/>
        <v>2165.2095069979391</v>
      </c>
      <c r="F159" s="362">
        <f t="shared" si="17"/>
        <v>0.64253255398096099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4296.3961865299734</v>
      </c>
      <c r="D160" s="378">
        <f>LN_IB7-LN_IE7</f>
        <v>2026.2606175746478</v>
      </c>
      <c r="E160" s="378">
        <f t="shared" si="16"/>
        <v>-2270.1355689553257</v>
      </c>
      <c r="F160" s="362">
        <f t="shared" si="17"/>
        <v>-0.5283813387770514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5517.7582932628866</v>
      </c>
      <c r="D161" s="378">
        <f>LN_IA7-LN_IE7</f>
        <v>3022.5738141595411</v>
      </c>
      <c r="E161" s="378">
        <f t="shared" si="16"/>
        <v>-2495.1844791033454</v>
      </c>
      <c r="F161" s="362">
        <f t="shared" si="17"/>
        <v>-0.45220981900383972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910150.36804290803</v>
      </c>
      <c r="D162" s="391">
        <f>LN_IE9*LN_IE6</f>
        <v>444520.86312700127</v>
      </c>
      <c r="E162" s="391">
        <f t="shared" si="16"/>
        <v>-465629.50491590676</v>
      </c>
      <c r="F162" s="362">
        <f t="shared" si="17"/>
        <v>-0.51159623867114135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484</v>
      </c>
      <c r="D163" s="369">
        <v>595</v>
      </c>
      <c r="E163" s="419">
        <f t="shared" si="16"/>
        <v>111</v>
      </c>
      <c r="F163" s="362">
        <f t="shared" si="17"/>
        <v>0.22933884297520662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1148.4442148760331</v>
      </c>
      <c r="D164" s="378">
        <f>IF(LN_IE11=0,0,LN_IE2/LN_IE11)</f>
        <v>1368.0974789915967</v>
      </c>
      <c r="E164" s="378">
        <f t="shared" si="16"/>
        <v>219.65326411556362</v>
      </c>
      <c r="F164" s="362">
        <f t="shared" si="17"/>
        <v>0.19126158786848321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3.1633986928104574</v>
      </c>
      <c r="D165" s="379">
        <f>IF(LN_IE4=0,0,LN_IE11/LN_IE4)</f>
        <v>3.5</v>
      </c>
      <c r="E165" s="379">
        <f t="shared" si="16"/>
        <v>0.33660130718954262</v>
      </c>
      <c r="F165" s="362">
        <f t="shared" si="17"/>
        <v>0.106404958677686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2716437</v>
      </c>
      <c r="D168" s="424">
        <v>2788114</v>
      </c>
      <c r="E168" s="424">
        <f t="shared" ref="E168:E176" si="18">D168-C168</f>
        <v>71677</v>
      </c>
      <c r="F168" s="362">
        <f t="shared" ref="F168:F176" si="19">IF(C168=0,0,E168/C168)</f>
        <v>2.638640248236937E-2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588046</v>
      </c>
      <c r="D169" s="424">
        <v>449216</v>
      </c>
      <c r="E169" s="424">
        <f t="shared" si="18"/>
        <v>-138830</v>
      </c>
      <c r="F169" s="362">
        <f t="shared" si="19"/>
        <v>-0.23608697278784313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0.21647695124164484</v>
      </c>
      <c r="D170" s="366">
        <f>IF(LN_IE14=0,0,LN_IE15/LN_IE14)</f>
        <v>0.16111823261172248</v>
      </c>
      <c r="E170" s="367">
        <f t="shared" si="18"/>
        <v>-5.5358718629922365E-2</v>
      </c>
      <c r="F170" s="362">
        <f t="shared" si="19"/>
        <v>-0.25572569417853436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1.4609589792572897</v>
      </c>
      <c r="D171" s="366">
        <f>IF(LN_IE1=0,0,LN_IE14/LN_IE1)</f>
        <v>1.1091201512287936</v>
      </c>
      <c r="E171" s="367">
        <f t="shared" si="18"/>
        <v>-0.35183882802849609</v>
      </c>
      <c r="F171" s="362">
        <f t="shared" si="19"/>
        <v>-0.24082731481438377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223.52672382636533</v>
      </c>
      <c r="D172" s="376">
        <f>LN_IE17*LN_IE4</f>
        <v>188.55042570889492</v>
      </c>
      <c r="E172" s="376">
        <f t="shared" si="18"/>
        <v>-34.976298117470407</v>
      </c>
      <c r="F172" s="362">
        <f t="shared" si="19"/>
        <v>-0.15647479423820418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2630.7637401637571</v>
      </c>
      <c r="D173" s="378">
        <f>IF(LN_IE18=0,0,LN_IE15/LN_IE18)</f>
        <v>2382.4714174528012</v>
      </c>
      <c r="E173" s="378">
        <f t="shared" si="18"/>
        <v>-248.29232271095589</v>
      </c>
      <c r="F173" s="362">
        <f t="shared" si="19"/>
        <v>-9.4380319646453867E-2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5861.7529488770688</v>
      </c>
      <c r="D174" s="378">
        <f>LN_IB18-LN_IE19</f>
        <v>6112.0043056596096</v>
      </c>
      <c r="E174" s="378">
        <f t="shared" si="18"/>
        <v>250.25135678254082</v>
      </c>
      <c r="F174" s="362">
        <f t="shared" si="19"/>
        <v>4.2692238817482284E-2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2668.0140093370915</v>
      </c>
      <c r="D175" s="378">
        <f>LN_IA16-LN_IE19</f>
        <v>2661.0035286408088</v>
      </c>
      <c r="E175" s="378">
        <f t="shared" si="18"/>
        <v>-7.0104806962826842</v>
      </c>
      <c r="F175" s="362">
        <f t="shared" si="19"/>
        <v>-2.62760265566392E-3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596372.43062996573</v>
      </c>
      <c r="D176" s="353">
        <f>LN_IE21*LN_IE18</f>
        <v>501733.34813809604</v>
      </c>
      <c r="E176" s="353">
        <f t="shared" si="18"/>
        <v>-94639.082491869689</v>
      </c>
      <c r="F176" s="362">
        <f t="shared" si="19"/>
        <v>-0.15869124330898335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4575789</v>
      </c>
      <c r="D179" s="361">
        <f>LN_IE1+LN_IE14</f>
        <v>5301921</v>
      </c>
      <c r="E179" s="361">
        <f>D179-C179</f>
        <v>726132</v>
      </c>
      <c r="F179" s="362">
        <f>IF(C179=0,0,E179/C179)</f>
        <v>0.15869000952622597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1143893</v>
      </c>
      <c r="D180" s="361">
        <f>LN_IE15+LN_IE2</f>
        <v>1263234</v>
      </c>
      <c r="E180" s="361">
        <f>D180-C180</f>
        <v>119341</v>
      </c>
      <c r="F180" s="362">
        <f>IF(C180=0,0,E180/C180)</f>
        <v>0.10432881397123682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3431896</v>
      </c>
      <c r="D181" s="361">
        <f>LN_IE23-LN_IE24</f>
        <v>4038687</v>
      </c>
      <c r="E181" s="361">
        <f>D181-C181</f>
        <v>606791</v>
      </c>
      <c r="F181" s="362">
        <f>IF(C181=0,0,E181/C181)</f>
        <v>0.1768092622853373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1506522.7986728738</v>
      </c>
      <c r="D183" s="361">
        <f>LN_IE10+LN_IE22</f>
        <v>946254.21126509737</v>
      </c>
      <c r="E183" s="353">
        <f>D183-C183</f>
        <v>-560268.58740777639</v>
      </c>
      <c r="F183" s="362">
        <f>IF(C183=0,0,E183/C183)</f>
        <v>-0.37189519328969217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3158073</v>
      </c>
      <c r="D188" s="361">
        <f>LN_ID1+LN_IE1</f>
        <v>4529001</v>
      </c>
      <c r="E188" s="361">
        <f t="shared" ref="E188:E200" si="20">D188-C188</f>
        <v>1370928</v>
      </c>
      <c r="F188" s="362">
        <f t="shared" ref="F188:F200" si="21">IF(C188=0,0,E188/C188)</f>
        <v>0.43410269490287273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918739</v>
      </c>
      <c r="D189" s="361">
        <f>LN_1D2+LN_IE2</f>
        <v>1564743</v>
      </c>
      <c r="E189" s="361">
        <f t="shared" si="20"/>
        <v>646004</v>
      </c>
      <c r="F189" s="362">
        <f t="shared" si="21"/>
        <v>0.70314202401334869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0.29091759436846459</v>
      </c>
      <c r="D190" s="366">
        <f>IF(LN_IF1=0,0,LN_IF2/LN_IF1)</f>
        <v>0.34549407253387665</v>
      </c>
      <c r="E190" s="367">
        <f t="shared" si="20"/>
        <v>5.4576478165412057E-2</v>
      </c>
      <c r="F190" s="362">
        <f t="shared" si="21"/>
        <v>0.18760115999133306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295</v>
      </c>
      <c r="D191" s="369">
        <f>LN_ID4+LN_IE4</f>
        <v>387</v>
      </c>
      <c r="E191" s="369">
        <f t="shared" si="20"/>
        <v>92</v>
      </c>
      <c r="F191" s="362">
        <f t="shared" si="21"/>
        <v>0.31186440677966104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0.93407830508474587</v>
      </c>
      <c r="D192" s="372">
        <f>IF((LN_ID4+LN_IE4)=0,0,(LN_ID6+LN_IE6)/(LN_ID4+LN_IE4))</f>
        <v>0.85926847545219642</v>
      </c>
      <c r="E192" s="373">
        <f t="shared" si="20"/>
        <v>-7.4809829632549452E-2</v>
      </c>
      <c r="F192" s="362">
        <f t="shared" si="21"/>
        <v>-8.0089462762720096E-2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275.55310000000003</v>
      </c>
      <c r="D193" s="376">
        <f>LN_IF4*LN_IF5</f>
        <v>332.5369</v>
      </c>
      <c r="E193" s="376">
        <f t="shared" si="20"/>
        <v>56.983799999999974</v>
      </c>
      <c r="F193" s="362">
        <f t="shared" si="21"/>
        <v>0.20679789122314343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3334.16317943801</v>
      </c>
      <c r="D194" s="378">
        <f>IF(LN_IF6=0,0,LN_IF2/LN_IF6)</f>
        <v>4705.4717837328726</v>
      </c>
      <c r="E194" s="378">
        <f t="shared" si="20"/>
        <v>1371.3086042948626</v>
      </c>
      <c r="F194" s="362">
        <f t="shared" si="21"/>
        <v>0.41129018902008374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4332.0381532793062</v>
      </c>
      <c r="D195" s="378">
        <f>LN_IB7-LN_IF7</f>
        <v>2855.8034870270576</v>
      </c>
      <c r="E195" s="378">
        <f t="shared" si="20"/>
        <v>-1476.2346662522486</v>
      </c>
      <c r="F195" s="362">
        <f t="shared" si="21"/>
        <v>-0.34077139074473639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5553.4002600122203</v>
      </c>
      <c r="D196" s="378">
        <f>LN_IA7-LN_IF7</f>
        <v>3852.116683611951</v>
      </c>
      <c r="E196" s="378">
        <f t="shared" si="20"/>
        <v>-1701.2835764002693</v>
      </c>
      <c r="F196" s="362">
        <f t="shared" si="21"/>
        <v>-0.30634989317275063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1530256.6571871736</v>
      </c>
      <c r="D197" s="391">
        <f>LN_IF9*LN_IF6</f>
        <v>1280970.9404065991</v>
      </c>
      <c r="E197" s="391">
        <f t="shared" si="20"/>
        <v>-249285.71678057453</v>
      </c>
      <c r="F197" s="362">
        <f t="shared" si="21"/>
        <v>-0.16290451383416729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844</v>
      </c>
      <c r="D198" s="369">
        <f>LN_ID11+LN_IE11</f>
        <v>1184</v>
      </c>
      <c r="E198" s="369">
        <f t="shared" si="20"/>
        <v>340</v>
      </c>
      <c r="F198" s="362">
        <f t="shared" si="21"/>
        <v>0.40284360189573459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1088.5533175355449</v>
      </c>
      <c r="D199" s="432">
        <f>IF(LN_IF11=0,0,LN_IF2/LN_IF11)</f>
        <v>1321.5734797297298</v>
      </c>
      <c r="E199" s="432">
        <f t="shared" si="20"/>
        <v>233.02016219418488</v>
      </c>
      <c r="F199" s="362">
        <f t="shared" si="21"/>
        <v>0.21406407792843457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2.8610169491525426</v>
      </c>
      <c r="D200" s="379">
        <f>IF(LN_IF4=0,0,LN_IF11/LN_IF4)</f>
        <v>3.0594315245478034</v>
      </c>
      <c r="E200" s="379">
        <f t="shared" si="20"/>
        <v>0.19841457539526086</v>
      </c>
      <c r="F200" s="362">
        <f t="shared" si="21"/>
        <v>6.9351066044552073E-2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4678264</v>
      </c>
      <c r="D203" s="361">
        <f>LN_ID14+LN_IE14</f>
        <v>5608950</v>
      </c>
      <c r="E203" s="361">
        <f t="shared" ref="E203:E211" si="22">D203-C203</f>
        <v>930686</v>
      </c>
      <c r="F203" s="362">
        <f t="shared" ref="F203:F211" si="23">IF(C203=0,0,E203/C203)</f>
        <v>0.19893832413048942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1046680</v>
      </c>
      <c r="D204" s="361">
        <f>LN_ID15+LN_IE15</f>
        <v>1179064</v>
      </c>
      <c r="E204" s="361">
        <f t="shared" si="22"/>
        <v>132384</v>
      </c>
      <c r="F204" s="362">
        <f t="shared" si="23"/>
        <v>0.12647991745328085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0.22373256404512443</v>
      </c>
      <c r="D205" s="366">
        <f>IF(LN_IF14=0,0,LN_IF15/LN_IF14)</f>
        <v>0.2102111803456975</v>
      </c>
      <c r="E205" s="367">
        <f t="shared" si="22"/>
        <v>-1.3521383699426931E-2</v>
      </c>
      <c r="F205" s="362">
        <f t="shared" si="23"/>
        <v>-6.0435474635242702E-2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1.48136664351964</v>
      </c>
      <c r="D206" s="366">
        <f>IF(LN_IF1=0,0,LN_IF14/LN_IF1)</f>
        <v>1.2384519235036602</v>
      </c>
      <c r="E206" s="367">
        <f t="shared" si="22"/>
        <v>-0.2429147200159798</v>
      </c>
      <c r="F206" s="362">
        <f t="shared" si="23"/>
        <v>-0.16398014703424718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438.02963399721807</v>
      </c>
      <c r="D207" s="376">
        <f>LN_ID18+LN_IE18</f>
        <v>492.30351945570044</v>
      </c>
      <c r="E207" s="376">
        <f t="shared" si="22"/>
        <v>54.273885458482368</v>
      </c>
      <c r="F207" s="362">
        <f t="shared" si="23"/>
        <v>0.12390459742006191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2389.518696368948</v>
      </c>
      <c r="D208" s="378">
        <f>IF(LN_IF18=0,0,LN_IF15/LN_IF18)</f>
        <v>2394.9940502225013</v>
      </c>
      <c r="E208" s="378">
        <f t="shared" si="22"/>
        <v>5.4753538535533153</v>
      </c>
      <c r="F208" s="362">
        <f t="shared" si="23"/>
        <v>2.291404483201376E-3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6102.997992671877</v>
      </c>
      <c r="D209" s="378">
        <f>LN_IB18-LN_IF19</f>
        <v>6099.4816728899095</v>
      </c>
      <c r="E209" s="378">
        <f t="shared" si="22"/>
        <v>-3.5163197819674679</v>
      </c>
      <c r="F209" s="362">
        <f t="shared" si="23"/>
        <v>-5.7616269679093112E-4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2909.2590531319006</v>
      </c>
      <c r="D210" s="378">
        <f>LN_IA16-LN_IF19</f>
        <v>2648.4808958711087</v>
      </c>
      <c r="E210" s="378">
        <f t="shared" si="22"/>
        <v>-260.77815726079189</v>
      </c>
      <c r="F210" s="362">
        <f t="shared" si="23"/>
        <v>-8.9637310565402126E-2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1274341.6782464595</v>
      </c>
      <c r="D211" s="353">
        <f>LN_IF21*LN_IF18</f>
        <v>1303856.4662485332</v>
      </c>
      <c r="E211" s="353">
        <f t="shared" si="22"/>
        <v>29514.788002073765</v>
      </c>
      <c r="F211" s="362">
        <f t="shared" si="23"/>
        <v>2.3160811975236648E-2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7836337</v>
      </c>
      <c r="D214" s="361">
        <f>LN_IF1+LN_IF14</f>
        <v>10137951</v>
      </c>
      <c r="E214" s="361">
        <f>D214-C214</f>
        <v>2301614</v>
      </c>
      <c r="F214" s="362">
        <f>IF(C214=0,0,E214/C214)</f>
        <v>0.29371044149836845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1965419</v>
      </c>
      <c r="D215" s="361">
        <f>LN_IF2+LN_IF15</f>
        <v>2743807</v>
      </c>
      <c r="E215" s="361">
        <f>D215-C215</f>
        <v>778388</v>
      </c>
      <c r="F215" s="362">
        <f>IF(C215=0,0,E215/C215)</f>
        <v>0.39604176005218228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5870918</v>
      </c>
      <c r="D216" s="361">
        <f>LN_IF23-LN_IF24</f>
        <v>7394144</v>
      </c>
      <c r="E216" s="361">
        <f>D216-C216</f>
        <v>1523226</v>
      </c>
      <c r="F216" s="362">
        <f>IF(C216=0,0,E216/C216)</f>
        <v>0.25945278063839422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93627</v>
      </c>
      <c r="D221" s="361">
        <v>56762</v>
      </c>
      <c r="E221" s="361">
        <f t="shared" ref="E221:E230" si="24">D221-C221</f>
        <v>-36865</v>
      </c>
      <c r="F221" s="362">
        <f t="shared" ref="F221:F230" si="25">IF(C221=0,0,E221/C221)</f>
        <v>-0.39374325782092773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93215</v>
      </c>
      <c r="D222" s="361">
        <v>47179</v>
      </c>
      <c r="E222" s="361">
        <f t="shared" si="24"/>
        <v>-46036</v>
      </c>
      <c r="F222" s="362">
        <f t="shared" si="25"/>
        <v>-0.49386901249798854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0.99559955995599558</v>
      </c>
      <c r="D223" s="366">
        <f>IF(LN_IG1=0,0,LN_IG2/LN_IG1)</f>
        <v>0.83117226313378667</v>
      </c>
      <c r="E223" s="367">
        <f t="shared" si="24"/>
        <v>-0.16442729682220891</v>
      </c>
      <c r="F223" s="362">
        <f t="shared" si="25"/>
        <v>-0.16515404730540101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</v>
      </c>
      <c r="D224" s="369">
        <v>7</v>
      </c>
      <c r="E224" s="369">
        <f t="shared" si="24"/>
        <v>5</v>
      </c>
      <c r="F224" s="362">
        <f t="shared" si="25"/>
        <v>2.5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2.0971000000000002</v>
      </c>
      <c r="D225" s="372">
        <v>0.68889999999999996</v>
      </c>
      <c r="E225" s="373">
        <f t="shared" si="24"/>
        <v>-1.4082000000000003</v>
      </c>
      <c r="F225" s="362">
        <f t="shared" si="25"/>
        <v>-0.67149873635019797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4.1942000000000004</v>
      </c>
      <c r="D226" s="376">
        <f>LN_IG3*LN_IG4</f>
        <v>4.8222999999999994</v>
      </c>
      <c r="E226" s="376">
        <f t="shared" si="24"/>
        <v>0.62809999999999899</v>
      </c>
      <c r="F226" s="362">
        <f t="shared" si="25"/>
        <v>0.14975442277430712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22224.738925182392</v>
      </c>
      <c r="D227" s="378">
        <f>IF(LN_IG5=0,0,LN_IG2/LN_IG5)</f>
        <v>9783.5057959894675</v>
      </c>
      <c r="E227" s="378">
        <f t="shared" si="24"/>
        <v>-12441.233129192924</v>
      </c>
      <c r="F227" s="362">
        <f t="shared" si="25"/>
        <v>-0.55979209344484226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9</v>
      </c>
      <c r="D228" s="369">
        <v>16</v>
      </c>
      <c r="E228" s="369">
        <f t="shared" si="24"/>
        <v>7</v>
      </c>
      <c r="F228" s="362">
        <f t="shared" si="25"/>
        <v>0.77777777777777779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10357.222222222223</v>
      </c>
      <c r="D229" s="378">
        <f>IF(LN_IG6=0,0,LN_IG2/LN_IG6)</f>
        <v>2948.6875</v>
      </c>
      <c r="E229" s="378">
        <f t="shared" si="24"/>
        <v>-7408.5347222222226</v>
      </c>
      <c r="F229" s="362">
        <f t="shared" si="25"/>
        <v>-0.71530131953011855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4.5</v>
      </c>
      <c r="D230" s="379">
        <f>IF(LN_IG3=0,0,LN_IG6/LN_IG3)</f>
        <v>2.2857142857142856</v>
      </c>
      <c r="E230" s="379">
        <f t="shared" si="24"/>
        <v>-2.2142857142857144</v>
      </c>
      <c r="F230" s="362">
        <f t="shared" si="25"/>
        <v>-0.49206349206349209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64791</v>
      </c>
      <c r="D233" s="361">
        <v>58414</v>
      </c>
      <c r="E233" s="361">
        <f>D233-C233</f>
        <v>-6377</v>
      </c>
      <c r="F233" s="362">
        <f>IF(C233=0,0,E233/C233)</f>
        <v>-9.8424163849917423E-2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28826</v>
      </c>
      <c r="D234" s="361">
        <v>24014</v>
      </c>
      <c r="E234" s="361">
        <f>D234-C234</f>
        <v>-4812</v>
      </c>
      <c r="F234" s="362">
        <f>IF(C234=0,0,E234/C234)</f>
        <v>-0.16693263026434468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158418</v>
      </c>
      <c r="D237" s="361">
        <f>LN_IG1+LN_IG9</f>
        <v>115176</v>
      </c>
      <c r="E237" s="361">
        <f>D237-C237</f>
        <v>-43242</v>
      </c>
      <c r="F237" s="362">
        <f>IF(C237=0,0,E237/C237)</f>
        <v>-0.27296140590084461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122041</v>
      </c>
      <c r="D238" s="361">
        <f>LN_IG2+LN_IG10</f>
        <v>71193</v>
      </c>
      <c r="E238" s="361">
        <f>D238-C238</f>
        <v>-50848</v>
      </c>
      <c r="F238" s="362">
        <f>IF(C238=0,0,E238/C238)</f>
        <v>-0.41664686457829747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36377</v>
      </c>
      <c r="D239" s="361">
        <f>LN_IG13-LN_IG14</f>
        <v>43983</v>
      </c>
      <c r="E239" s="361">
        <f>D239-C239</f>
        <v>7606</v>
      </c>
      <c r="F239" s="362">
        <f>IF(C239=0,0,E239/C239)</f>
        <v>0.20908816010116282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543474</v>
      </c>
      <c r="D243" s="361">
        <v>530398</v>
      </c>
      <c r="E243" s="353">
        <f>D243-C243</f>
        <v>-13076</v>
      </c>
      <c r="F243" s="415">
        <f>IF(C243=0,0,E243/C243)</f>
        <v>-2.4060028630624463E-2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49683361</v>
      </c>
      <c r="D244" s="361">
        <v>48108598</v>
      </c>
      <c r="E244" s="353">
        <f>D244-C244</f>
        <v>-1574763</v>
      </c>
      <c r="F244" s="415">
        <f>IF(C244=0,0,E244/C244)</f>
        <v>-3.1695983691602508E-2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185269</v>
      </c>
      <c r="D245" s="400">
        <v>251652</v>
      </c>
      <c r="E245" s="400">
        <f>D245-C245</f>
        <v>66383</v>
      </c>
      <c r="F245" s="401">
        <f>IF(C245=0,0,E245/C245)</f>
        <v>0.35830603069050948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430330</v>
      </c>
      <c r="D248" s="353">
        <v>767288</v>
      </c>
      <c r="E248" s="353">
        <f>D248-C248</f>
        <v>336958</v>
      </c>
      <c r="F248" s="362">
        <f>IF(C248=0,0,E248/C248)</f>
        <v>0.78302233169892876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2953540</v>
      </c>
      <c r="D249" s="353">
        <v>1748130</v>
      </c>
      <c r="E249" s="353">
        <f>D249-C249</f>
        <v>-1205410</v>
      </c>
      <c r="F249" s="362">
        <f>IF(C249=0,0,E249/C249)</f>
        <v>-0.40812381074913495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3383870</v>
      </c>
      <c r="D250" s="353">
        <f>LN_IH4+LN_IH5</f>
        <v>2515418</v>
      </c>
      <c r="E250" s="353">
        <f>D250-C250</f>
        <v>-868452</v>
      </c>
      <c r="F250" s="362">
        <f>IF(C250=0,0,E250/C250)</f>
        <v>-0.256644611051843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1445508.5251540167</v>
      </c>
      <c r="D251" s="353">
        <f>LN_IH6*LN_III10</f>
        <v>1012653.1207371118</v>
      </c>
      <c r="E251" s="353">
        <f>D251-C251</f>
        <v>-432855.4044169049</v>
      </c>
      <c r="F251" s="362">
        <f>IF(C251=0,0,E251/C251)</f>
        <v>-0.29944853100799584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7836337</v>
      </c>
      <c r="D254" s="353">
        <f>LN_IF23</f>
        <v>10137951</v>
      </c>
      <c r="E254" s="353">
        <f>D254-C254</f>
        <v>2301614</v>
      </c>
      <c r="F254" s="362">
        <f>IF(C254=0,0,E254/C254)</f>
        <v>0.29371044149836845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1965419</v>
      </c>
      <c r="D255" s="353">
        <f>LN_IF24</f>
        <v>2743807</v>
      </c>
      <c r="E255" s="353">
        <f>D255-C255</f>
        <v>778388</v>
      </c>
      <c r="F255" s="362">
        <f>IF(C255=0,0,E255/C255)</f>
        <v>0.39604176005218228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3347496.1920758933</v>
      </c>
      <c r="D256" s="353">
        <f>LN_IH8*LN_III10</f>
        <v>4081320.7657852187</v>
      </c>
      <c r="E256" s="353">
        <f>D256-C256</f>
        <v>733824.5737093254</v>
      </c>
      <c r="F256" s="362">
        <f>IF(C256=0,0,E256/C256)</f>
        <v>0.21921595473250008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1382077.1920758933</v>
      </c>
      <c r="D257" s="353">
        <f>LN_IH10-LN_IH9</f>
        <v>1337513.7657852187</v>
      </c>
      <c r="E257" s="353">
        <f>D257-C257</f>
        <v>-44563.426290674601</v>
      </c>
      <c r="F257" s="362">
        <f>IF(C257=0,0,E257/C257)</f>
        <v>-3.2243804142183911E-2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48499962</v>
      </c>
      <c r="D261" s="361">
        <f>LN_IA1+LN_IB1+LN_IF1+LN_IG1</f>
        <v>50003842</v>
      </c>
      <c r="E261" s="361">
        <f t="shared" ref="E261:E274" si="26">D261-C261</f>
        <v>1503880</v>
      </c>
      <c r="F261" s="415">
        <f t="shared" ref="F261:F274" si="27">IF(C261=0,0,E261/C261)</f>
        <v>3.1007859346364023E-2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22868987</v>
      </c>
      <c r="D262" s="361">
        <f>+LN_IA2+LN_IB2+LN_IF2+LN_IG2</f>
        <v>22185442</v>
      </c>
      <c r="E262" s="361">
        <f t="shared" si="26"/>
        <v>-683545</v>
      </c>
      <c r="F262" s="415">
        <f t="shared" si="27"/>
        <v>-2.988960551685127E-2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0.47152587459759249</v>
      </c>
      <c r="D263" s="366">
        <f>IF(LN_IIA1=0,0,LN_IIA2/LN_IIA1)</f>
        <v>0.44367474803236118</v>
      </c>
      <c r="E263" s="367">
        <f t="shared" si="26"/>
        <v>-2.785112656523131E-2</v>
      </c>
      <c r="F263" s="371">
        <f t="shared" si="27"/>
        <v>-5.9065956007186018E-2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2658</v>
      </c>
      <c r="D264" s="369">
        <f>LN_IA4+LN_IB4+LN_IF4+LN_IG3</f>
        <v>2681</v>
      </c>
      <c r="E264" s="369">
        <f t="shared" si="26"/>
        <v>23</v>
      </c>
      <c r="F264" s="415">
        <f t="shared" si="27"/>
        <v>8.6531226486079756E-3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1.0771837471783297</v>
      </c>
      <c r="D265" s="439">
        <f>IF(LN_IIA4=0,0,LN_IIA6/LN_IIA4)</f>
        <v>1.0572486758672137</v>
      </c>
      <c r="E265" s="439">
        <f t="shared" si="26"/>
        <v>-1.9935071311115937E-2</v>
      </c>
      <c r="F265" s="415">
        <f t="shared" si="27"/>
        <v>-1.8506658091839601E-2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2863.1544000000004</v>
      </c>
      <c r="D266" s="376">
        <f>LN_IA6+LN_IB6+LN_IF6+LN_IG5</f>
        <v>2834.4836999999998</v>
      </c>
      <c r="E266" s="376">
        <f t="shared" si="26"/>
        <v>-28.670700000000579</v>
      </c>
      <c r="F266" s="415">
        <f t="shared" si="27"/>
        <v>-1.0013675825516282E-2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65952355</v>
      </c>
      <c r="D267" s="361">
        <f>LN_IA11+LN_IB13+LN_IF14+LN_IG9</f>
        <v>71084105</v>
      </c>
      <c r="E267" s="361">
        <f t="shared" si="26"/>
        <v>5131750</v>
      </c>
      <c r="F267" s="415">
        <f t="shared" si="27"/>
        <v>7.7809958416193023E-2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1.3598434365783627</v>
      </c>
      <c r="D268" s="366">
        <f>IF(LN_IIA1=0,0,LN_IIA7/LN_IIA1)</f>
        <v>1.4215728663409504</v>
      </c>
      <c r="E268" s="367">
        <f t="shared" si="26"/>
        <v>6.1729429762587662E-2</v>
      </c>
      <c r="F268" s="371">
        <f t="shared" si="27"/>
        <v>4.5394512413804947E-2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25837041</v>
      </c>
      <c r="D269" s="361">
        <f>LN_IA12+LN_IB14+LN_IF15+LN_IG10</f>
        <v>26310307</v>
      </c>
      <c r="E269" s="361">
        <f t="shared" si="26"/>
        <v>473266</v>
      </c>
      <c r="F269" s="415">
        <f t="shared" si="27"/>
        <v>1.8317345240888846E-2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0.3917531223866077</v>
      </c>
      <c r="D270" s="366">
        <f>IF(LN_IIA7=0,0,LN_IIA9/LN_IIA7)</f>
        <v>0.3701292574479203</v>
      </c>
      <c r="E270" s="367">
        <f t="shared" si="26"/>
        <v>-2.1623864938687398E-2</v>
      </c>
      <c r="F270" s="371">
        <f t="shared" si="27"/>
        <v>-5.5197683701797146E-2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114452317</v>
      </c>
      <c r="D271" s="353">
        <f>LN_IIA1+LN_IIA7</f>
        <v>121087947</v>
      </c>
      <c r="E271" s="353">
        <f t="shared" si="26"/>
        <v>6635630</v>
      </c>
      <c r="F271" s="415">
        <f t="shared" si="27"/>
        <v>5.7977244794441336E-2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48706028</v>
      </c>
      <c r="D272" s="353">
        <f>LN_IIA2+LN_IIA9</f>
        <v>48495749</v>
      </c>
      <c r="E272" s="353">
        <f t="shared" si="26"/>
        <v>-210279</v>
      </c>
      <c r="F272" s="415">
        <f t="shared" si="27"/>
        <v>-4.317309553552591E-3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0.42555737862432264</v>
      </c>
      <c r="D273" s="366">
        <f>IF(LN_IIA11=0,0,LN_IIA12/LN_IIA11)</f>
        <v>0.40050021659050838</v>
      </c>
      <c r="E273" s="367">
        <f t="shared" si="26"/>
        <v>-2.5057162033814251E-2</v>
      </c>
      <c r="F273" s="371">
        <f t="shared" si="27"/>
        <v>-5.8880807365660641E-2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11466</v>
      </c>
      <c r="D274" s="421">
        <f>LN_IA8+LN_IB10+LN_IF11+LN_IG6</f>
        <v>11622</v>
      </c>
      <c r="E274" s="442">
        <f t="shared" si="26"/>
        <v>156</v>
      </c>
      <c r="F274" s="371">
        <f t="shared" si="27"/>
        <v>1.3605442176870748E-2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33748730</v>
      </c>
      <c r="D277" s="361">
        <f>LN_IA1+LN_IF1+LN_IG1</f>
        <v>36114896</v>
      </c>
      <c r="E277" s="361">
        <f t="shared" ref="E277:E291" si="28">D277-C277</f>
        <v>2366166</v>
      </c>
      <c r="F277" s="415">
        <f t="shared" ref="F277:F291" si="29">IF(C277=0,0,E277/C277)</f>
        <v>7.0111260482987062E-2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15944703</v>
      </c>
      <c r="D278" s="361">
        <f>LN_IA2+LN_IF2+LN_IG2</f>
        <v>16145580</v>
      </c>
      <c r="E278" s="361">
        <f t="shared" si="28"/>
        <v>200877</v>
      </c>
      <c r="F278" s="415">
        <f t="shared" si="29"/>
        <v>1.2598353196042598E-2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0.47245342269175761</v>
      </c>
      <c r="D279" s="366">
        <f>IF(D277=0,0,LN_IIB2/D277)</f>
        <v>0.44706151168204944</v>
      </c>
      <c r="E279" s="367">
        <f t="shared" si="28"/>
        <v>-2.5391911009708168E-2</v>
      </c>
      <c r="F279" s="371">
        <f t="shared" si="29"/>
        <v>-5.3744792163934837E-2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1781</v>
      </c>
      <c r="D280" s="369">
        <f>LN_IA4+LN_IF4+LN_IG3</f>
        <v>1873</v>
      </c>
      <c r="E280" s="369">
        <f t="shared" si="28"/>
        <v>92</v>
      </c>
      <c r="F280" s="415">
        <f t="shared" si="29"/>
        <v>5.1656372824256037E-2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1.1004672094329029</v>
      </c>
      <c r="D281" s="439">
        <f>IF(LN_IIB4=0,0,LN_IIB6/LN_IIB4)</f>
        <v>1.0868632674853178</v>
      </c>
      <c r="E281" s="439">
        <f t="shared" si="28"/>
        <v>-1.3603941947585074E-2</v>
      </c>
      <c r="F281" s="415">
        <f t="shared" si="29"/>
        <v>-1.2361969380801007E-2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1959.9321000000002</v>
      </c>
      <c r="D282" s="376">
        <f>LN_IA6+LN_IF6+LN_IG5</f>
        <v>2035.6949000000002</v>
      </c>
      <c r="E282" s="376">
        <f t="shared" si="28"/>
        <v>75.76279999999997</v>
      </c>
      <c r="F282" s="415">
        <f t="shared" si="29"/>
        <v>3.86558289442782E-2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29608130</v>
      </c>
      <c r="D283" s="361">
        <f>LN_IA11+LN_IF14+LN_IG9</f>
        <v>33696327</v>
      </c>
      <c r="E283" s="361">
        <f t="shared" si="28"/>
        <v>4088197</v>
      </c>
      <c r="F283" s="415">
        <f t="shared" si="29"/>
        <v>0.13807683903036091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0.87731093881162348</v>
      </c>
      <c r="D284" s="366">
        <f>IF(D277=0,0,LN_IIB7/D277)</f>
        <v>0.93303126222487254</v>
      </c>
      <c r="E284" s="367">
        <f t="shared" si="28"/>
        <v>5.5720323413249062E-2</v>
      </c>
      <c r="F284" s="371">
        <f t="shared" si="29"/>
        <v>6.351262813242245E-2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7486743</v>
      </c>
      <c r="D285" s="361">
        <f>LN_IA12+LN_IF15+LN_IG10</f>
        <v>7834292</v>
      </c>
      <c r="E285" s="361">
        <f t="shared" si="28"/>
        <v>347549</v>
      </c>
      <c r="F285" s="415">
        <f t="shared" si="29"/>
        <v>4.6421922056093017E-2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0.25286105539255604</v>
      </c>
      <c r="D286" s="366">
        <f>IF(LN_IIB7=0,0,LN_IIB9/LN_IIB7)</f>
        <v>0.23249691279408582</v>
      </c>
      <c r="E286" s="367">
        <f t="shared" si="28"/>
        <v>-2.036414259847022E-2</v>
      </c>
      <c r="F286" s="371">
        <f t="shared" si="29"/>
        <v>-8.053491102793886E-2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63356860</v>
      </c>
      <c r="D287" s="353">
        <f>D277+LN_IIB7</f>
        <v>69811223</v>
      </c>
      <c r="E287" s="353">
        <f t="shared" si="28"/>
        <v>6454363</v>
      </c>
      <c r="F287" s="415">
        <f t="shared" si="29"/>
        <v>0.10187315154191669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23431446</v>
      </c>
      <c r="D288" s="353">
        <f>LN_IIB2+LN_IIB9</f>
        <v>23979872</v>
      </c>
      <c r="E288" s="353">
        <f t="shared" si="28"/>
        <v>548426</v>
      </c>
      <c r="F288" s="415">
        <f t="shared" si="29"/>
        <v>2.3405555081833191E-2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0.36983281684098612</v>
      </c>
      <c r="D289" s="366">
        <f>IF(LN_IIB11=0,0,LN_IIB12/LN_IIB11)</f>
        <v>0.3434959447709432</v>
      </c>
      <c r="E289" s="367">
        <f t="shared" si="28"/>
        <v>-2.6336872070042927E-2</v>
      </c>
      <c r="F289" s="371">
        <f t="shared" si="29"/>
        <v>-7.1212912620912089E-2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8854</v>
      </c>
      <c r="D290" s="421">
        <f>LN_IA8+LN_IF11+LN_IG6</f>
        <v>9345</v>
      </c>
      <c r="E290" s="442">
        <f t="shared" si="28"/>
        <v>491</v>
      </c>
      <c r="F290" s="371">
        <f t="shared" si="29"/>
        <v>5.5455161508922518E-2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39925414</v>
      </c>
      <c r="D291" s="429">
        <f>LN_IIB11-LN_IIB12</f>
        <v>45831351</v>
      </c>
      <c r="E291" s="353">
        <f t="shared" si="28"/>
        <v>5905937</v>
      </c>
      <c r="F291" s="415">
        <f t="shared" si="29"/>
        <v>0.14792425195641051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5.3915094339622645</v>
      </c>
      <c r="D294" s="379">
        <f>IF(LN_IA4=0,0,LN_IA8/LN_IA4)</f>
        <v>5.5070993914807298</v>
      </c>
      <c r="E294" s="379">
        <f t="shared" ref="E294:E300" si="30">D294-C294</f>
        <v>0.11558995751846535</v>
      </c>
      <c r="F294" s="415">
        <f t="shared" ref="F294:F300" si="31">IF(C294=0,0,E294/C294)</f>
        <v>2.1439257212523755E-2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2.9783352337514253</v>
      </c>
      <c r="D295" s="379">
        <f>IF(LN_IB4=0,0,(LN_IB10)/(LN_IB4))</f>
        <v>2.8180693069306932</v>
      </c>
      <c r="E295" s="379">
        <f t="shared" si="30"/>
        <v>-0.16026592682073204</v>
      </c>
      <c r="F295" s="415">
        <f t="shared" si="31"/>
        <v>-5.3810573438660796E-2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2.8472222222222223</v>
      </c>
      <c r="D296" s="379">
        <f>IF(LN_IC4=0,0,LN_IC11/LN_IC4)</f>
        <v>2.7384615384615385</v>
      </c>
      <c r="E296" s="379">
        <f t="shared" si="30"/>
        <v>-0.10876068376068382</v>
      </c>
      <c r="F296" s="415">
        <f t="shared" si="31"/>
        <v>-3.8198874296435294E-2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2.535211267605634</v>
      </c>
      <c r="D297" s="379">
        <f>IF(LN_ID4=0,0,LN_ID11/LN_ID4)</f>
        <v>2.7142857142857144</v>
      </c>
      <c r="E297" s="379">
        <f t="shared" si="30"/>
        <v>0.17907444668008043</v>
      </c>
      <c r="F297" s="415">
        <f t="shared" si="31"/>
        <v>7.0634920634920606E-2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3.1633986928104574</v>
      </c>
      <c r="D298" s="379">
        <f>IF(LN_IE4=0,0,LN_IE11/LN_IE4)</f>
        <v>3.5</v>
      </c>
      <c r="E298" s="379">
        <f t="shared" si="30"/>
        <v>0.33660130718954262</v>
      </c>
      <c r="F298" s="415">
        <f t="shared" si="31"/>
        <v>0.106404958677686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4.5</v>
      </c>
      <c r="D299" s="379">
        <f>IF(LN_IG3=0,0,LN_IG6/LN_IG3)</f>
        <v>2.2857142857142856</v>
      </c>
      <c r="E299" s="379">
        <f t="shared" si="30"/>
        <v>-2.2142857142857144</v>
      </c>
      <c r="F299" s="415">
        <f t="shared" si="31"/>
        <v>-0.49206349206349209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4.3137697516930027</v>
      </c>
      <c r="D300" s="379">
        <f>IF(LN_IIA4=0,0,LN_IIA14/LN_IIA4)</f>
        <v>4.3349496456546062</v>
      </c>
      <c r="E300" s="379">
        <f t="shared" si="30"/>
        <v>2.1179893961603469E-2</v>
      </c>
      <c r="F300" s="415">
        <f t="shared" si="31"/>
        <v>4.9098341313397881E-3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114452317</v>
      </c>
      <c r="D304" s="353">
        <f>LN_IIA11</f>
        <v>121087947</v>
      </c>
      <c r="E304" s="353">
        <f t="shared" ref="E304:E316" si="32">D304-C304</f>
        <v>6635630</v>
      </c>
      <c r="F304" s="362">
        <f>IF(C304=0,0,E304/C304)</f>
        <v>5.7977244794441336E-2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39925414</v>
      </c>
      <c r="D305" s="353">
        <f>LN_IIB14</f>
        <v>45831351</v>
      </c>
      <c r="E305" s="353">
        <f t="shared" si="32"/>
        <v>5905937</v>
      </c>
      <c r="F305" s="362">
        <f>IF(C305=0,0,E305/C305)</f>
        <v>0.14792425195641051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3383870</v>
      </c>
      <c r="D306" s="353">
        <f>LN_IH6</f>
        <v>2515418</v>
      </c>
      <c r="E306" s="353">
        <f t="shared" si="32"/>
        <v>-868452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21570720</v>
      </c>
      <c r="D307" s="353">
        <f>LN_IB32-LN_IB33</f>
        <v>23219443</v>
      </c>
      <c r="E307" s="353">
        <f t="shared" si="32"/>
        <v>1648723</v>
      </c>
      <c r="F307" s="362">
        <f t="shared" ref="F307:F316" si="33">IF(C307=0,0,E307/C307)</f>
        <v>7.643337820897958E-2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866283</v>
      </c>
      <c r="D308" s="353">
        <v>1025987</v>
      </c>
      <c r="E308" s="353">
        <f t="shared" si="32"/>
        <v>159704</v>
      </c>
      <c r="F308" s="362">
        <f t="shared" si="33"/>
        <v>0.18435545889738111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65746287</v>
      </c>
      <c r="D309" s="353">
        <f>LN_III2+LN_III3+LN_III4+LN_III5</f>
        <v>72592199</v>
      </c>
      <c r="E309" s="353">
        <f t="shared" si="32"/>
        <v>6845912</v>
      </c>
      <c r="F309" s="362">
        <f t="shared" si="33"/>
        <v>0.1041262147625158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48706030</v>
      </c>
      <c r="D310" s="353">
        <f>LN_III1-LN_III6</f>
        <v>48495748</v>
      </c>
      <c r="E310" s="353">
        <f t="shared" si="32"/>
        <v>-210282</v>
      </c>
      <c r="F310" s="362">
        <f t="shared" si="33"/>
        <v>-4.3173709702884842E-3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185269</v>
      </c>
      <c r="D311" s="353">
        <f>LN_IH3</f>
        <v>251652</v>
      </c>
      <c r="E311" s="353">
        <f t="shared" si="32"/>
        <v>66383</v>
      </c>
      <c r="F311" s="362">
        <f t="shared" si="33"/>
        <v>0.35830603069050948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48891299</v>
      </c>
      <c r="D312" s="353">
        <f>LN_III7+LN_III8</f>
        <v>48747400</v>
      </c>
      <c r="E312" s="353">
        <f t="shared" si="32"/>
        <v>-143899</v>
      </c>
      <c r="F312" s="362">
        <f t="shared" si="33"/>
        <v>-2.9432435411462475E-3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0.42717614008635579</v>
      </c>
      <c r="D313" s="448">
        <f>IF(LN_III1=0,0,LN_III9/LN_III1)</f>
        <v>0.40257846637700445</v>
      </c>
      <c r="E313" s="448">
        <f t="shared" si="32"/>
        <v>-2.4597673709351342E-2</v>
      </c>
      <c r="F313" s="362">
        <f t="shared" si="33"/>
        <v>-5.758204028993473E-2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1445508.5251540167</v>
      </c>
      <c r="D314" s="353">
        <f>D313*LN_III5</f>
        <v>1012653.1207371118</v>
      </c>
      <c r="E314" s="353">
        <f t="shared" si="32"/>
        <v>-432855.4044169049</v>
      </c>
      <c r="F314" s="362">
        <f t="shared" si="33"/>
        <v>-0.29944853100799584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1382077.1920758933</v>
      </c>
      <c r="D315" s="353">
        <f>D313*LN_IH8-LN_IH9</f>
        <v>1337513.7657852187</v>
      </c>
      <c r="E315" s="353">
        <f t="shared" si="32"/>
        <v>-44563.426290674601</v>
      </c>
      <c r="F315" s="362">
        <f t="shared" si="33"/>
        <v>-3.2243804142183911E-2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2827585.7172299102</v>
      </c>
      <c r="D318" s="353">
        <f>D314+D315+D316</f>
        <v>2350166.8865223303</v>
      </c>
      <c r="E318" s="353">
        <f>D318-C318</f>
        <v>-477418.83070757985</v>
      </c>
      <c r="F318" s="362">
        <f>IF(C318=0,0,E318/C318)</f>
        <v>-0.16884327424573742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677969.24761649373</v>
      </c>
      <c r="D322" s="353">
        <f>LN_ID22</f>
        <v>802123.1181104373</v>
      </c>
      <c r="E322" s="353">
        <f>LN_IV2-C322</f>
        <v>124153.87049394357</v>
      </c>
      <c r="F322" s="362">
        <f>IF(C322=0,0,E322/C322)</f>
        <v>0.18312610923050832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1506522.7986728738</v>
      </c>
      <c r="D323" s="353">
        <f>LN_IE10+LN_IE22</f>
        <v>946254.21126509737</v>
      </c>
      <c r="E323" s="353">
        <f>LN_IV3-C323</f>
        <v>-560268.58740777639</v>
      </c>
      <c r="F323" s="362">
        <f>IF(C323=0,0,E323/C323)</f>
        <v>-0.37189519328969217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736675.19891090528</v>
      </c>
      <c r="D324" s="353">
        <f>LN_IC10+LN_IC22</f>
        <v>483383.38760720554</v>
      </c>
      <c r="E324" s="353">
        <f>LN_IV1-C324</f>
        <v>-253291.81130369974</v>
      </c>
      <c r="F324" s="362">
        <f>IF(C324=0,0,E324/C324)</f>
        <v>-0.34383105563776861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2921167.2452002726</v>
      </c>
      <c r="D325" s="429">
        <f>LN_IV1+LN_IV2+LN_IV3</f>
        <v>2231760.71698274</v>
      </c>
      <c r="E325" s="353">
        <f>LN_IV4-C325</f>
        <v>-689406.52821753267</v>
      </c>
      <c r="F325" s="362">
        <f>IF(C325=0,0,E325/C325)</f>
        <v>-0.23600378559299762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1649950</v>
      </c>
      <c r="D329" s="431">
        <v>1806458</v>
      </c>
      <c r="E329" s="431">
        <f t="shared" ref="E329:E335" si="34">D329-C329</f>
        <v>156508</v>
      </c>
      <c r="F329" s="462">
        <f t="shared" ref="F329:F335" si="35">IF(C329=0,0,E329/C329)</f>
        <v>9.4856207763871631E-2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2961992</v>
      </c>
      <c r="D330" s="429">
        <v>1748130</v>
      </c>
      <c r="E330" s="431">
        <f t="shared" si="34"/>
        <v>-1213862</v>
      </c>
      <c r="F330" s="463">
        <f t="shared" si="35"/>
        <v>-0.40981272062854995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51853289</v>
      </c>
      <c r="D331" s="429">
        <v>50495530</v>
      </c>
      <c r="E331" s="431">
        <f t="shared" si="34"/>
        <v>-1357759</v>
      </c>
      <c r="F331" s="462">
        <f t="shared" si="35"/>
        <v>-2.6184626398529899E-2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114452317</v>
      </c>
      <c r="D333" s="429">
        <v>121087948</v>
      </c>
      <c r="E333" s="431">
        <f t="shared" si="34"/>
        <v>6635631</v>
      </c>
      <c r="F333" s="462">
        <f t="shared" si="35"/>
        <v>5.7977253531704388E-2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3383870</v>
      </c>
      <c r="D335" s="429">
        <v>2515418</v>
      </c>
      <c r="E335" s="429">
        <f t="shared" si="34"/>
        <v>-868452</v>
      </c>
      <c r="F335" s="462">
        <f t="shared" si="35"/>
        <v>-0.256644611051843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14751232</v>
      </c>
      <c r="D14" s="513">
        <v>13888946</v>
      </c>
      <c r="E14" s="514">
        <f t="shared" ref="E14:E22" si="0">D14-C14</f>
        <v>-862286</v>
      </c>
    </row>
    <row r="15" spans="1:5" s="506" customFormat="1" x14ac:dyDescent="0.2">
      <c r="A15" s="512">
        <v>2</v>
      </c>
      <c r="B15" s="511" t="s">
        <v>600</v>
      </c>
      <c r="C15" s="513">
        <v>30497030</v>
      </c>
      <c r="D15" s="515">
        <v>31529133</v>
      </c>
      <c r="E15" s="514">
        <f t="shared" si="0"/>
        <v>1032103</v>
      </c>
    </row>
    <row r="16" spans="1:5" s="506" customFormat="1" x14ac:dyDescent="0.2">
      <c r="A16" s="512">
        <v>3</v>
      </c>
      <c r="B16" s="511" t="s">
        <v>746</v>
      </c>
      <c r="C16" s="513">
        <v>3158073</v>
      </c>
      <c r="D16" s="515">
        <v>4529001</v>
      </c>
      <c r="E16" s="514">
        <f t="shared" si="0"/>
        <v>1370928</v>
      </c>
    </row>
    <row r="17" spans="1:5" s="506" customFormat="1" x14ac:dyDescent="0.2">
      <c r="A17" s="512">
        <v>4</v>
      </c>
      <c r="B17" s="511" t="s">
        <v>114</v>
      </c>
      <c r="C17" s="513">
        <v>1298721</v>
      </c>
      <c r="D17" s="515">
        <v>2015194</v>
      </c>
      <c r="E17" s="514">
        <f t="shared" si="0"/>
        <v>716473</v>
      </c>
    </row>
    <row r="18" spans="1:5" s="506" customFormat="1" x14ac:dyDescent="0.2">
      <c r="A18" s="512">
        <v>5</v>
      </c>
      <c r="B18" s="511" t="s">
        <v>713</v>
      </c>
      <c r="C18" s="513">
        <v>1859352</v>
      </c>
      <c r="D18" s="515">
        <v>2513807</v>
      </c>
      <c r="E18" s="514">
        <f t="shared" si="0"/>
        <v>654455</v>
      </c>
    </row>
    <row r="19" spans="1:5" s="506" customFormat="1" x14ac:dyDescent="0.2">
      <c r="A19" s="512">
        <v>6</v>
      </c>
      <c r="B19" s="511" t="s">
        <v>418</v>
      </c>
      <c r="C19" s="513">
        <v>93627</v>
      </c>
      <c r="D19" s="515">
        <v>56762</v>
      </c>
      <c r="E19" s="514">
        <f t="shared" si="0"/>
        <v>-36865</v>
      </c>
    </row>
    <row r="20" spans="1:5" s="506" customFormat="1" x14ac:dyDescent="0.2">
      <c r="A20" s="512">
        <v>7</v>
      </c>
      <c r="B20" s="511" t="s">
        <v>728</v>
      </c>
      <c r="C20" s="513">
        <v>850966</v>
      </c>
      <c r="D20" s="515">
        <v>1035642</v>
      </c>
      <c r="E20" s="514">
        <f t="shared" si="0"/>
        <v>184676</v>
      </c>
    </row>
    <row r="21" spans="1:5" s="506" customFormat="1" x14ac:dyDescent="0.2">
      <c r="A21" s="512"/>
      <c r="B21" s="516" t="s">
        <v>747</v>
      </c>
      <c r="C21" s="517">
        <f>SUM(C15+C16+C19)</f>
        <v>33748730</v>
      </c>
      <c r="D21" s="517">
        <f>SUM(D15+D16+D19)</f>
        <v>36114896</v>
      </c>
      <c r="E21" s="517">
        <f t="shared" si="0"/>
        <v>2366166</v>
      </c>
    </row>
    <row r="22" spans="1:5" s="506" customFormat="1" x14ac:dyDescent="0.2">
      <c r="A22" s="512"/>
      <c r="B22" s="516" t="s">
        <v>687</v>
      </c>
      <c r="C22" s="517">
        <f>SUM(C14+C21)</f>
        <v>48499962</v>
      </c>
      <c r="D22" s="517">
        <f>SUM(D14+D21)</f>
        <v>50003842</v>
      </c>
      <c r="E22" s="517">
        <f t="shared" si="0"/>
        <v>1503880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36344225</v>
      </c>
      <c r="D25" s="513">
        <v>37387778</v>
      </c>
      <c r="E25" s="514">
        <f t="shared" ref="E25:E33" si="1">D25-C25</f>
        <v>1043553</v>
      </c>
    </row>
    <row r="26" spans="1:5" s="506" customFormat="1" x14ac:dyDescent="0.2">
      <c r="A26" s="512">
        <v>2</v>
      </c>
      <c r="B26" s="511" t="s">
        <v>600</v>
      </c>
      <c r="C26" s="513">
        <v>24865075</v>
      </c>
      <c r="D26" s="515">
        <v>28028963</v>
      </c>
      <c r="E26" s="514">
        <f t="shared" si="1"/>
        <v>3163888</v>
      </c>
    </row>
    <row r="27" spans="1:5" s="506" customFormat="1" x14ac:dyDescent="0.2">
      <c r="A27" s="512">
        <v>3</v>
      </c>
      <c r="B27" s="511" t="s">
        <v>746</v>
      </c>
      <c r="C27" s="513">
        <v>4678264</v>
      </c>
      <c r="D27" s="515">
        <v>5608950</v>
      </c>
      <c r="E27" s="514">
        <f t="shared" si="1"/>
        <v>930686</v>
      </c>
    </row>
    <row r="28" spans="1:5" s="506" customFormat="1" x14ac:dyDescent="0.2">
      <c r="A28" s="512">
        <v>4</v>
      </c>
      <c r="B28" s="511" t="s">
        <v>114</v>
      </c>
      <c r="C28" s="513">
        <v>1961827</v>
      </c>
      <c r="D28" s="515">
        <v>2820836</v>
      </c>
      <c r="E28" s="514">
        <f t="shared" si="1"/>
        <v>859009</v>
      </c>
    </row>
    <row r="29" spans="1:5" s="506" customFormat="1" x14ac:dyDescent="0.2">
      <c r="A29" s="512">
        <v>5</v>
      </c>
      <c r="B29" s="511" t="s">
        <v>713</v>
      </c>
      <c r="C29" s="513">
        <v>2716437</v>
      </c>
      <c r="D29" s="515">
        <v>2788114</v>
      </c>
      <c r="E29" s="514">
        <f t="shared" si="1"/>
        <v>71677</v>
      </c>
    </row>
    <row r="30" spans="1:5" s="506" customFormat="1" x14ac:dyDescent="0.2">
      <c r="A30" s="512">
        <v>6</v>
      </c>
      <c r="B30" s="511" t="s">
        <v>418</v>
      </c>
      <c r="C30" s="513">
        <v>64791</v>
      </c>
      <c r="D30" s="515">
        <v>58414</v>
      </c>
      <c r="E30" s="514">
        <f t="shared" si="1"/>
        <v>-6377</v>
      </c>
    </row>
    <row r="31" spans="1:5" s="506" customFormat="1" x14ac:dyDescent="0.2">
      <c r="A31" s="512">
        <v>7</v>
      </c>
      <c r="B31" s="511" t="s">
        <v>728</v>
      </c>
      <c r="C31" s="514">
        <v>1991028</v>
      </c>
      <c r="D31" s="518">
        <v>2361759</v>
      </c>
      <c r="E31" s="514">
        <f t="shared" si="1"/>
        <v>370731</v>
      </c>
    </row>
    <row r="32" spans="1:5" s="506" customFormat="1" x14ac:dyDescent="0.2">
      <c r="A32" s="512"/>
      <c r="B32" s="516" t="s">
        <v>749</v>
      </c>
      <c r="C32" s="517">
        <f>SUM(C26+C27+C30)</f>
        <v>29608130</v>
      </c>
      <c r="D32" s="517">
        <f>SUM(D26+D27+D30)</f>
        <v>33696327</v>
      </c>
      <c r="E32" s="517">
        <f t="shared" si="1"/>
        <v>4088197</v>
      </c>
    </row>
    <row r="33" spans="1:5" s="506" customFormat="1" x14ac:dyDescent="0.2">
      <c r="A33" s="512"/>
      <c r="B33" s="516" t="s">
        <v>693</v>
      </c>
      <c r="C33" s="517">
        <f>SUM(C25+C32)</f>
        <v>65952355</v>
      </c>
      <c r="D33" s="517">
        <f>SUM(D25+D32)</f>
        <v>71084105</v>
      </c>
      <c r="E33" s="517">
        <f t="shared" si="1"/>
        <v>5131750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51095457</v>
      </c>
      <c r="D36" s="514">
        <f t="shared" si="2"/>
        <v>51276724</v>
      </c>
      <c r="E36" s="514">
        <f t="shared" ref="E36:E44" si="3">D36-C36</f>
        <v>181267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55362105</v>
      </c>
      <c r="D37" s="514">
        <f t="shared" si="2"/>
        <v>59558096</v>
      </c>
      <c r="E37" s="514">
        <f t="shared" si="3"/>
        <v>4195991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7836337</v>
      </c>
      <c r="D38" s="514">
        <f t="shared" si="2"/>
        <v>10137951</v>
      </c>
      <c r="E38" s="514">
        <f t="shared" si="3"/>
        <v>2301614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3260548</v>
      </c>
      <c r="D39" s="514">
        <f t="shared" si="2"/>
        <v>4836030</v>
      </c>
      <c r="E39" s="514">
        <f t="shared" si="3"/>
        <v>1575482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4575789</v>
      </c>
      <c r="D40" s="514">
        <f t="shared" si="2"/>
        <v>5301921</v>
      </c>
      <c r="E40" s="514">
        <f t="shared" si="3"/>
        <v>726132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158418</v>
      </c>
      <c r="D41" s="514">
        <f t="shared" si="2"/>
        <v>115176</v>
      </c>
      <c r="E41" s="514">
        <f t="shared" si="3"/>
        <v>-43242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2841994</v>
      </c>
      <c r="D42" s="514">
        <f t="shared" si="2"/>
        <v>3397401</v>
      </c>
      <c r="E42" s="514">
        <f t="shared" si="3"/>
        <v>555407</v>
      </c>
    </row>
    <row r="43" spans="1:5" s="506" customFormat="1" x14ac:dyDescent="0.2">
      <c r="A43" s="512"/>
      <c r="B43" s="516" t="s">
        <v>757</v>
      </c>
      <c r="C43" s="517">
        <f>SUM(C37+C38+C41)</f>
        <v>63356860</v>
      </c>
      <c r="D43" s="517">
        <f>SUM(D37+D38+D41)</f>
        <v>69811223</v>
      </c>
      <c r="E43" s="517">
        <f t="shared" si="3"/>
        <v>6454363</v>
      </c>
    </row>
    <row r="44" spans="1:5" s="506" customFormat="1" x14ac:dyDescent="0.2">
      <c r="A44" s="512"/>
      <c r="B44" s="516" t="s">
        <v>695</v>
      </c>
      <c r="C44" s="517">
        <f>SUM(C36+C43)</f>
        <v>114452317</v>
      </c>
      <c r="D44" s="517">
        <f>SUM(D36+D43)</f>
        <v>121087947</v>
      </c>
      <c r="E44" s="517">
        <f t="shared" si="3"/>
        <v>6635630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6924284</v>
      </c>
      <c r="D47" s="513">
        <v>6039862</v>
      </c>
      <c r="E47" s="514">
        <f t="shared" ref="E47:E55" si="4">D47-C47</f>
        <v>-884422</v>
      </c>
    </row>
    <row r="48" spans="1:5" s="506" customFormat="1" x14ac:dyDescent="0.2">
      <c r="A48" s="512">
        <v>2</v>
      </c>
      <c r="B48" s="511" t="s">
        <v>600</v>
      </c>
      <c r="C48" s="513">
        <v>14932749</v>
      </c>
      <c r="D48" s="515">
        <v>14533658</v>
      </c>
      <c r="E48" s="514">
        <f t="shared" si="4"/>
        <v>-399091</v>
      </c>
    </row>
    <row r="49" spans="1:5" s="506" customFormat="1" x14ac:dyDescent="0.2">
      <c r="A49" s="512">
        <v>3</v>
      </c>
      <c r="B49" s="511" t="s">
        <v>746</v>
      </c>
      <c r="C49" s="513">
        <v>918739</v>
      </c>
      <c r="D49" s="515">
        <v>1564743</v>
      </c>
      <c r="E49" s="514">
        <f t="shared" si="4"/>
        <v>646004</v>
      </c>
    </row>
    <row r="50" spans="1:5" s="506" customFormat="1" x14ac:dyDescent="0.2">
      <c r="A50" s="512">
        <v>4</v>
      </c>
      <c r="B50" s="511" t="s">
        <v>114</v>
      </c>
      <c r="C50" s="513">
        <v>362892</v>
      </c>
      <c r="D50" s="515">
        <v>750725</v>
      </c>
      <c r="E50" s="514">
        <f t="shared" si="4"/>
        <v>387833</v>
      </c>
    </row>
    <row r="51" spans="1:5" s="506" customFormat="1" x14ac:dyDescent="0.2">
      <c r="A51" s="512">
        <v>5</v>
      </c>
      <c r="B51" s="511" t="s">
        <v>713</v>
      </c>
      <c r="C51" s="513">
        <v>555847</v>
      </c>
      <c r="D51" s="515">
        <v>814018</v>
      </c>
      <c r="E51" s="514">
        <f t="shared" si="4"/>
        <v>258171</v>
      </c>
    </row>
    <row r="52" spans="1:5" s="506" customFormat="1" x14ac:dyDescent="0.2">
      <c r="A52" s="512">
        <v>6</v>
      </c>
      <c r="B52" s="511" t="s">
        <v>418</v>
      </c>
      <c r="C52" s="513">
        <v>93215</v>
      </c>
      <c r="D52" s="515">
        <v>47179</v>
      </c>
      <c r="E52" s="514">
        <f t="shared" si="4"/>
        <v>-46036</v>
      </c>
    </row>
    <row r="53" spans="1:5" s="506" customFormat="1" x14ac:dyDescent="0.2">
      <c r="A53" s="512">
        <v>7</v>
      </c>
      <c r="B53" s="511" t="s">
        <v>728</v>
      </c>
      <c r="C53" s="513">
        <v>83830</v>
      </c>
      <c r="D53" s="515">
        <v>92627</v>
      </c>
      <c r="E53" s="514">
        <f t="shared" si="4"/>
        <v>8797</v>
      </c>
    </row>
    <row r="54" spans="1:5" s="506" customFormat="1" x14ac:dyDescent="0.2">
      <c r="A54" s="512"/>
      <c r="B54" s="516" t="s">
        <v>759</v>
      </c>
      <c r="C54" s="517">
        <f>SUM(C48+C49+C52)</f>
        <v>15944703</v>
      </c>
      <c r="D54" s="517">
        <f>SUM(D48+D49+D52)</f>
        <v>16145580</v>
      </c>
      <c r="E54" s="517">
        <f t="shared" si="4"/>
        <v>200877</v>
      </c>
    </row>
    <row r="55" spans="1:5" s="506" customFormat="1" x14ac:dyDescent="0.2">
      <c r="A55" s="512"/>
      <c r="B55" s="516" t="s">
        <v>688</v>
      </c>
      <c r="C55" s="517">
        <f>SUM(C47+C54)</f>
        <v>22868987</v>
      </c>
      <c r="D55" s="517">
        <f>SUM(D47+D54)</f>
        <v>22185442</v>
      </c>
      <c r="E55" s="517">
        <f t="shared" si="4"/>
        <v>-683545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18350298</v>
      </c>
      <c r="D58" s="513">
        <v>18476015</v>
      </c>
      <c r="E58" s="514">
        <f t="shared" ref="E58:E66" si="5">D58-C58</f>
        <v>125717</v>
      </c>
    </row>
    <row r="59" spans="1:5" s="506" customFormat="1" x14ac:dyDescent="0.2">
      <c r="A59" s="512">
        <v>2</v>
      </c>
      <c r="B59" s="511" t="s">
        <v>600</v>
      </c>
      <c r="C59" s="513">
        <v>6411237</v>
      </c>
      <c r="D59" s="515">
        <v>6631214</v>
      </c>
      <c r="E59" s="514">
        <f t="shared" si="5"/>
        <v>219977</v>
      </c>
    </row>
    <row r="60" spans="1:5" s="506" customFormat="1" x14ac:dyDescent="0.2">
      <c r="A60" s="512">
        <v>3</v>
      </c>
      <c r="B60" s="511" t="s">
        <v>746</v>
      </c>
      <c r="C60" s="513">
        <f>C61+C62</f>
        <v>1046680</v>
      </c>
      <c r="D60" s="515">
        <f>D61+D62</f>
        <v>1179064</v>
      </c>
      <c r="E60" s="514">
        <f t="shared" si="5"/>
        <v>132384</v>
      </c>
    </row>
    <row r="61" spans="1:5" s="506" customFormat="1" x14ac:dyDescent="0.2">
      <c r="A61" s="512">
        <v>4</v>
      </c>
      <c r="B61" s="511" t="s">
        <v>114</v>
      </c>
      <c r="C61" s="513">
        <v>458634</v>
      </c>
      <c r="D61" s="515">
        <v>729848</v>
      </c>
      <c r="E61" s="514">
        <f t="shared" si="5"/>
        <v>271214</v>
      </c>
    </row>
    <row r="62" spans="1:5" s="506" customFormat="1" x14ac:dyDescent="0.2">
      <c r="A62" s="512">
        <v>5</v>
      </c>
      <c r="B62" s="511" t="s">
        <v>713</v>
      </c>
      <c r="C62" s="513">
        <v>588046</v>
      </c>
      <c r="D62" s="515">
        <v>449216</v>
      </c>
      <c r="E62" s="514">
        <f t="shared" si="5"/>
        <v>-138830</v>
      </c>
    </row>
    <row r="63" spans="1:5" s="506" customFormat="1" x14ac:dyDescent="0.2">
      <c r="A63" s="512">
        <v>6</v>
      </c>
      <c r="B63" s="511" t="s">
        <v>418</v>
      </c>
      <c r="C63" s="513">
        <v>28826</v>
      </c>
      <c r="D63" s="515">
        <v>24014</v>
      </c>
      <c r="E63" s="514">
        <f t="shared" si="5"/>
        <v>-4812</v>
      </c>
    </row>
    <row r="64" spans="1:5" s="506" customFormat="1" x14ac:dyDescent="0.2">
      <c r="A64" s="512">
        <v>7</v>
      </c>
      <c r="B64" s="511" t="s">
        <v>728</v>
      </c>
      <c r="C64" s="513">
        <v>606321</v>
      </c>
      <c r="D64" s="515">
        <v>623982</v>
      </c>
      <c r="E64" s="514">
        <f t="shared" si="5"/>
        <v>17661</v>
      </c>
    </row>
    <row r="65" spans="1:5" s="506" customFormat="1" x14ac:dyDescent="0.2">
      <c r="A65" s="512"/>
      <c r="B65" s="516" t="s">
        <v>761</v>
      </c>
      <c r="C65" s="517">
        <f>SUM(C59+C60+C63)</f>
        <v>7486743</v>
      </c>
      <c r="D65" s="517">
        <f>SUM(D59+D60+D63)</f>
        <v>7834292</v>
      </c>
      <c r="E65" s="517">
        <f t="shared" si="5"/>
        <v>347549</v>
      </c>
    </row>
    <row r="66" spans="1:5" s="506" customFormat="1" x14ac:dyDescent="0.2">
      <c r="A66" s="512"/>
      <c r="B66" s="516" t="s">
        <v>694</v>
      </c>
      <c r="C66" s="517">
        <f>SUM(C58+C65)</f>
        <v>25837041</v>
      </c>
      <c r="D66" s="517">
        <f>SUM(D58+D65)</f>
        <v>26310307</v>
      </c>
      <c r="E66" s="517">
        <f t="shared" si="5"/>
        <v>473266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25274582</v>
      </c>
      <c r="D69" s="514">
        <f t="shared" si="6"/>
        <v>24515877</v>
      </c>
      <c r="E69" s="514">
        <f t="shared" ref="E69:E77" si="7">D69-C69</f>
        <v>-758705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21343986</v>
      </c>
      <c r="D70" s="514">
        <f t="shared" si="6"/>
        <v>21164872</v>
      </c>
      <c r="E70" s="514">
        <f t="shared" si="7"/>
        <v>-179114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1965419</v>
      </c>
      <c r="D71" s="514">
        <f t="shared" si="6"/>
        <v>2743807</v>
      </c>
      <c r="E71" s="514">
        <f t="shared" si="7"/>
        <v>778388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821526</v>
      </c>
      <c r="D72" s="514">
        <f t="shared" si="6"/>
        <v>1480573</v>
      </c>
      <c r="E72" s="514">
        <f t="shared" si="7"/>
        <v>659047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1143893</v>
      </c>
      <c r="D73" s="514">
        <f t="shared" si="6"/>
        <v>1263234</v>
      </c>
      <c r="E73" s="514">
        <f t="shared" si="7"/>
        <v>119341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122041</v>
      </c>
      <c r="D74" s="514">
        <f t="shared" si="6"/>
        <v>71193</v>
      </c>
      <c r="E74" s="514">
        <f t="shared" si="7"/>
        <v>-50848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690151</v>
      </c>
      <c r="D75" s="514">
        <f t="shared" si="6"/>
        <v>716609</v>
      </c>
      <c r="E75" s="514">
        <f t="shared" si="7"/>
        <v>26458</v>
      </c>
    </row>
    <row r="76" spans="1:5" s="506" customFormat="1" x14ac:dyDescent="0.2">
      <c r="A76" s="512"/>
      <c r="B76" s="516" t="s">
        <v>762</v>
      </c>
      <c r="C76" s="517">
        <f>SUM(C70+C71+C74)</f>
        <v>23431446</v>
      </c>
      <c r="D76" s="517">
        <f>SUM(D70+D71+D74)</f>
        <v>23979872</v>
      </c>
      <c r="E76" s="517">
        <f t="shared" si="7"/>
        <v>548426</v>
      </c>
    </row>
    <row r="77" spans="1:5" s="506" customFormat="1" x14ac:dyDescent="0.2">
      <c r="A77" s="512"/>
      <c r="B77" s="516" t="s">
        <v>696</v>
      </c>
      <c r="C77" s="517">
        <f>SUM(C69+C76)</f>
        <v>48706028</v>
      </c>
      <c r="D77" s="517">
        <f>SUM(D69+D76)</f>
        <v>48495749</v>
      </c>
      <c r="E77" s="517">
        <f t="shared" si="7"/>
        <v>-210279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0.12888539425549594</v>
      </c>
      <c r="D83" s="523">
        <f t="shared" si="8"/>
        <v>0.11470130879335166</v>
      </c>
      <c r="E83" s="523">
        <f t="shared" ref="E83:E91" si="9">D83-C83</f>
        <v>-1.418408546214428E-2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0.26646057327087574</v>
      </c>
      <c r="D84" s="523">
        <f t="shared" si="8"/>
        <v>0.26038209236465126</v>
      </c>
      <c r="E84" s="523">
        <f t="shared" si="9"/>
        <v>-6.0784809062244816E-3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2.7592914523521618E-2</v>
      </c>
      <c r="D85" s="523">
        <f t="shared" si="8"/>
        <v>3.7402574840912944E-2</v>
      </c>
      <c r="E85" s="523">
        <f t="shared" si="9"/>
        <v>9.8096603173913263E-3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1.1347267002030198E-2</v>
      </c>
      <c r="D86" s="523">
        <f t="shared" si="8"/>
        <v>1.6642399594073553E-2</v>
      </c>
      <c r="E86" s="523">
        <f t="shared" si="9"/>
        <v>5.2951325920433546E-3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1.6245647521491418E-2</v>
      </c>
      <c r="D87" s="523">
        <f t="shared" si="8"/>
        <v>2.0760175246839391E-2</v>
      </c>
      <c r="E87" s="523">
        <f t="shared" si="9"/>
        <v>4.5145277253479735E-3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8.1804372732794913E-4</v>
      </c>
      <c r="D88" s="523">
        <f t="shared" si="8"/>
        <v>4.6876672209167109E-4</v>
      </c>
      <c r="E88" s="523">
        <f t="shared" si="9"/>
        <v>-3.4927700523627804E-4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7.4351137862940777E-3</v>
      </c>
      <c r="D89" s="523">
        <f t="shared" si="8"/>
        <v>8.5528083154304373E-3</v>
      </c>
      <c r="E89" s="523">
        <f t="shared" si="9"/>
        <v>1.1176945291363595E-3</v>
      </c>
    </row>
    <row r="90" spans="1:5" s="506" customFormat="1" x14ac:dyDescent="0.2">
      <c r="A90" s="512"/>
      <c r="B90" s="516" t="s">
        <v>765</v>
      </c>
      <c r="C90" s="524">
        <f>SUM(C84+C85+C88)</f>
        <v>0.29487153152172535</v>
      </c>
      <c r="D90" s="524">
        <f>SUM(D84+D85+D88)</f>
        <v>0.29825343392765585</v>
      </c>
      <c r="E90" s="525">
        <f t="shared" si="9"/>
        <v>3.3819024059305036E-3</v>
      </c>
    </row>
    <row r="91" spans="1:5" s="506" customFormat="1" x14ac:dyDescent="0.2">
      <c r="A91" s="512"/>
      <c r="B91" s="516" t="s">
        <v>766</v>
      </c>
      <c r="C91" s="524">
        <f>SUM(C83+C90)</f>
        <v>0.42375692577722129</v>
      </c>
      <c r="D91" s="524">
        <f>SUM(D83+D90)</f>
        <v>0.41295474272100752</v>
      </c>
      <c r="E91" s="525">
        <f t="shared" si="9"/>
        <v>-1.0802183056213777E-2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0.31754905407463269</v>
      </c>
      <c r="D95" s="523">
        <f t="shared" si="10"/>
        <v>0.30876547935856902</v>
      </c>
      <c r="E95" s="523">
        <f t="shared" ref="E95:E103" si="11">D95-C95</f>
        <v>-8.783574716063669E-3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0.21725270096541602</v>
      </c>
      <c r="D96" s="523">
        <f t="shared" si="10"/>
        <v>0.2314760774662403</v>
      </c>
      <c r="E96" s="523">
        <f t="shared" si="11"/>
        <v>1.4223376500824281E-2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4.0875223172633542E-2</v>
      </c>
      <c r="D97" s="523">
        <f t="shared" si="10"/>
        <v>4.6321290755718239E-2</v>
      </c>
      <c r="E97" s="523">
        <f t="shared" si="11"/>
        <v>5.4460675830846975E-3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1.7140998552261724E-2</v>
      </c>
      <c r="D98" s="523">
        <f t="shared" si="10"/>
        <v>2.3295762046407476E-2</v>
      </c>
      <c r="E98" s="523">
        <f t="shared" si="11"/>
        <v>6.1547634941457527E-3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2.3734224620371818E-2</v>
      </c>
      <c r="D99" s="523">
        <f t="shared" si="10"/>
        <v>2.3025528709310763E-2</v>
      </c>
      <c r="E99" s="523">
        <f t="shared" si="11"/>
        <v>-7.0869591106105523E-4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5.6609601009650163E-4</v>
      </c>
      <c r="D100" s="523">
        <f t="shared" si="10"/>
        <v>4.8240969846486867E-4</v>
      </c>
      <c r="E100" s="523">
        <f t="shared" si="11"/>
        <v>-8.3686311631632959E-5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1.7396135370505432E-2</v>
      </c>
      <c r="D101" s="523">
        <f t="shared" si="10"/>
        <v>1.9504492879047656E-2</v>
      </c>
      <c r="E101" s="523">
        <f t="shared" si="11"/>
        <v>2.1083575085422239E-3</v>
      </c>
    </row>
    <row r="102" spans="1:5" s="506" customFormat="1" x14ac:dyDescent="0.2">
      <c r="A102" s="512"/>
      <c r="B102" s="516" t="s">
        <v>768</v>
      </c>
      <c r="C102" s="524">
        <f>SUM(C96+C97+C100)</f>
        <v>0.25869402014814608</v>
      </c>
      <c r="D102" s="524">
        <f>SUM(D96+D97+D100)</f>
        <v>0.27827977792042341</v>
      </c>
      <c r="E102" s="525">
        <f t="shared" si="11"/>
        <v>1.9585757772277335E-2</v>
      </c>
    </row>
    <row r="103" spans="1:5" s="506" customFormat="1" x14ac:dyDescent="0.2">
      <c r="A103" s="512"/>
      <c r="B103" s="516" t="s">
        <v>769</v>
      </c>
      <c r="C103" s="524">
        <f>SUM(C95+C102)</f>
        <v>0.57624307422277876</v>
      </c>
      <c r="D103" s="524">
        <f>SUM(D95+D102)</f>
        <v>0.58704525727899237</v>
      </c>
      <c r="E103" s="525">
        <f t="shared" si="11"/>
        <v>1.080218305621361E-2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0.99999999999999989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0.1421648260868244</v>
      </c>
      <c r="D109" s="523">
        <f t="shared" si="12"/>
        <v>0.12454415334424467</v>
      </c>
      <c r="E109" s="523">
        <f t="shared" ref="E109:E117" si="13">D109-C109</f>
        <v>-1.7620672742579738E-2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0.30658934044057135</v>
      </c>
      <c r="D110" s="523">
        <f t="shared" si="12"/>
        <v>0.29968931916073716</v>
      </c>
      <c r="E110" s="523">
        <f t="shared" si="13"/>
        <v>-6.9000212798341898E-3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1.8862942385694026E-2</v>
      </c>
      <c r="D111" s="523">
        <f t="shared" si="12"/>
        <v>3.2265570328648803E-2</v>
      </c>
      <c r="E111" s="523">
        <f t="shared" si="13"/>
        <v>1.3402627942954777E-2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7.4506588794306938E-3</v>
      </c>
      <c r="D112" s="523">
        <f t="shared" si="12"/>
        <v>1.54802228129315E-2</v>
      </c>
      <c r="E112" s="523">
        <f t="shared" si="13"/>
        <v>8.0295639335008061E-3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1.1412283506263332E-2</v>
      </c>
      <c r="D113" s="523">
        <f t="shared" si="12"/>
        <v>1.6785347515717305E-2</v>
      </c>
      <c r="E113" s="523">
        <f t="shared" si="13"/>
        <v>5.3730640094539726E-3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1.9138288180674473E-3</v>
      </c>
      <c r="D114" s="523">
        <f t="shared" si="12"/>
        <v>9.728481562373642E-4</v>
      </c>
      <c r="E114" s="523">
        <f t="shared" si="13"/>
        <v>-9.4098066183008315E-4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1.7211421961979736E-3</v>
      </c>
      <c r="D115" s="523">
        <f t="shared" si="12"/>
        <v>1.910002462277673E-3</v>
      </c>
      <c r="E115" s="523">
        <f t="shared" si="13"/>
        <v>1.888602660796994E-4</v>
      </c>
    </row>
    <row r="116" spans="1:5" s="506" customFormat="1" x14ac:dyDescent="0.2">
      <c r="A116" s="512"/>
      <c r="B116" s="516" t="s">
        <v>765</v>
      </c>
      <c r="C116" s="524">
        <f>SUM(C110+C111+C114)</f>
        <v>0.32736611164433282</v>
      </c>
      <c r="D116" s="524">
        <f>SUM(D110+D111+D114)</f>
        <v>0.33292773764562333</v>
      </c>
      <c r="E116" s="525">
        <f t="shared" si="13"/>
        <v>5.5616260012905094E-3</v>
      </c>
    </row>
    <row r="117" spans="1:5" s="506" customFormat="1" x14ac:dyDescent="0.2">
      <c r="A117" s="512"/>
      <c r="B117" s="516" t="s">
        <v>766</v>
      </c>
      <c r="C117" s="524">
        <f>SUM(C109+C116)</f>
        <v>0.46953093773115723</v>
      </c>
      <c r="D117" s="524">
        <f>SUM(D109+D116)</f>
        <v>0.45747189098986801</v>
      </c>
      <c r="E117" s="525">
        <f t="shared" si="13"/>
        <v>-1.2059046741289214E-2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0.37675619945851468</v>
      </c>
      <c r="D121" s="523">
        <f t="shared" si="14"/>
        <v>0.38098215577616917</v>
      </c>
      <c r="E121" s="523">
        <f t="shared" ref="E121:E129" si="15">D121-C121</f>
        <v>4.225956317654489E-3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0.13163128391418</v>
      </c>
      <c r="D122" s="523">
        <f t="shared" si="14"/>
        <v>0.13673804687499516</v>
      </c>
      <c r="E122" s="523">
        <f t="shared" si="15"/>
        <v>5.1067629608151643E-3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2.1489742501687881E-2</v>
      </c>
      <c r="D123" s="523">
        <f t="shared" si="14"/>
        <v>2.4312728936303263E-2</v>
      </c>
      <c r="E123" s="523">
        <f t="shared" si="15"/>
        <v>2.8229864346153814E-3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9.4163703925928838E-3</v>
      </c>
      <c r="D124" s="523">
        <f t="shared" si="14"/>
        <v>1.5049731472339978E-2</v>
      </c>
      <c r="E124" s="523">
        <f t="shared" si="15"/>
        <v>5.6333610797470943E-3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1.2073372109094998E-2</v>
      </c>
      <c r="D125" s="523">
        <f t="shared" si="14"/>
        <v>9.2629974639632847E-3</v>
      </c>
      <c r="E125" s="523">
        <f t="shared" si="15"/>
        <v>-2.8103746451317128E-3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5.9183639446025037E-4</v>
      </c>
      <c r="D126" s="523">
        <f t="shared" si="14"/>
        <v>4.9517742266440713E-4</v>
      </c>
      <c r="E126" s="523">
        <f t="shared" si="15"/>
        <v>-9.6658971795843241E-5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1.2448582339746529E-2</v>
      </c>
      <c r="D127" s="523">
        <f t="shared" si="14"/>
        <v>1.2866736010201637E-2</v>
      </c>
      <c r="E127" s="523">
        <f t="shared" si="15"/>
        <v>4.1815367045510733E-4</v>
      </c>
    </row>
    <row r="128" spans="1:5" s="506" customFormat="1" x14ac:dyDescent="0.2">
      <c r="A128" s="512"/>
      <c r="B128" s="516" t="s">
        <v>768</v>
      </c>
      <c r="C128" s="524">
        <f>SUM(C122+C123+C126)</f>
        <v>0.15371286281032814</v>
      </c>
      <c r="D128" s="524">
        <f>SUM(D122+D123+D126)</f>
        <v>0.16154595323396284</v>
      </c>
      <c r="E128" s="525">
        <f t="shared" si="15"/>
        <v>7.8330904236346977E-3</v>
      </c>
    </row>
    <row r="129" spans="1:5" s="506" customFormat="1" x14ac:dyDescent="0.2">
      <c r="A129" s="512"/>
      <c r="B129" s="516" t="s">
        <v>769</v>
      </c>
      <c r="C129" s="524">
        <f>SUM(C121+C128)</f>
        <v>0.53046906226884283</v>
      </c>
      <c r="D129" s="524">
        <f>SUM(D121+D128)</f>
        <v>0.54252810901013204</v>
      </c>
      <c r="E129" s="525">
        <f t="shared" si="15"/>
        <v>1.2059046741289214E-2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877</v>
      </c>
      <c r="D137" s="530">
        <v>808</v>
      </c>
      <c r="E137" s="531">
        <f t="shared" ref="E137:E145" si="16">D137-C137</f>
        <v>-69</v>
      </c>
    </row>
    <row r="138" spans="1:5" s="506" customFormat="1" x14ac:dyDescent="0.2">
      <c r="A138" s="512">
        <v>2</v>
      </c>
      <c r="B138" s="511" t="s">
        <v>600</v>
      </c>
      <c r="C138" s="530">
        <v>1484</v>
      </c>
      <c r="D138" s="530">
        <v>1479</v>
      </c>
      <c r="E138" s="531">
        <f t="shared" si="16"/>
        <v>-5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295</v>
      </c>
      <c r="D139" s="530">
        <f>D140+D141</f>
        <v>387</v>
      </c>
      <c r="E139" s="531">
        <f t="shared" si="16"/>
        <v>92</v>
      </c>
    </row>
    <row r="140" spans="1:5" s="506" customFormat="1" x14ac:dyDescent="0.2">
      <c r="A140" s="512">
        <v>4</v>
      </c>
      <c r="B140" s="511" t="s">
        <v>114</v>
      </c>
      <c r="C140" s="530">
        <v>142</v>
      </c>
      <c r="D140" s="530">
        <v>217</v>
      </c>
      <c r="E140" s="531">
        <f t="shared" si="16"/>
        <v>75</v>
      </c>
    </row>
    <row r="141" spans="1:5" s="506" customFormat="1" x14ac:dyDescent="0.2">
      <c r="A141" s="512">
        <v>5</v>
      </c>
      <c r="B141" s="511" t="s">
        <v>713</v>
      </c>
      <c r="C141" s="530">
        <v>153</v>
      </c>
      <c r="D141" s="530">
        <v>170</v>
      </c>
      <c r="E141" s="531">
        <f t="shared" si="16"/>
        <v>17</v>
      </c>
    </row>
    <row r="142" spans="1:5" s="506" customFormat="1" x14ac:dyDescent="0.2">
      <c r="A142" s="512">
        <v>6</v>
      </c>
      <c r="B142" s="511" t="s">
        <v>418</v>
      </c>
      <c r="C142" s="530">
        <v>2</v>
      </c>
      <c r="D142" s="530">
        <v>7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728</v>
      </c>
      <c r="C143" s="530">
        <v>72</v>
      </c>
      <c r="D143" s="530">
        <v>65</v>
      </c>
      <c r="E143" s="531">
        <f t="shared" si="16"/>
        <v>-7</v>
      </c>
    </row>
    <row r="144" spans="1:5" s="506" customFormat="1" x14ac:dyDescent="0.2">
      <c r="A144" s="512"/>
      <c r="B144" s="516" t="s">
        <v>776</v>
      </c>
      <c r="C144" s="532">
        <f>SUM(C138+C139+C142)</f>
        <v>1781</v>
      </c>
      <c r="D144" s="532">
        <f>SUM(D138+D139+D142)</f>
        <v>1873</v>
      </c>
      <c r="E144" s="533">
        <f t="shared" si="16"/>
        <v>92</v>
      </c>
    </row>
    <row r="145" spans="1:5" s="506" customFormat="1" x14ac:dyDescent="0.2">
      <c r="A145" s="512"/>
      <c r="B145" s="516" t="s">
        <v>690</v>
      </c>
      <c r="C145" s="532">
        <f>SUM(C137+C144)</f>
        <v>2658</v>
      </c>
      <c r="D145" s="532">
        <f>SUM(D137+D144)</f>
        <v>2681</v>
      </c>
      <c r="E145" s="533">
        <f t="shared" si="16"/>
        <v>23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2612</v>
      </c>
      <c r="D149" s="534">
        <v>2277</v>
      </c>
      <c r="E149" s="531">
        <f t="shared" ref="E149:E157" si="17">D149-C149</f>
        <v>-335</v>
      </c>
    </row>
    <row r="150" spans="1:5" s="506" customFormat="1" x14ac:dyDescent="0.2">
      <c r="A150" s="512">
        <v>2</v>
      </c>
      <c r="B150" s="511" t="s">
        <v>600</v>
      </c>
      <c r="C150" s="534">
        <v>8001</v>
      </c>
      <c r="D150" s="534">
        <v>8145</v>
      </c>
      <c r="E150" s="531">
        <f t="shared" si="17"/>
        <v>144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844</v>
      </c>
      <c r="D151" s="534">
        <f>D152+D153</f>
        <v>1184</v>
      </c>
      <c r="E151" s="531">
        <f t="shared" si="17"/>
        <v>340</v>
      </c>
    </row>
    <row r="152" spans="1:5" s="506" customFormat="1" x14ac:dyDescent="0.2">
      <c r="A152" s="512">
        <v>4</v>
      </c>
      <c r="B152" s="511" t="s">
        <v>114</v>
      </c>
      <c r="C152" s="534">
        <v>360</v>
      </c>
      <c r="D152" s="534">
        <v>589</v>
      </c>
      <c r="E152" s="531">
        <f t="shared" si="17"/>
        <v>229</v>
      </c>
    </row>
    <row r="153" spans="1:5" s="506" customFormat="1" x14ac:dyDescent="0.2">
      <c r="A153" s="512">
        <v>5</v>
      </c>
      <c r="B153" s="511" t="s">
        <v>713</v>
      </c>
      <c r="C153" s="535">
        <v>484</v>
      </c>
      <c r="D153" s="534">
        <v>595</v>
      </c>
      <c r="E153" s="531">
        <f t="shared" si="17"/>
        <v>111</v>
      </c>
    </row>
    <row r="154" spans="1:5" s="506" customFormat="1" x14ac:dyDescent="0.2">
      <c r="A154" s="512">
        <v>6</v>
      </c>
      <c r="B154" s="511" t="s">
        <v>418</v>
      </c>
      <c r="C154" s="534">
        <v>9</v>
      </c>
      <c r="D154" s="534">
        <v>16</v>
      </c>
      <c r="E154" s="531">
        <f t="shared" si="17"/>
        <v>7</v>
      </c>
    </row>
    <row r="155" spans="1:5" s="506" customFormat="1" x14ac:dyDescent="0.2">
      <c r="A155" s="512">
        <v>7</v>
      </c>
      <c r="B155" s="511" t="s">
        <v>728</v>
      </c>
      <c r="C155" s="534">
        <v>205</v>
      </c>
      <c r="D155" s="534">
        <v>178</v>
      </c>
      <c r="E155" s="531">
        <f t="shared" si="17"/>
        <v>-27</v>
      </c>
    </row>
    <row r="156" spans="1:5" s="506" customFormat="1" x14ac:dyDescent="0.2">
      <c r="A156" s="512"/>
      <c r="B156" s="516" t="s">
        <v>777</v>
      </c>
      <c r="C156" s="532">
        <f>SUM(C150+C151+C154)</f>
        <v>8854</v>
      </c>
      <c r="D156" s="532">
        <f>SUM(D150+D151+D154)</f>
        <v>9345</v>
      </c>
      <c r="E156" s="533">
        <f t="shared" si="17"/>
        <v>491</v>
      </c>
    </row>
    <row r="157" spans="1:5" s="506" customFormat="1" x14ac:dyDescent="0.2">
      <c r="A157" s="512"/>
      <c r="B157" s="516" t="s">
        <v>778</v>
      </c>
      <c r="C157" s="532">
        <f>SUM(C149+C156)</f>
        <v>11466</v>
      </c>
      <c r="D157" s="532">
        <f>SUM(D149+D156)</f>
        <v>11622</v>
      </c>
      <c r="E157" s="533">
        <f t="shared" si="17"/>
        <v>156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2.9783352337514253</v>
      </c>
      <c r="D161" s="536">
        <f t="shared" si="18"/>
        <v>2.8180693069306932</v>
      </c>
      <c r="E161" s="537">
        <f t="shared" ref="E161:E169" si="19">D161-C161</f>
        <v>-0.16026592682073204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5.3915094339622645</v>
      </c>
      <c r="D162" s="536">
        <f t="shared" si="18"/>
        <v>5.5070993914807298</v>
      </c>
      <c r="E162" s="537">
        <f t="shared" si="19"/>
        <v>0.11558995751846535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2.8610169491525426</v>
      </c>
      <c r="D163" s="536">
        <f t="shared" si="18"/>
        <v>3.0594315245478034</v>
      </c>
      <c r="E163" s="537">
        <f t="shared" si="19"/>
        <v>0.19841457539526086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2.535211267605634</v>
      </c>
      <c r="D164" s="536">
        <f t="shared" si="18"/>
        <v>2.7142857142857144</v>
      </c>
      <c r="E164" s="537">
        <f t="shared" si="19"/>
        <v>0.17907444668008043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3.1633986928104574</v>
      </c>
      <c r="D165" s="536">
        <f t="shared" si="18"/>
        <v>3.5</v>
      </c>
      <c r="E165" s="537">
        <f t="shared" si="19"/>
        <v>0.33660130718954262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4.5</v>
      </c>
      <c r="D166" s="536">
        <f t="shared" si="18"/>
        <v>2.2857142857142856</v>
      </c>
      <c r="E166" s="537">
        <f t="shared" si="19"/>
        <v>-2.2142857142857144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2.8472222222222223</v>
      </c>
      <c r="D167" s="536">
        <f t="shared" si="18"/>
        <v>2.7384615384615385</v>
      </c>
      <c r="E167" s="537">
        <f t="shared" si="19"/>
        <v>-0.10876068376068382</v>
      </c>
    </row>
    <row r="168" spans="1:5" s="506" customFormat="1" x14ac:dyDescent="0.2">
      <c r="A168" s="512"/>
      <c r="B168" s="516" t="s">
        <v>780</v>
      </c>
      <c r="C168" s="538">
        <f t="shared" si="18"/>
        <v>4.9713644020213366</v>
      </c>
      <c r="D168" s="538">
        <f t="shared" si="18"/>
        <v>4.9893219434063001</v>
      </c>
      <c r="E168" s="539">
        <f t="shared" si="19"/>
        <v>1.7957541384963527E-2</v>
      </c>
    </row>
    <row r="169" spans="1:5" s="506" customFormat="1" x14ac:dyDescent="0.2">
      <c r="A169" s="512"/>
      <c r="B169" s="516" t="s">
        <v>714</v>
      </c>
      <c r="C169" s="538">
        <f t="shared" si="18"/>
        <v>4.3137697516930027</v>
      </c>
      <c r="D169" s="538">
        <f t="shared" si="18"/>
        <v>4.3349496456546062</v>
      </c>
      <c r="E169" s="539">
        <f t="shared" si="19"/>
        <v>2.1179893961603469E-2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1.0299</v>
      </c>
      <c r="D173" s="541">
        <f t="shared" si="20"/>
        <v>0.98860000000000003</v>
      </c>
      <c r="E173" s="542">
        <f t="shared" ref="E173:E181" si="21">D173-C173</f>
        <v>-4.1300000000000003E-2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1.1322000000000001</v>
      </c>
      <c r="D174" s="541">
        <f t="shared" si="20"/>
        <v>1.1483000000000001</v>
      </c>
      <c r="E174" s="542">
        <f t="shared" si="21"/>
        <v>1.6100000000000003E-2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0.93407830508474587</v>
      </c>
      <c r="D175" s="541">
        <f t="shared" si="20"/>
        <v>0.85926847545219642</v>
      </c>
      <c r="E175" s="542">
        <f t="shared" si="21"/>
        <v>-7.4809829632549452E-2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0.77890000000000004</v>
      </c>
      <c r="D176" s="541">
        <f t="shared" si="20"/>
        <v>0.85470000000000002</v>
      </c>
      <c r="E176" s="542">
        <f t="shared" si="21"/>
        <v>7.5799999999999979E-2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1.0781000000000001</v>
      </c>
      <c r="D177" s="541">
        <f t="shared" si="20"/>
        <v>0.86510000000000009</v>
      </c>
      <c r="E177" s="542">
        <f t="shared" si="21"/>
        <v>-0.21299999999999997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2.0971000000000002</v>
      </c>
      <c r="D178" s="541">
        <f t="shared" si="20"/>
        <v>0.68889999999999996</v>
      </c>
      <c r="E178" s="542">
        <f t="shared" si="21"/>
        <v>-1.4082000000000003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0.83479999999999999</v>
      </c>
      <c r="D179" s="541">
        <f t="shared" si="20"/>
        <v>0.81330000000000002</v>
      </c>
      <c r="E179" s="542">
        <f t="shared" si="21"/>
        <v>-2.1499999999999964E-2</v>
      </c>
    </row>
    <row r="180" spans="1:5" s="506" customFormat="1" x14ac:dyDescent="0.2">
      <c r="A180" s="512"/>
      <c r="B180" s="516" t="s">
        <v>782</v>
      </c>
      <c r="C180" s="543">
        <f t="shared" si="20"/>
        <v>1.1004672094329029</v>
      </c>
      <c r="D180" s="543">
        <f t="shared" si="20"/>
        <v>1.0868632674853178</v>
      </c>
      <c r="E180" s="544">
        <f t="shared" si="21"/>
        <v>-1.3603941947585074E-2</v>
      </c>
    </row>
    <row r="181" spans="1:5" s="506" customFormat="1" x14ac:dyDescent="0.2">
      <c r="A181" s="512"/>
      <c r="B181" s="516" t="s">
        <v>691</v>
      </c>
      <c r="C181" s="543">
        <f t="shared" si="20"/>
        <v>1.0771837471783297</v>
      </c>
      <c r="D181" s="543">
        <f t="shared" si="20"/>
        <v>1.0572486758672137</v>
      </c>
      <c r="E181" s="544">
        <f t="shared" si="21"/>
        <v>-1.9935071311115937E-2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784</v>
      </c>
      <c r="C185" s="513">
        <v>51095456</v>
      </c>
      <c r="D185" s="513">
        <v>51276724</v>
      </c>
      <c r="E185" s="514">
        <f>D185-C185</f>
        <v>181268</v>
      </c>
    </row>
    <row r="186" spans="1:5" s="506" customFormat="1" ht="25.5" x14ac:dyDescent="0.2">
      <c r="A186" s="512">
        <v>2</v>
      </c>
      <c r="B186" s="511" t="s">
        <v>785</v>
      </c>
      <c r="C186" s="513">
        <v>29524736</v>
      </c>
      <c r="D186" s="513">
        <v>28057281</v>
      </c>
      <c r="E186" s="514">
        <f>D186-C186</f>
        <v>-1467455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21570720</v>
      </c>
      <c r="D188" s="546">
        <f>+D185-D186</f>
        <v>23219443</v>
      </c>
      <c r="E188" s="514">
        <f t="shared" ref="E188:E197" si="22">D188-C188</f>
        <v>1648723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0.4221651334318261</v>
      </c>
      <c r="D189" s="547">
        <f>IF(D185=0,0,+D188/D185)</f>
        <v>0.45282617898912575</v>
      </c>
      <c r="E189" s="523">
        <f t="shared" si="22"/>
        <v>3.0661045557299649E-2</v>
      </c>
    </row>
    <row r="190" spans="1:5" s="506" customFormat="1" x14ac:dyDescent="0.2">
      <c r="A190" s="512">
        <v>5</v>
      </c>
      <c r="B190" s="511" t="s">
        <v>732</v>
      </c>
      <c r="C190" s="513">
        <v>1649950</v>
      </c>
      <c r="D190" s="513">
        <v>1806458</v>
      </c>
      <c r="E190" s="546">
        <f t="shared" si="22"/>
        <v>156508</v>
      </c>
    </row>
    <row r="191" spans="1:5" s="506" customFormat="1" x14ac:dyDescent="0.2">
      <c r="A191" s="512">
        <v>6</v>
      </c>
      <c r="B191" s="511" t="s">
        <v>718</v>
      </c>
      <c r="C191" s="513">
        <v>866283</v>
      </c>
      <c r="D191" s="513">
        <v>1025987</v>
      </c>
      <c r="E191" s="546">
        <f t="shared" si="22"/>
        <v>159704</v>
      </c>
    </row>
    <row r="192" spans="1:5" ht="29.25" x14ac:dyDescent="0.2">
      <c r="A192" s="512">
        <v>7</v>
      </c>
      <c r="B192" s="548" t="s">
        <v>786</v>
      </c>
      <c r="C192" s="513">
        <v>185269</v>
      </c>
      <c r="D192" s="513">
        <v>251652</v>
      </c>
      <c r="E192" s="546">
        <f t="shared" si="22"/>
        <v>66383</v>
      </c>
    </row>
    <row r="193" spans="1:5" s="506" customFormat="1" x14ac:dyDescent="0.2">
      <c r="A193" s="512">
        <v>8</v>
      </c>
      <c r="B193" s="511" t="s">
        <v>787</v>
      </c>
      <c r="C193" s="513">
        <v>430330</v>
      </c>
      <c r="D193" s="513">
        <v>767288</v>
      </c>
      <c r="E193" s="546">
        <f t="shared" si="22"/>
        <v>336958</v>
      </c>
    </row>
    <row r="194" spans="1:5" s="506" customFormat="1" x14ac:dyDescent="0.2">
      <c r="A194" s="512">
        <v>9</v>
      </c>
      <c r="B194" s="511" t="s">
        <v>788</v>
      </c>
      <c r="C194" s="513">
        <v>2953540</v>
      </c>
      <c r="D194" s="513">
        <v>1748130</v>
      </c>
      <c r="E194" s="546">
        <f t="shared" si="22"/>
        <v>-1205410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3383870</v>
      </c>
      <c r="D195" s="513">
        <f>+D193+D194</f>
        <v>2515418</v>
      </c>
      <c r="E195" s="549">
        <f t="shared" si="22"/>
        <v>-868452</v>
      </c>
    </row>
    <row r="196" spans="1:5" s="506" customFormat="1" x14ac:dyDescent="0.2">
      <c r="A196" s="512">
        <v>11</v>
      </c>
      <c r="B196" s="511" t="s">
        <v>790</v>
      </c>
      <c r="C196" s="513">
        <v>51095456</v>
      </c>
      <c r="D196" s="513">
        <v>51276724</v>
      </c>
      <c r="E196" s="546">
        <f t="shared" si="22"/>
        <v>181268</v>
      </c>
    </row>
    <row r="197" spans="1:5" s="506" customFormat="1" x14ac:dyDescent="0.2">
      <c r="A197" s="512">
        <v>12</v>
      </c>
      <c r="B197" s="511" t="s">
        <v>675</v>
      </c>
      <c r="C197" s="513">
        <v>49683361</v>
      </c>
      <c r="D197" s="513">
        <v>48108598</v>
      </c>
      <c r="E197" s="546">
        <f t="shared" si="22"/>
        <v>-1574763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903.22230000000002</v>
      </c>
      <c r="D203" s="553">
        <v>798.78880000000004</v>
      </c>
      <c r="E203" s="554">
        <f t="shared" ref="E203:E211" si="23">D203-C203</f>
        <v>-104.43349999999998</v>
      </c>
    </row>
    <row r="204" spans="1:5" s="506" customFormat="1" x14ac:dyDescent="0.2">
      <c r="A204" s="512">
        <v>2</v>
      </c>
      <c r="B204" s="511" t="s">
        <v>600</v>
      </c>
      <c r="C204" s="553">
        <v>1680.1848000000002</v>
      </c>
      <c r="D204" s="553">
        <v>1698.3357000000001</v>
      </c>
      <c r="E204" s="554">
        <f t="shared" si="23"/>
        <v>18.150899999999865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275.55310000000003</v>
      </c>
      <c r="D205" s="553">
        <f>D206+D207</f>
        <v>332.5369</v>
      </c>
      <c r="E205" s="554">
        <f t="shared" si="23"/>
        <v>56.983799999999974</v>
      </c>
    </row>
    <row r="206" spans="1:5" s="506" customFormat="1" x14ac:dyDescent="0.2">
      <c r="A206" s="512">
        <v>4</v>
      </c>
      <c r="B206" s="511" t="s">
        <v>114</v>
      </c>
      <c r="C206" s="553">
        <v>110.60380000000001</v>
      </c>
      <c r="D206" s="553">
        <v>185.4699</v>
      </c>
      <c r="E206" s="554">
        <f t="shared" si="23"/>
        <v>74.866099999999989</v>
      </c>
    </row>
    <row r="207" spans="1:5" s="506" customFormat="1" x14ac:dyDescent="0.2">
      <c r="A207" s="512">
        <v>5</v>
      </c>
      <c r="B207" s="511" t="s">
        <v>713</v>
      </c>
      <c r="C207" s="553">
        <v>164.94930000000002</v>
      </c>
      <c r="D207" s="553">
        <v>147.06700000000001</v>
      </c>
      <c r="E207" s="554">
        <f t="shared" si="23"/>
        <v>-17.882300000000015</v>
      </c>
    </row>
    <row r="208" spans="1:5" s="506" customFormat="1" x14ac:dyDescent="0.2">
      <c r="A208" s="512">
        <v>6</v>
      </c>
      <c r="B208" s="511" t="s">
        <v>418</v>
      </c>
      <c r="C208" s="553">
        <v>4.1942000000000004</v>
      </c>
      <c r="D208" s="553">
        <v>4.8222999999999994</v>
      </c>
      <c r="E208" s="554">
        <f t="shared" si="23"/>
        <v>0.62809999999999899</v>
      </c>
    </row>
    <row r="209" spans="1:5" s="506" customFormat="1" x14ac:dyDescent="0.2">
      <c r="A209" s="512">
        <v>7</v>
      </c>
      <c r="B209" s="511" t="s">
        <v>728</v>
      </c>
      <c r="C209" s="553">
        <v>60.105599999999995</v>
      </c>
      <c r="D209" s="553">
        <v>52.8645</v>
      </c>
      <c r="E209" s="554">
        <f t="shared" si="23"/>
        <v>-7.2410999999999959</v>
      </c>
    </row>
    <row r="210" spans="1:5" s="506" customFormat="1" x14ac:dyDescent="0.2">
      <c r="A210" s="512"/>
      <c r="B210" s="516" t="s">
        <v>793</v>
      </c>
      <c r="C210" s="555">
        <f>C204+C205+C208</f>
        <v>1959.9321000000002</v>
      </c>
      <c r="D210" s="555">
        <f>D204+D205+D208</f>
        <v>2035.6949000000002</v>
      </c>
      <c r="E210" s="556">
        <f t="shared" si="23"/>
        <v>75.76279999999997</v>
      </c>
    </row>
    <row r="211" spans="1:5" s="506" customFormat="1" x14ac:dyDescent="0.2">
      <c r="A211" s="512"/>
      <c r="B211" s="516" t="s">
        <v>692</v>
      </c>
      <c r="C211" s="555">
        <f>C210+C203</f>
        <v>2863.1544000000004</v>
      </c>
      <c r="D211" s="555">
        <f>D210+D203</f>
        <v>2834.4837000000002</v>
      </c>
      <c r="E211" s="556">
        <f t="shared" si="23"/>
        <v>-28.670700000000124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2160.7608994963948</v>
      </c>
      <c r="D215" s="557">
        <f>IF(D14*D137=0,0,D25/D14*D137)</f>
        <v>2175.0624290712917</v>
      </c>
      <c r="E215" s="557">
        <f t="shared" ref="E215:E223" si="24">D215-C215</f>
        <v>14.301529574896904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1209.9463882220662</v>
      </c>
      <c r="D216" s="557">
        <f>IF(D15*D138=0,0,D26/D15*D138)</f>
        <v>1314.8105365599492</v>
      </c>
      <c r="E216" s="557">
        <f t="shared" si="24"/>
        <v>104.86414833788308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438.02963399721807</v>
      </c>
      <c r="D217" s="557">
        <f>D218+D219</f>
        <v>492.30351945570044</v>
      </c>
      <c r="E217" s="557">
        <f t="shared" si="24"/>
        <v>54.273885458482368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214.50291017085272</v>
      </c>
      <c r="D218" s="557">
        <f t="shared" si="25"/>
        <v>303.75309374680552</v>
      </c>
      <c r="E218" s="557">
        <f t="shared" si="24"/>
        <v>89.250183575952803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223.52672382636533</v>
      </c>
      <c r="D219" s="557">
        <f t="shared" si="25"/>
        <v>188.55042570889492</v>
      </c>
      <c r="E219" s="557">
        <f t="shared" si="24"/>
        <v>-34.976298117470407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1.3840238392771316</v>
      </c>
      <c r="D220" s="557">
        <f t="shared" si="25"/>
        <v>7.2037278460942176</v>
      </c>
      <c r="E220" s="557">
        <f t="shared" si="24"/>
        <v>5.8197040068170862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168.46033331531459</v>
      </c>
      <c r="D221" s="557">
        <f t="shared" si="25"/>
        <v>148.23108274867184</v>
      </c>
      <c r="E221" s="557">
        <f t="shared" si="24"/>
        <v>-20.229250566642747</v>
      </c>
    </row>
    <row r="222" spans="1:5" s="506" customFormat="1" x14ac:dyDescent="0.2">
      <c r="A222" s="512"/>
      <c r="B222" s="516" t="s">
        <v>795</v>
      </c>
      <c r="C222" s="558">
        <f>C216+C218+C219+C220</f>
        <v>1649.3600460585615</v>
      </c>
      <c r="D222" s="558">
        <f>D216+D218+D219+D220</f>
        <v>1814.3177838617437</v>
      </c>
      <c r="E222" s="558">
        <f t="shared" si="24"/>
        <v>164.95773780318223</v>
      </c>
    </row>
    <row r="223" spans="1:5" s="506" customFormat="1" x14ac:dyDescent="0.2">
      <c r="A223" s="512"/>
      <c r="B223" s="516" t="s">
        <v>796</v>
      </c>
      <c r="C223" s="558">
        <f>C215+C222</f>
        <v>3810.1209455549561</v>
      </c>
      <c r="D223" s="558">
        <f>D215+D222</f>
        <v>3989.3802129330352</v>
      </c>
      <c r="E223" s="558">
        <f t="shared" si="24"/>
        <v>179.25926737807913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7666.2013327173163</v>
      </c>
      <c r="D227" s="560">
        <f t="shared" si="26"/>
        <v>7561.2752707599302</v>
      </c>
      <c r="E227" s="560">
        <f t="shared" ref="E227:E235" si="27">D227-C227</f>
        <v>-104.92606195738608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8887.5634394502304</v>
      </c>
      <c r="D228" s="560">
        <f t="shared" si="26"/>
        <v>8557.5884673448236</v>
      </c>
      <c r="E228" s="560">
        <f t="shared" si="27"/>
        <v>-329.97497210540678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3334.16317943801</v>
      </c>
      <c r="D229" s="560">
        <f t="shared" si="26"/>
        <v>4705.4717837328726</v>
      </c>
      <c r="E229" s="560">
        <f t="shared" si="27"/>
        <v>1371.3086042948626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3281.0084282818489</v>
      </c>
      <c r="D230" s="560">
        <f t="shared" si="26"/>
        <v>4047.6918357102691</v>
      </c>
      <c r="E230" s="560">
        <f t="shared" si="27"/>
        <v>766.6834074284202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3369.8051461873433</v>
      </c>
      <c r="D231" s="560">
        <f t="shared" si="26"/>
        <v>5535.0146531852824</v>
      </c>
      <c r="E231" s="560">
        <f t="shared" si="27"/>
        <v>2165.2095069979391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22224.738925182392</v>
      </c>
      <c r="D232" s="560">
        <f t="shared" si="26"/>
        <v>9783.5057959894675</v>
      </c>
      <c r="E232" s="560">
        <f t="shared" si="27"/>
        <v>-12441.233129192924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1394.7119735931428</v>
      </c>
      <c r="D233" s="560">
        <f t="shared" si="26"/>
        <v>1752.1588211370579</v>
      </c>
      <c r="E233" s="560">
        <f t="shared" si="27"/>
        <v>357.44684754391506</v>
      </c>
    </row>
    <row r="234" spans="1:5" x14ac:dyDescent="0.2">
      <c r="A234" s="512"/>
      <c r="B234" s="516" t="s">
        <v>798</v>
      </c>
      <c r="C234" s="561">
        <f t="shared" si="26"/>
        <v>8135.3343822472207</v>
      </c>
      <c r="D234" s="561">
        <f t="shared" si="26"/>
        <v>7931.2376329085455</v>
      </c>
      <c r="E234" s="561">
        <f t="shared" si="27"/>
        <v>-204.09674933867518</v>
      </c>
    </row>
    <row r="235" spans="1:5" s="506" customFormat="1" x14ac:dyDescent="0.2">
      <c r="A235" s="512"/>
      <c r="B235" s="516" t="s">
        <v>799</v>
      </c>
      <c r="C235" s="561">
        <f t="shared" si="26"/>
        <v>7987.3397676353034</v>
      </c>
      <c r="D235" s="561">
        <f t="shared" si="26"/>
        <v>7826.9781547870598</v>
      </c>
      <c r="E235" s="561">
        <f t="shared" si="27"/>
        <v>-160.36161284824357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8492.5166890408254</v>
      </c>
      <c r="D239" s="560">
        <f t="shared" si="28"/>
        <v>8494.4757231124113</v>
      </c>
      <c r="E239" s="562">
        <f t="shared" ref="E239:E247" si="29">D239-C239</f>
        <v>1.9590340715858474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5298.7777495008486</v>
      </c>
      <c r="D240" s="560">
        <f t="shared" si="28"/>
        <v>5043.47494609361</v>
      </c>
      <c r="E240" s="562">
        <f t="shared" si="29"/>
        <v>-255.30280340723857</v>
      </c>
    </row>
    <row r="241" spans="1:5" x14ac:dyDescent="0.2">
      <c r="A241" s="512">
        <v>3</v>
      </c>
      <c r="B241" s="511" t="s">
        <v>746</v>
      </c>
      <c r="C241" s="560">
        <f t="shared" si="28"/>
        <v>2389.518696368948</v>
      </c>
      <c r="D241" s="560">
        <f t="shared" si="28"/>
        <v>2394.9940502225013</v>
      </c>
      <c r="E241" s="562">
        <f t="shared" si="29"/>
        <v>5.4753538535533153</v>
      </c>
    </row>
    <row r="242" spans="1:5" x14ac:dyDescent="0.2">
      <c r="A242" s="512">
        <v>4</v>
      </c>
      <c r="B242" s="511" t="s">
        <v>114</v>
      </c>
      <c r="C242" s="560">
        <f t="shared" si="28"/>
        <v>2138.1248377222273</v>
      </c>
      <c r="D242" s="560">
        <f t="shared" si="28"/>
        <v>2402.7672969427181</v>
      </c>
      <c r="E242" s="562">
        <f t="shared" si="29"/>
        <v>264.64245922049076</v>
      </c>
    </row>
    <row r="243" spans="1:5" x14ac:dyDescent="0.2">
      <c r="A243" s="512">
        <v>5</v>
      </c>
      <c r="B243" s="511" t="s">
        <v>713</v>
      </c>
      <c r="C243" s="560">
        <f t="shared" si="28"/>
        <v>2630.7637401637571</v>
      </c>
      <c r="D243" s="560">
        <f t="shared" si="28"/>
        <v>2382.4714174528012</v>
      </c>
      <c r="E243" s="562">
        <f t="shared" si="29"/>
        <v>-248.29232271095589</v>
      </c>
    </row>
    <row r="244" spans="1:5" x14ac:dyDescent="0.2">
      <c r="A244" s="512">
        <v>6</v>
      </c>
      <c r="B244" s="511" t="s">
        <v>418</v>
      </c>
      <c r="C244" s="560">
        <f t="shared" si="28"/>
        <v>20827.675927212113</v>
      </c>
      <c r="D244" s="560">
        <f t="shared" si="28"/>
        <v>3333.5518099868427</v>
      </c>
      <c r="E244" s="562">
        <f t="shared" si="29"/>
        <v>-17494.12411722527</v>
      </c>
    </row>
    <row r="245" spans="1:5" x14ac:dyDescent="0.2">
      <c r="A245" s="512">
        <v>7</v>
      </c>
      <c r="B245" s="511" t="s">
        <v>728</v>
      </c>
      <c r="C245" s="560">
        <f t="shared" si="28"/>
        <v>3599.1915014505071</v>
      </c>
      <c r="D245" s="560">
        <f t="shared" si="28"/>
        <v>4209.5219735928895</v>
      </c>
      <c r="E245" s="562">
        <f t="shared" si="29"/>
        <v>610.3304721423824</v>
      </c>
    </row>
    <row r="246" spans="1:5" ht="25.5" x14ac:dyDescent="0.2">
      <c r="A246" s="512"/>
      <c r="B246" s="516" t="s">
        <v>801</v>
      </c>
      <c r="C246" s="561">
        <f t="shared" si="28"/>
        <v>4539.1805251320966</v>
      </c>
      <c r="D246" s="561">
        <f t="shared" si="28"/>
        <v>4318.0373745358138</v>
      </c>
      <c r="E246" s="563">
        <f t="shared" si="29"/>
        <v>-221.14315059628279</v>
      </c>
    </row>
    <row r="247" spans="1:5" x14ac:dyDescent="0.2">
      <c r="A247" s="512"/>
      <c r="B247" s="516" t="s">
        <v>802</v>
      </c>
      <c r="C247" s="561">
        <f t="shared" si="28"/>
        <v>6781.1603277692684</v>
      </c>
      <c r="D247" s="561">
        <f t="shared" si="28"/>
        <v>6595.0863531897803</v>
      </c>
      <c r="E247" s="563">
        <f t="shared" si="29"/>
        <v>-186.07397457948809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677969.24761649373</v>
      </c>
      <c r="D251" s="546">
        <f>((IF((IF(D15=0,0,D26/D15)*D138)=0,0,D59/(IF(D15=0,0,D26/D15)*D138)))-(IF((IF(D17=0,0,D28/D17)*D140)=0,0,D61/(IF(D17=0,0,D28/D17)*D140))))*(IF(D17=0,0,D28/D17)*D140)</f>
        <v>802123.1181104373</v>
      </c>
      <c r="E251" s="546">
        <f>D251-C251</f>
        <v>124153.87049394357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1506522.7986728738</v>
      </c>
      <c r="D252" s="546">
        <f>IF(D231=0,0,(D228-D231)*D207)+IF(D243=0,0,(D240-D243)*D219)</f>
        <v>946254.21126509737</v>
      </c>
      <c r="E252" s="546">
        <f>D252-C252</f>
        <v>-560268.58740777639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736675.19891090528</v>
      </c>
      <c r="D253" s="546">
        <f>IF(D233=0,0,(D228-D233)*D209+IF(D221=0,0,(D240-D245)*D221))</f>
        <v>483383.38760720554</v>
      </c>
      <c r="E253" s="546">
        <f>D253-C253</f>
        <v>-253291.81130369974</v>
      </c>
    </row>
    <row r="254" spans="1:5" ht="15" customHeight="1" x14ac:dyDescent="0.2">
      <c r="A254" s="512"/>
      <c r="B254" s="516" t="s">
        <v>729</v>
      </c>
      <c r="C254" s="564">
        <f>+C251+C252+C253</f>
        <v>2921167.2452002726</v>
      </c>
      <c r="D254" s="564">
        <f>+D251+D252+D253</f>
        <v>2231760.7169827404</v>
      </c>
      <c r="E254" s="564">
        <f>D254-C254</f>
        <v>-689406.52821753221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114452317</v>
      </c>
      <c r="D258" s="549">
        <f>+D44</f>
        <v>121087947</v>
      </c>
      <c r="E258" s="546">
        <f t="shared" ref="E258:E271" si="30">D258-C258</f>
        <v>6635630</v>
      </c>
    </row>
    <row r="259" spans="1:5" x14ac:dyDescent="0.2">
      <c r="A259" s="512">
        <v>2</v>
      </c>
      <c r="B259" s="511" t="s">
        <v>712</v>
      </c>
      <c r="C259" s="546">
        <f>+(C43-C76)</f>
        <v>39925414</v>
      </c>
      <c r="D259" s="549">
        <f>+(D43-D76)</f>
        <v>45831351</v>
      </c>
      <c r="E259" s="546">
        <f t="shared" si="30"/>
        <v>5905937</v>
      </c>
    </row>
    <row r="260" spans="1:5" x14ac:dyDescent="0.2">
      <c r="A260" s="512">
        <v>3</v>
      </c>
      <c r="B260" s="511" t="s">
        <v>716</v>
      </c>
      <c r="C260" s="546">
        <f>C195</f>
        <v>3383870</v>
      </c>
      <c r="D260" s="546">
        <f>D195</f>
        <v>2515418</v>
      </c>
      <c r="E260" s="546">
        <f t="shared" si="30"/>
        <v>-868452</v>
      </c>
    </row>
    <row r="261" spans="1:5" x14ac:dyDescent="0.2">
      <c r="A261" s="512">
        <v>4</v>
      </c>
      <c r="B261" s="511" t="s">
        <v>717</v>
      </c>
      <c r="C261" s="546">
        <f>C188</f>
        <v>21570720</v>
      </c>
      <c r="D261" s="546">
        <f>D188</f>
        <v>23219443</v>
      </c>
      <c r="E261" s="546">
        <f t="shared" si="30"/>
        <v>1648723</v>
      </c>
    </row>
    <row r="262" spans="1:5" x14ac:dyDescent="0.2">
      <c r="A262" s="512">
        <v>5</v>
      </c>
      <c r="B262" s="511" t="s">
        <v>718</v>
      </c>
      <c r="C262" s="546">
        <f>C191</f>
        <v>866283</v>
      </c>
      <c r="D262" s="546">
        <f>D191</f>
        <v>1025987</v>
      </c>
      <c r="E262" s="546">
        <f t="shared" si="30"/>
        <v>159704</v>
      </c>
    </row>
    <row r="263" spans="1:5" x14ac:dyDescent="0.2">
      <c r="A263" s="512">
        <v>6</v>
      </c>
      <c r="B263" s="511" t="s">
        <v>719</v>
      </c>
      <c r="C263" s="546">
        <f>+C259+C260+C261+C262</f>
        <v>65746287</v>
      </c>
      <c r="D263" s="546">
        <f>+D259+D260+D261+D262</f>
        <v>72592199</v>
      </c>
      <c r="E263" s="546">
        <f t="shared" si="30"/>
        <v>6845912</v>
      </c>
    </row>
    <row r="264" spans="1:5" x14ac:dyDescent="0.2">
      <c r="A264" s="512">
        <v>7</v>
      </c>
      <c r="B264" s="511" t="s">
        <v>619</v>
      </c>
      <c r="C264" s="546">
        <f>+C258-C263</f>
        <v>48706030</v>
      </c>
      <c r="D264" s="546">
        <f>+D258-D263</f>
        <v>48495748</v>
      </c>
      <c r="E264" s="546">
        <f t="shared" si="30"/>
        <v>-210282</v>
      </c>
    </row>
    <row r="265" spans="1:5" x14ac:dyDescent="0.2">
      <c r="A265" s="512">
        <v>8</v>
      </c>
      <c r="B265" s="511" t="s">
        <v>805</v>
      </c>
      <c r="C265" s="565">
        <f>C192</f>
        <v>185269</v>
      </c>
      <c r="D265" s="565">
        <f>D192</f>
        <v>251652</v>
      </c>
      <c r="E265" s="546">
        <f t="shared" si="30"/>
        <v>66383</v>
      </c>
    </row>
    <row r="266" spans="1:5" x14ac:dyDescent="0.2">
      <c r="A266" s="512">
        <v>9</v>
      </c>
      <c r="B266" s="511" t="s">
        <v>806</v>
      </c>
      <c r="C266" s="546">
        <f>+C264+C265</f>
        <v>48891299</v>
      </c>
      <c r="D266" s="546">
        <f>+D264+D265</f>
        <v>48747400</v>
      </c>
      <c r="E266" s="565">
        <f t="shared" si="30"/>
        <v>-143899</v>
      </c>
    </row>
    <row r="267" spans="1:5" x14ac:dyDescent="0.2">
      <c r="A267" s="512">
        <v>10</v>
      </c>
      <c r="B267" s="511" t="s">
        <v>807</v>
      </c>
      <c r="C267" s="566">
        <f>IF(C258=0,0,C266/C258)</f>
        <v>0.42717614008635579</v>
      </c>
      <c r="D267" s="566">
        <f>IF(D258=0,0,D266/D258)</f>
        <v>0.40257846637700445</v>
      </c>
      <c r="E267" s="567">
        <f t="shared" si="30"/>
        <v>-2.4597673709351342E-2</v>
      </c>
    </row>
    <row r="268" spans="1:5" x14ac:dyDescent="0.2">
      <c r="A268" s="512">
        <v>11</v>
      </c>
      <c r="B268" s="511" t="s">
        <v>681</v>
      </c>
      <c r="C268" s="546">
        <f>+C260*C267</f>
        <v>1445508.5251540167</v>
      </c>
      <c r="D268" s="568">
        <f>+D260*D267</f>
        <v>1012653.1207371118</v>
      </c>
      <c r="E268" s="546">
        <f t="shared" si="30"/>
        <v>-432855.4044169049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1382077.1920758933</v>
      </c>
      <c r="D269" s="568">
        <f>((D17+D18+D28+D29)*D267)-(D50+D51+D61+D62)</f>
        <v>1337513.7657852187</v>
      </c>
      <c r="E269" s="546">
        <f t="shared" si="30"/>
        <v>-44563.426290674601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810</v>
      </c>
      <c r="C271" s="546">
        <f>+C268+C269+C270</f>
        <v>2827585.7172299102</v>
      </c>
      <c r="D271" s="546">
        <f>+D268+D269+D270</f>
        <v>2350166.8865223303</v>
      </c>
      <c r="E271" s="549">
        <f t="shared" si="30"/>
        <v>-477418.83070757985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0.4694037759015654</v>
      </c>
      <c r="D276" s="547">
        <f t="shared" si="31"/>
        <v>0.43486827582164983</v>
      </c>
      <c r="E276" s="574">
        <f t="shared" ref="E276:E284" si="32">D276-C276</f>
        <v>-3.4535500079915571E-2</v>
      </c>
    </row>
    <row r="277" spans="1:5" x14ac:dyDescent="0.2">
      <c r="A277" s="512">
        <v>2</v>
      </c>
      <c r="B277" s="511" t="s">
        <v>600</v>
      </c>
      <c r="C277" s="547">
        <f t="shared" si="31"/>
        <v>0.48964600815226927</v>
      </c>
      <c r="D277" s="547">
        <f t="shared" si="31"/>
        <v>0.46095964643239634</v>
      </c>
      <c r="E277" s="574">
        <f t="shared" si="32"/>
        <v>-2.8686361719872933E-2</v>
      </c>
    </row>
    <row r="278" spans="1:5" x14ac:dyDescent="0.2">
      <c r="A278" s="512">
        <v>3</v>
      </c>
      <c r="B278" s="511" t="s">
        <v>746</v>
      </c>
      <c r="C278" s="547">
        <f t="shared" si="31"/>
        <v>0.29091759436846459</v>
      </c>
      <c r="D278" s="547">
        <f t="shared" si="31"/>
        <v>0.34549407253387665</v>
      </c>
      <c r="E278" s="574">
        <f t="shared" si="32"/>
        <v>5.4576478165412057E-2</v>
      </c>
    </row>
    <row r="279" spans="1:5" x14ac:dyDescent="0.2">
      <c r="A279" s="512">
        <v>4</v>
      </c>
      <c r="B279" s="511" t="s">
        <v>114</v>
      </c>
      <c r="C279" s="547">
        <f t="shared" si="31"/>
        <v>0.27942260115914042</v>
      </c>
      <c r="D279" s="547">
        <f t="shared" si="31"/>
        <v>0.37253237157315872</v>
      </c>
      <c r="E279" s="574">
        <f t="shared" si="32"/>
        <v>9.31097704140183E-2</v>
      </c>
    </row>
    <row r="280" spans="1:5" x14ac:dyDescent="0.2">
      <c r="A280" s="512">
        <v>5</v>
      </c>
      <c r="B280" s="511" t="s">
        <v>713</v>
      </c>
      <c r="C280" s="547">
        <f t="shared" si="31"/>
        <v>0.29894662226410063</v>
      </c>
      <c r="D280" s="547">
        <f t="shared" si="31"/>
        <v>0.32381881345703944</v>
      </c>
      <c r="E280" s="574">
        <f t="shared" si="32"/>
        <v>2.487219119293882E-2</v>
      </c>
    </row>
    <row r="281" spans="1:5" x14ac:dyDescent="0.2">
      <c r="A281" s="512">
        <v>6</v>
      </c>
      <c r="B281" s="511" t="s">
        <v>418</v>
      </c>
      <c r="C281" s="547">
        <f t="shared" si="31"/>
        <v>0.99559955995599558</v>
      </c>
      <c r="D281" s="547">
        <f t="shared" si="31"/>
        <v>0.83117226313378667</v>
      </c>
      <c r="E281" s="574">
        <f t="shared" si="32"/>
        <v>-0.16442729682220891</v>
      </c>
    </row>
    <row r="282" spans="1:5" x14ac:dyDescent="0.2">
      <c r="A282" s="512">
        <v>7</v>
      </c>
      <c r="B282" s="511" t="s">
        <v>728</v>
      </c>
      <c r="C282" s="547">
        <f t="shared" si="31"/>
        <v>9.8511573905420424E-2</v>
      </c>
      <c r="D282" s="547">
        <f t="shared" si="31"/>
        <v>8.9439207757120706E-2</v>
      </c>
      <c r="E282" s="574">
        <f t="shared" si="32"/>
        <v>-9.0723661482997181E-3</v>
      </c>
    </row>
    <row r="283" spans="1:5" ht="29.25" customHeight="1" x14ac:dyDescent="0.2">
      <c r="A283" s="512"/>
      <c r="B283" s="516" t="s">
        <v>814</v>
      </c>
      <c r="C283" s="575">
        <f t="shared" si="31"/>
        <v>0.47245342269175761</v>
      </c>
      <c r="D283" s="575">
        <f t="shared" si="31"/>
        <v>0.44706151168204944</v>
      </c>
      <c r="E283" s="576">
        <f t="shared" si="32"/>
        <v>-2.5391911009708168E-2</v>
      </c>
    </row>
    <row r="284" spans="1:5" x14ac:dyDescent="0.2">
      <c r="A284" s="512"/>
      <c r="B284" s="516" t="s">
        <v>815</v>
      </c>
      <c r="C284" s="575">
        <f t="shared" si="31"/>
        <v>0.47152587459759249</v>
      </c>
      <c r="D284" s="575">
        <f t="shared" si="31"/>
        <v>0.44367474803236118</v>
      </c>
      <c r="E284" s="576">
        <f t="shared" si="32"/>
        <v>-2.785112656523131E-2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0.50490271838235645</v>
      </c>
      <c r="D287" s="547">
        <f t="shared" si="33"/>
        <v>0.49417258763010735</v>
      </c>
      <c r="E287" s="574">
        <f t="shared" ref="E287:E295" si="34">D287-C287</f>
        <v>-1.0730130752249101E-2</v>
      </c>
    </row>
    <row r="288" spans="1:5" x14ac:dyDescent="0.2">
      <c r="A288" s="512">
        <v>2</v>
      </c>
      <c r="B288" s="511" t="s">
        <v>600</v>
      </c>
      <c r="C288" s="547">
        <f t="shared" si="33"/>
        <v>0.25784104813679426</v>
      </c>
      <c r="D288" s="547">
        <f t="shared" si="33"/>
        <v>0.23658435026654392</v>
      </c>
      <c r="E288" s="574">
        <f t="shared" si="34"/>
        <v>-2.1256697870250335E-2</v>
      </c>
    </row>
    <row r="289" spans="1:5" x14ac:dyDescent="0.2">
      <c r="A289" s="512">
        <v>3</v>
      </c>
      <c r="B289" s="511" t="s">
        <v>746</v>
      </c>
      <c r="C289" s="547">
        <f t="shared" si="33"/>
        <v>0.22373256404512443</v>
      </c>
      <c r="D289" s="547">
        <f t="shared" si="33"/>
        <v>0.2102111803456975</v>
      </c>
      <c r="E289" s="574">
        <f t="shared" si="34"/>
        <v>-1.3521383699426931E-2</v>
      </c>
    </row>
    <row r="290" spans="1:5" x14ac:dyDescent="0.2">
      <c r="A290" s="512">
        <v>4</v>
      </c>
      <c r="B290" s="511" t="s">
        <v>114</v>
      </c>
      <c r="C290" s="547">
        <f t="shared" si="33"/>
        <v>0.23377902332876446</v>
      </c>
      <c r="D290" s="547">
        <f t="shared" si="33"/>
        <v>0.25873464462308338</v>
      </c>
      <c r="E290" s="574">
        <f t="shared" si="34"/>
        <v>2.4955621294318914E-2</v>
      </c>
    </row>
    <row r="291" spans="1:5" x14ac:dyDescent="0.2">
      <c r="A291" s="512">
        <v>5</v>
      </c>
      <c r="B291" s="511" t="s">
        <v>713</v>
      </c>
      <c r="C291" s="547">
        <f t="shared" si="33"/>
        <v>0.21647695124164484</v>
      </c>
      <c r="D291" s="547">
        <f t="shared" si="33"/>
        <v>0.16111823261172248</v>
      </c>
      <c r="E291" s="574">
        <f t="shared" si="34"/>
        <v>-5.5358718629922365E-2</v>
      </c>
    </row>
    <row r="292" spans="1:5" x14ac:dyDescent="0.2">
      <c r="A292" s="512">
        <v>6</v>
      </c>
      <c r="B292" s="511" t="s">
        <v>418</v>
      </c>
      <c r="C292" s="547">
        <f t="shared" si="33"/>
        <v>0.44490747171675077</v>
      </c>
      <c r="D292" s="547">
        <f t="shared" si="33"/>
        <v>0.41110007874824528</v>
      </c>
      <c r="E292" s="574">
        <f t="shared" si="34"/>
        <v>-3.380739296850549E-2</v>
      </c>
    </row>
    <row r="293" spans="1:5" x14ac:dyDescent="0.2">
      <c r="A293" s="512">
        <v>7</v>
      </c>
      <c r="B293" s="511" t="s">
        <v>728</v>
      </c>
      <c r="C293" s="547">
        <f t="shared" si="33"/>
        <v>0.30452660635611351</v>
      </c>
      <c r="D293" s="547">
        <f t="shared" si="33"/>
        <v>0.2642022323192163</v>
      </c>
      <c r="E293" s="574">
        <f t="shared" si="34"/>
        <v>-4.0324374036897204E-2</v>
      </c>
    </row>
    <row r="294" spans="1:5" ht="29.25" customHeight="1" x14ac:dyDescent="0.2">
      <c r="A294" s="512"/>
      <c r="B294" s="516" t="s">
        <v>817</v>
      </c>
      <c r="C294" s="575">
        <f t="shared" si="33"/>
        <v>0.25286105539255604</v>
      </c>
      <c r="D294" s="575">
        <f t="shared" si="33"/>
        <v>0.23249691279408582</v>
      </c>
      <c r="E294" s="576">
        <f t="shared" si="34"/>
        <v>-2.036414259847022E-2</v>
      </c>
    </row>
    <row r="295" spans="1:5" x14ac:dyDescent="0.2">
      <c r="A295" s="512"/>
      <c r="B295" s="516" t="s">
        <v>818</v>
      </c>
      <c r="C295" s="575">
        <f t="shared" si="33"/>
        <v>0.3917531223866077</v>
      </c>
      <c r="D295" s="575">
        <f t="shared" si="33"/>
        <v>0.3701292574479203</v>
      </c>
      <c r="E295" s="576">
        <f t="shared" si="34"/>
        <v>-2.1623864938687398E-2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48706028</v>
      </c>
      <c r="D301" s="514">
        <f>+D48+D47+D50+D51+D52+D59+D58+D61+D62+D63</f>
        <v>48495749</v>
      </c>
      <c r="E301" s="514">
        <f>D301-C301</f>
        <v>-210279</v>
      </c>
    </row>
    <row r="302" spans="1:5" ht="25.5" x14ac:dyDescent="0.2">
      <c r="A302" s="512">
        <v>2</v>
      </c>
      <c r="B302" s="511" t="s">
        <v>822</v>
      </c>
      <c r="C302" s="546">
        <f>C265</f>
        <v>185269</v>
      </c>
      <c r="D302" s="546">
        <f>D265</f>
        <v>251652</v>
      </c>
      <c r="E302" s="514">
        <f>D302-C302</f>
        <v>66383</v>
      </c>
    </row>
    <row r="303" spans="1:5" x14ac:dyDescent="0.2">
      <c r="A303" s="512"/>
      <c r="B303" s="516" t="s">
        <v>823</v>
      </c>
      <c r="C303" s="517">
        <f>+C301+C302</f>
        <v>48891297</v>
      </c>
      <c r="D303" s="517">
        <f>+D301+D302</f>
        <v>48747401</v>
      </c>
      <c r="E303" s="517">
        <f>D303-C303</f>
        <v>-143896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2961992</v>
      </c>
      <c r="D305" s="578">
        <v>1748130</v>
      </c>
      <c r="E305" s="579">
        <f>D305-C305</f>
        <v>-1213862</v>
      </c>
    </row>
    <row r="306" spans="1:5" x14ac:dyDescent="0.2">
      <c r="A306" s="512">
        <v>4</v>
      </c>
      <c r="B306" s="516" t="s">
        <v>825</v>
      </c>
      <c r="C306" s="580">
        <f>+C303+C305</f>
        <v>51853289</v>
      </c>
      <c r="D306" s="580">
        <f>+D303+D305</f>
        <v>50495531</v>
      </c>
      <c r="E306" s="580">
        <f>D306-C306</f>
        <v>-1357758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51853289</v>
      </c>
      <c r="D308" s="513">
        <v>50495530</v>
      </c>
      <c r="E308" s="514">
        <f>D308-C308</f>
        <v>-1357759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0</v>
      </c>
      <c r="D310" s="582">
        <f>D306-D308</f>
        <v>1</v>
      </c>
      <c r="E310" s="580">
        <f>D310-C310</f>
        <v>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114452317</v>
      </c>
      <c r="D314" s="514">
        <f>+D14+D15+D16+D19+D25+D26+D27+D30</f>
        <v>121087947</v>
      </c>
      <c r="E314" s="514">
        <f>D314-C314</f>
        <v>6635630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114452317</v>
      </c>
      <c r="D316" s="581">
        <f>D314+D315</f>
        <v>121087947</v>
      </c>
      <c r="E316" s="517">
        <f>D316-C316</f>
        <v>6635630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114452317</v>
      </c>
      <c r="D318" s="513">
        <v>121087948</v>
      </c>
      <c r="E318" s="514">
        <f>D318-C318</f>
        <v>6635631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0</v>
      </c>
      <c r="D320" s="581">
        <f>D316-D318</f>
        <v>-1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3383870</v>
      </c>
      <c r="D324" s="513">
        <f>+D193+D194</f>
        <v>2515418</v>
      </c>
      <c r="E324" s="514">
        <f>D324-C324</f>
        <v>-868452</v>
      </c>
    </row>
    <row r="325" spans="1:5" x14ac:dyDescent="0.2">
      <c r="A325" s="512">
        <v>2</v>
      </c>
      <c r="B325" s="511" t="s">
        <v>835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836</v>
      </c>
      <c r="C326" s="581">
        <f>C324+C325</f>
        <v>3383870</v>
      </c>
      <c r="D326" s="581">
        <f>D324+D325</f>
        <v>2515418</v>
      </c>
      <c r="E326" s="517">
        <f>D326-C326</f>
        <v>-868452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3383870</v>
      </c>
      <c r="D328" s="513">
        <v>2515418</v>
      </c>
      <c r="E328" s="514">
        <f>D328-C328</f>
        <v>-868452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FILING&amp;RESSENT-SHARON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13888946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31529133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4529001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2015194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2513807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56762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1035642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36114896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50003842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37387778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28028963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5608950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2820836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2788114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58414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2361759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33696327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71084105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51276724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69811223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121087947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6039862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14533658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1564743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750725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814018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47179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92627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16145580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22185442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18476015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6631214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1179064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729848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449216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24014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623982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7834292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26310307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24515877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23979872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48495749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808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1479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387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217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170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65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1873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2681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0.98860000000000003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1.1483000000000001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0.85926847545219642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0.85470000000000002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0.86509999999999998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0.68889999999999996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0.81330000000000002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1.0868632674853178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1.0572486758672137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51276724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28057281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23219443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0.45282617898912575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1806458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1025987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251652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767288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1748130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2515418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530398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48108598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48495749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251652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48747401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1748130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50495531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50495530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121087947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121087947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121087948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2515418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2515418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2515418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FILING&amp;RESSENT-SHARON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70</v>
      </c>
      <c r="D12" s="49">
        <v>103</v>
      </c>
      <c r="E12" s="49">
        <f>+D12-C12</f>
        <v>33</v>
      </c>
      <c r="F12" s="70">
        <f>IF(C12=0,0,+E12/C12)</f>
        <v>0.47142857142857142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61</v>
      </c>
      <c r="D13" s="49">
        <v>100</v>
      </c>
      <c r="E13" s="49">
        <f>+D13-C13</f>
        <v>39</v>
      </c>
      <c r="F13" s="70">
        <f>IF(C13=0,0,+E13/C13)</f>
        <v>0.63934426229508201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430330</v>
      </c>
      <c r="D15" s="51">
        <v>767288</v>
      </c>
      <c r="E15" s="51">
        <f>+D15-C15</f>
        <v>336958</v>
      </c>
      <c r="F15" s="70">
        <f>IF(C15=0,0,+E15/C15)</f>
        <v>0.78302233169892876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7054.5901639344265</v>
      </c>
      <c r="D16" s="27">
        <f>IF(D13=0,0,+D15/+D13)</f>
        <v>7672.88</v>
      </c>
      <c r="E16" s="27">
        <f>+D16-C16</f>
        <v>618.28983606557358</v>
      </c>
      <c r="F16" s="28">
        <f>IF(C16=0,0,+E16/C16)</f>
        <v>8.7643622336346497E-2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0.474964</v>
      </c>
      <c r="D18" s="210">
        <v>0.43204500000000001</v>
      </c>
      <c r="E18" s="210">
        <f>+D18-C18</f>
        <v>-4.2918999999999985E-2</v>
      </c>
      <c r="F18" s="70">
        <f>IF(C18=0,0,+E18/C18)</f>
        <v>-9.0362638010459712E-2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204391.25812000001</v>
      </c>
      <c r="D19" s="27">
        <f>+D15*D18</f>
        <v>331502.94396</v>
      </c>
      <c r="E19" s="27">
        <f>+D19-C19</f>
        <v>127111.68583999999</v>
      </c>
      <c r="F19" s="28">
        <f>IF(C19=0,0,+E19/C19)</f>
        <v>0.62190373017505252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3350.6763626229508</v>
      </c>
      <c r="D20" s="27">
        <f>IF(D13=0,0,+D19/D13)</f>
        <v>3315.0294395999999</v>
      </c>
      <c r="E20" s="27">
        <f>+D20-C20</f>
        <v>-35.646923022950887</v>
      </c>
      <c r="F20" s="28">
        <f>IF(C20=0,0,+E20/C20)</f>
        <v>-1.063872459321796E-2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195295</v>
      </c>
      <c r="D22" s="51">
        <v>438193</v>
      </c>
      <c r="E22" s="51">
        <f>+D22-C22</f>
        <v>242898</v>
      </c>
      <c r="F22" s="70">
        <f>IF(C22=0,0,+E22/C22)</f>
        <v>1.2437491999283137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177460</v>
      </c>
      <c r="D23" s="49">
        <v>195123</v>
      </c>
      <c r="E23" s="49">
        <f>+D23-C23</f>
        <v>17663</v>
      </c>
      <c r="F23" s="70">
        <f>IF(C23=0,0,+E23/C23)</f>
        <v>9.9532288966527674E-2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57575</v>
      </c>
      <c r="D24" s="49">
        <v>133972</v>
      </c>
      <c r="E24" s="49">
        <f>+D24-C24</f>
        <v>76397</v>
      </c>
      <c r="F24" s="70">
        <f>IF(C24=0,0,+E24/C24)</f>
        <v>1.3269127225358228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430330</v>
      </c>
      <c r="D25" s="27">
        <f>+D22+D23+D24</f>
        <v>767288</v>
      </c>
      <c r="E25" s="27">
        <f>+E22+E23+E24</f>
        <v>336958</v>
      </c>
      <c r="F25" s="28">
        <f>IF(C25=0,0,+E25/C25)</f>
        <v>0.78302233169892876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58</v>
      </c>
      <c r="D27" s="49">
        <v>152</v>
      </c>
      <c r="E27" s="49">
        <f>+D27-C27</f>
        <v>94</v>
      </c>
      <c r="F27" s="70">
        <f>IF(C27=0,0,+E27/C27)</f>
        <v>1.6206896551724137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23</v>
      </c>
      <c r="D28" s="49">
        <v>45</v>
      </c>
      <c r="E28" s="49">
        <f>+D28-C28</f>
        <v>22</v>
      </c>
      <c r="F28" s="70">
        <f>IF(C28=0,0,+E28/C28)</f>
        <v>0.95652173913043481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147</v>
      </c>
      <c r="D29" s="49">
        <v>224</v>
      </c>
      <c r="E29" s="49">
        <f>+D29-C29</f>
        <v>77</v>
      </c>
      <c r="F29" s="70">
        <f>IF(C29=0,0,+E29/C29)</f>
        <v>0.52380952380952384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199</v>
      </c>
      <c r="D30" s="49">
        <v>281</v>
      </c>
      <c r="E30" s="49">
        <f>+D30-C30</f>
        <v>82</v>
      </c>
      <c r="F30" s="70">
        <f>IF(C30=0,0,+E30/C30)</f>
        <v>0.4120603015075377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800628</v>
      </c>
      <c r="D33" s="51">
        <v>312692</v>
      </c>
      <c r="E33" s="51">
        <f>+D33-C33</f>
        <v>-487936</v>
      </c>
      <c r="F33" s="70">
        <f>IF(C33=0,0,+E33/C33)</f>
        <v>-0.60944158835314277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1073676</v>
      </c>
      <c r="D34" s="49">
        <v>710973</v>
      </c>
      <c r="E34" s="49">
        <f>+D34-C34</f>
        <v>-362703</v>
      </c>
      <c r="F34" s="70">
        <f>IF(C34=0,0,+E34/C34)</f>
        <v>-0.33781420093212478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1079236</v>
      </c>
      <c r="D35" s="49">
        <v>724465</v>
      </c>
      <c r="E35" s="49">
        <f>+D35-C35</f>
        <v>-354771</v>
      </c>
      <c r="F35" s="70">
        <f>IF(C35=0,0,+E35/C35)</f>
        <v>-0.32872420860682927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2953540</v>
      </c>
      <c r="D36" s="27">
        <f>+D33+D34+D35</f>
        <v>1748130</v>
      </c>
      <c r="E36" s="27">
        <f>+E33+E34+E35</f>
        <v>-1205410</v>
      </c>
      <c r="F36" s="28">
        <f>IF(C36=0,0,+E36/C36)</f>
        <v>-0.40812381074913495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430330</v>
      </c>
      <c r="D39" s="51">
        <f>+D25</f>
        <v>767288</v>
      </c>
      <c r="E39" s="51">
        <f>+D39-C39</f>
        <v>336958</v>
      </c>
      <c r="F39" s="70">
        <f>IF(C39=0,0,+E39/C39)</f>
        <v>0.78302233169892876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2953540</v>
      </c>
      <c r="D40" s="49">
        <f>+D36</f>
        <v>1748130</v>
      </c>
      <c r="E40" s="49">
        <f>+D40-C40</f>
        <v>-1205410</v>
      </c>
      <c r="F40" s="70">
        <f>IF(C40=0,0,+E40/C40)</f>
        <v>-0.40812381074913495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3383870</v>
      </c>
      <c r="D41" s="27">
        <f>+D39+D40</f>
        <v>2515418</v>
      </c>
      <c r="E41" s="27">
        <f>+E39+E40</f>
        <v>-868452</v>
      </c>
      <c r="F41" s="28">
        <f>IF(C41=0,0,+E41/C41)</f>
        <v>-0.256644611051843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995923</v>
      </c>
      <c r="D43" s="51">
        <f t="shared" si="0"/>
        <v>750885</v>
      </c>
      <c r="E43" s="51">
        <f>+D43-C43</f>
        <v>-245038</v>
      </c>
      <c r="F43" s="70">
        <f>IF(C43=0,0,+E43/C43)</f>
        <v>-0.24604110960385492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1251136</v>
      </c>
      <c r="D44" s="49">
        <f t="shared" si="0"/>
        <v>906096</v>
      </c>
      <c r="E44" s="49">
        <f>+D44-C44</f>
        <v>-345040</v>
      </c>
      <c r="F44" s="70">
        <f>IF(C44=0,0,+E44/C44)</f>
        <v>-0.27578136989104302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1136811</v>
      </c>
      <c r="D45" s="49">
        <f t="shared" si="0"/>
        <v>858437</v>
      </c>
      <c r="E45" s="49">
        <f>+D45-C45</f>
        <v>-278374</v>
      </c>
      <c r="F45" s="70">
        <f>IF(C45=0,0,+E45/C45)</f>
        <v>-0.24487271850817771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3383870</v>
      </c>
      <c r="D46" s="27">
        <f>+D43+D44+D45</f>
        <v>2515418</v>
      </c>
      <c r="E46" s="27">
        <f>+E43+E44+E45</f>
        <v>-868452</v>
      </c>
      <c r="F46" s="28">
        <f>IF(C46=0,0,+E46/C46)</f>
        <v>-0.256644611051843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51095456</v>
      </c>
      <c r="D15" s="51">
        <v>51276724</v>
      </c>
      <c r="E15" s="51">
        <f>+D15-C15</f>
        <v>181268</v>
      </c>
      <c r="F15" s="70">
        <f>+E15/C15</f>
        <v>3.5476344510948291E-3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21570720</v>
      </c>
      <c r="D17" s="51">
        <v>23219443</v>
      </c>
      <c r="E17" s="51">
        <f>+D17-C17</f>
        <v>1648723</v>
      </c>
      <c r="F17" s="70">
        <f>+E17/C17</f>
        <v>7.643337820897958E-2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29524736</v>
      </c>
      <c r="D19" s="27">
        <f>+D15-D17</f>
        <v>28057281</v>
      </c>
      <c r="E19" s="27">
        <f>+D19-C19</f>
        <v>-1467455</v>
      </c>
      <c r="F19" s="28">
        <f>+E19/C19</f>
        <v>-4.9702561269303135E-2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0.4221651334318261</v>
      </c>
      <c r="D21" s="628">
        <f>+D17/D15</f>
        <v>0.45282617898912575</v>
      </c>
      <c r="E21" s="628">
        <f>+D21-C21</f>
        <v>3.0661045557299649E-2</v>
      </c>
      <c r="F21" s="28">
        <f>+E21/C21</f>
        <v>7.2628085858376532E-2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48163751</v>
      </c>
      <c r="D10" s="641">
        <v>48499962</v>
      </c>
      <c r="E10" s="641">
        <v>50003842</v>
      </c>
    </row>
    <row r="11" spans="1:6" ht="26.1" customHeight="1" x14ac:dyDescent="0.25">
      <c r="A11" s="639">
        <v>2</v>
      </c>
      <c r="B11" s="640" t="s">
        <v>902</v>
      </c>
      <c r="C11" s="641">
        <v>65318006</v>
      </c>
      <c r="D11" s="641">
        <v>65952355</v>
      </c>
      <c r="E11" s="641">
        <v>71084105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113481757</v>
      </c>
      <c r="D12" s="641">
        <f>+D11+D10</f>
        <v>114452317</v>
      </c>
      <c r="E12" s="641">
        <f>+E11+E10</f>
        <v>121087947</v>
      </c>
    </row>
    <row r="13" spans="1:6" ht="26.1" customHeight="1" x14ac:dyDescent="0.25">
      <c r="A13" s="639">
        <v>4</v>
      </c>
      <c r="B13" s="640" t="s">
        <v>484</v>
      </c>
      <c r="C13" s="641">
        <v>54645472</v>
      </c>
      <c r="D13" s="641">
        <v>51853289</v>
      </c>
      <c r="E13" s="641">
        <v>50495530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53643999</v>
      </c>
      <c r="D16" s="641">
        <v>49683361</v>
      </c>
      <c r="E16" s="641">
        <v>48108598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11806</v>
      </c>
      <c r="D19" s="644">
        <v>11466</v>
      </c>
      <c r="E19" s="644">
        <v>11622</v>
      </c>
    </row>
    <row r="20" spans="1:5" ht="26.1" customHeight="1" x14ac:dyDescent="0.25">
      <c r="A20" s="639">
        <v>2</v>
      </c>
      <c r="B20" s="640" t="s">
        <v>373</v>
      </c>
      <c r="C20" s="645">
        <v>2834</v>
      </c>
      <c r="D20" s="645">
        <v>2658</v>
      </c>
      <c r="E20" s="645">
        <v>2681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4.1658433309809455</v>
      </c>
      <c r="D21" s="646">
        <f>IF(D20=0,0,+D19/D20)</f>
        <v>4.3137697516930027</v>
      </c>
      <c r="E21" s="646">
        <f>IF(E20=0,0,+E19/E20)</f>
        <v>4.3349496456546062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27816.887084687405</v>
      </c>
      <c r="D22" s="645">
        <f>IF(D10=0,0,D19*(D12/D10))</f>
        <v>27057.964843807506</v>
      </c>
      <c r="E22" s="645">
        <f>IF(E10=0,0,E19*(E12/E10))</f>
        <v>28143.519852614525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6677.3723528717692</v>
      </c>
      <c r="D23" s="645">
        <f>IF(D10=0,0,D20*(D12/D10))</f>
        <v>6272.4638544252875</v>
      </c>
      <c r="E23" s="645">
        <f>IF(E10=0,0,E20*(E12/E10))</f>
        <v>6492.2368546600883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1.0630756880733945</v>
      </c>
      <c r="D26" s="647">
        <v>1.0771837471783297</v>
      </c>
      <c r="E26" s="647">
        <v>1.0572486758672137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12550.671573394495</v>
      </c>
      <c r="D27" s="645">
        <f>D19*D26</f>
        <v>12350.988845146729</v>
      </c>
      <c r="E27" s="645">
        <f>E19*E26</f>
        <v>12287.344110928758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3012.7565</v>
      </c>
      <c r="D28" s="645">
        <f>D20*D26</f>
        <v>2863.1544000000004</v>
      </c>
      <c r="E28" s="645">
        <f>E20*E26</f>
        <v>2834.4836999999998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29571.456377613984</v>
      </c>
      <c r="D29" s="645">
        <f>D22*D26</f>
        <v>29146.399961472078</v>
      </c>
      <c r="E29" s="645">
        <f>E22*E26</f>
        <v>29754.699098419347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7098.5522085514167</v>
      </c>
      <c r="D30" s="645">
        <f>D23*D26</f>
        <v>6756.5961187504599</v>
      </c>
      <c r="E30" s="645">
        <f>E23*E26</f>
        <v>6863.9088180057024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9612.2104861934604</v>
      </c>
      <c r="D33" s="641">
        <f>IF(D19=0,0,D12/D19)</f>
        <v>9981.8870573870572</v>
      </c>
      <c r="E33" s="641">
        <f>IF(E19=0,0,E12/E19)</f>
        <v>10418.856220960248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40042.962949894143</v>
      </c>
      <c r="D34" s="641">
        <f>IF(D20=0,0,D12/D20)</f>
        <v>43059.562452972161</v>
      </c>
      <c r="E34" s="641">
        <f>IF(E20=0,0,E12/E20)</f>
        <v>45165.217083177922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4079.5994409622222</v>
      </c>
      <c r="D35" s="641">
        <f>IF(D22=0,0,D12/D22)</f>
        <v>4229.8937728937726</v>
      </c>
      <c r="E35" s="641">
        <f>IF(E22=0,0,E12/E22)</f>
        <v>4302.5160901738082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16994.97212420607</v>
      </c>
      <c r="D36" s="641">
        <f>IF(D23=0,0,D12/D23)</f>
        <v>18246.78781038375</v>
      </c>
      <c r="E36" s="641">
        <f>IF(E23=0,0,E12/E23)</f>
        <v>18651.190600522194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3837.5437296996747</v>
      </c>
      <c r="D37" s="641">
        <f>IF(D29=0,0,D12/D29)</f>
        <v>3926.8080157855429</v>
      </c>
      <c r="E37" s="641">
        <f>IF(E29=0,0,E12/E29)</f>
        <v>4069.5402967940795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15986.605953717135</v>
      </c>
      <c r="D38" s="641">
        <f>IF(D30=0,0,D12/D30)</f>
        <v>16939.345639201296</v>
      </c>
      <c r="E38" s="641">
        <f>IF(E30=0,0,E12/E30)</f>
        <v>17641.252267564636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1731.4572566429658</v>
      </c>
      <c r="D39" s="641">
        <f>IF(D22=0,0,D10/D22)</f>
        <v>1792.4467815656769</v>
      </c>
      <c r="E39" s="641">
        <f>IF(E22=0,0,E10/E22)</f>
        <v>1776.7444250707204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7212.9796654646625</v>
      </c>
      <c r="D40" s="641">
        <f>IF(D23=0,0,D10/D23)</f>
        <v>7732.2027078374922</v>
      </c>
      <c r="E40" s="641">
        <f>IF(E23=0,0,E10/E23)</f>
        <v>7702.0976158791163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4628.6186684736576</v>
      </c>
      <c r="D43" s="641">
        <f>IF(D19=0,0,D13/D19)</f>
        <v>4522.3520844235127</v>
      </c>
      <c r="E43" s="641">
        <f>IF(E19=0,0,E13/E19)</f>
        <v>4344.8227499569784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19282.100211714889</v>
      </c>
      <c r="D44" s="641">
        <f>IF(D20=0,0,D13/D20)</f>
        <v>19508.385628291948</v>
      </c>
      <c r="E44" s="641">
        <f>IF(E20=0,0,E13/E20)</f>
        <v>18834.587840358075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1964.471144223796</v>
      </c>
      <c r="D45" s="641">
        <f>IF(D22=0,0,D13/D22)</f>
        <v>1916.3780165775165</v>
      </c>
      <c r="E45" s="641">
        <f>IF(E22=0,0,E13/E22)</f>
        <v>1794.2151608768645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8183.6790150692077</v>
      </c>
      <c r="D46" s="641">
        <f>IF(D23=0,0,D13/D23)</f>
        <v>8266.8135207215219</v>
      </c>
      <c r="E46" s="641">
        <f>IF(E23=0,0,E13/E23)</f>
        <v>7777.8323758712859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1847.9127744742191</v>
      </c>
      <c r="D47" s="641">
        <f>IF(D29=0,0,D13/D29)</f>
        <v>1779.0632485845117</v>
      </c>
      <c r="E47" s="641">
        <f>IF(E29=0,0,E13/E29)</f>
        <v>1697.0606838595945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7698.1151077779223</v>
      </c>
      <c r="D48" s="641">
        <f>IF(D30=0,0,D13/D30)</f>
        <v>7674.4692280925556</v>
      </c>
      <c r="E48" s="641">
        <f>IF(E30=0,0,E13/E30)</f>
        <v>7356.6726101515133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4543.7912078604104</v>
      </c>
      <c r="D51" s="641">
        <f>IF(D19=0,0,D16/D19)</f>
        <v>4333.1031746031749</v>
      </c>
      <c r="E51" s="641">
        <f>IF(E19=0,0,E16/E19)</f>
        <v>4139.4422646704525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18928.722300635145</v>
      </c>
      <c r="D52" s="641">
        <f>IF(D20=0,0,D16/D20)</f>
        <v>18692.009405568097</v>
      </c>
      <c r="E52" s="641">
        <f>IF(E20=0,0,E16/E20)</f>
        <v>17944.273778440882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1928.4688051787743</v>
      </c>
      <c r="D53" s="641">
        <f>IF(D22=0,0,D16/D22)</f>
        <v>1836.1824803453594</v>
      </c>
      <c r="E53" s="641">
        <f>IF(E22=0,0,E16/E22)</f>
        <v>1709.4023154154518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8033.6989110587892</v>
      </c>
      <c r="D54" s="641">
        <f>IF(D23=0,0,D16/D23)</f>
        <v>7920.8684423024424</v>
      </c>
      <c r="E54" s="641">
        <f>IF(E23=0,0,E16/E23)</f>
        <v>7410.1729614913756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1814.0465696038318</v>
      </c>
      <c r="D55" s="641">
        <f>IF(D29=0,0,D16/D29)</f>
        <v>1704.6139854553301</v>
      </c>
      <c r="E55" s="641">
        <f>IF(E29=0,0,E16/E29)</f>
        <v>1616.8403464902008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7557.0338040729848</v>
      </c>
      <c r="D56" s="641">
        <f>IF(D30=0,0,D16/D30)</f>
        <v>7353.3122487700593</v>
      </c>
      <c r="E56" s="641">
        <f>IF(E30=0,0,E16/E30)</f>
        <v>7008.9214870977667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7074932</v>
      </c>
      <c r="D59" s="649">
        <v>6533428</v>
      </c>
      <c r="E59" s="649">
        <v>6653099</v>
      </c>
    </row>
    <row r="60" spans="1:6" ht="26.1" customHeight="1" x14ac:dyDescent="0.25">
      <c r="A60" s="639">
        <v>2</v>
      </c>
      <c r="B60" s="640" t="s">
        <v>938</v>
      </c>
      <c r="C60" s="649">
        <v>1675642</v>
      </c>
      <c r="D60" s="649">
        <v>1425678</v>
      </c>
      <c r="E60" s="649">
        <v>1690804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8750574</v>
      </c>
      <c r="D61" s="652">
        <f>D59+D60</f>
        <v>7959106</v>
      </c>
      <c r="E61" s="652">
        <f>E59+E60</f>
        <v>8343903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557887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132023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689910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9366706</v>
      </c>
      <c r="D69" s="649">
        <v>9011172</v>
      </c>
      <c r="E69" s="649">
        <v>8799573</v>
      </c>
    </row>
    <row r="70" spans="1:6" ht="26.1" customHeight="1" x14ac:dyDescent="0.25">
      <c r="A70" s="639">
        <v>2</v>
      </c>
      <c r="B70" s="640" t="s">
        <v>946</v>
      </c>
      <c r="C70" s="649">
        <v>2217419</v>
      </c>
      <c r="D70" s="649">
        <v>1932907</v>
      </c>
      <c r="E70" s="649">
        <v>2271298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11584125</v>
      </c>
      <c r="D71" s="652">
        <f>D69+D70</f>
        <v>10944079</v>
      </c>
      <c r="E71" s="652">
        <f>E69+E70</f>
        <v>11070871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16999525</v>
      </c>
      <c r="D75" s="641">
        <f t="shared" si="0"/>
        <v>15544600</v>
      </c>
      <c r="E75" s="641">
        <f t="shared" si="0"/>
        <v>15452672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4025084</v>
      </c>
      <c r="D76" s="641">
        <f t="shared" si="0"/>
        <v>3358585</v>
      </c>
      <c r="E76" s="641">
        <f t="shared" si="0"/>
        <v>3962102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21024609</v>
      </c>
      <c r="D77" s="654">
        <f>D75+D76</f>
        <v>18903185</v>
      </c>
      <c r="E77" s="654">
        <f>E75+E76</f>
        <v>19414774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90</v>
      </c>
      <c r="D80" s="646">
        <v>81.3</v>
      </c>
      <c r="E80" s="646">
        <v>93.2</v>
      </c>
    </row>
    <row r="81" spans="1:5" ht="26.1" customHeight="1" x14ac:dyDescent="0.25">
      <c r="A81" s="639">
        <v>2</v>
      </c>
      <c r="B81" s="640" t="s">
        <v>579</v>
      </c>
      <c r="C81" s="646">
        <v>0</v>
      </c>
      <c r="D81" s="646">
        <v>0</v>
      </c>
      <c r="E81" s="646">
        <v>0</v>
      </c>
    </row>
    <row r="82" spans="1:5" ht="26.1" customHeight="1" x14ac:dyDescent="0.25">
      <c r="A82" s="639">
        <v>3</v>
      </c>
      <c r="B82" s="640" t="s">
        <v>952</v>
      </c>
      <c r="C82" s="646">
        <v>193</v>
      </c>
      <c r="D82" s="646">
        <v>174</v>
      </c>
      <c r="E82" s="646">
        <v>163.1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283</v>
      </c>
      <c r="D83" s="656">
        <f>D80+D81+D82</f>
        <v>255.3</v>
      </c>
      <c r="E83" s="656">
        <f>E80+E81+E82</f>
        <v>256.3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78610.35555555555</v>
      </c>
      <c r="D86" s="649">
        <f>IF(D80=0,0,D59/D80)</f>
        <v>80361.968019680193</v>
      </c>
      <c r="E86" s="649">
        <f>IF(E80=0,0,E59/E80)</f>
        <v>71385.182403433471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18618.244444444445</v>
      </c>
      <c r="D87" s="649">
        <f>IF(D80=0,0,D60/D80)</f>
        <v>17536.014760147602</v>
      </c>
      <c r="E87" s="649">
        <f>IF(E80=0,0,E60/E80)</f>
        <v>18141.673819742489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97228.599999999991</v>
      </c>
      <c r="D88" s="652">
        <f>+D86+D87</f>
        <v>97897.982779827798</v>
      </c>
      <c r="E88" s="652">
        <f>+E86+E87</f>
        <v>89526.856223175957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48532.155440414506</v>
      </c>
      <c r="D96" s="649">
        <f>IF(D82=0,0,D69/D82)</f>
        <v>51788.34482758621</v>
      </c>
      <c r="E96" s="649">
        <f>IF(E82=0,0,E69/E82)</f>
        <v>53952.011036174132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11489.21761658031</v>
      </c>
      <c r="D97" s="649">
        <f>IF(D82=0,0,D70/D82)</f>
        <v>11108.660919540231</v>
      </c>
      <c r="E97" s="649">
        <f>IF(E82=0,0,E70/E82)</f>
        <v>13925.800122624158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60021.373056994817</v>
      </c>
      <c r="D98" s="654">
        <f>+D96+D97</f>
        <v>62897.005747126444</v>
      </c>
      <c r="E98" s="654">
        <f>+E96+E97</f>
        <v>67877.811158798286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60068.992932862187</v>
      </c>
      <c r="D101" s="641">
        <f>IF(D83=0,0,D75/D83)</f>
        <v>60887.583235409322</v>
      </c>
      <c r="E101" s="641">
        <f>IF(E83=0,0,E75/E83)</f>
        <v>60291.346078813891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14222.911660777385</v>
      </c>
      <c r="D102" s="658">
        <f>IF(D83=0,0,D76/D83)</f>
        <v>13155.444575009791</v>
      </c>
      <c r="E102" s="658">
        <f>IF(E83=0,0,E76/E83)</f>
        <v>15458.845103394458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74291.904593639571</v>
      </c>
      <c r="D103" s="654">
        <f>+D101+D102</f>
        <v>74043.027810419109</v>
      </c>
      <c r="E103" s="654">
        <f>+E101+E102</f>
        <v>75750.191182208349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1780.8410130442148</v>
      </c>
      <c r="D108" s="641">
        <f>IF(D19=0,0,D77/D19)</f>
        <v>1648.6294261294261</v>
      </c>
      <c r="E108" s="641">
        <f>IF(E19=0,0,E77/E19)</f>
        <v>1670.5191877473756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7418.7046577275933</v>
      </c>
      <c r="D109" s="641">
        <f>IF(D20=0,0,D77/D20)</f>
        <v>7111.8077501881116</v>
      </c>
      <c r="E109" s="641">
        <f>IF(E20=0,0,E77/E20)</f>
        <v>7241.6165609847076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755.8217760309202</v>
      </c>
      <c r="D110" s="641">
        <f>IF(D22=0,0,D77/D22)</f>
        <v>698.61813736247018</v>
      </c>
      <c r="E110" s="641">
        <f>IF(E22=0,0,E77/E22)</f>
        <v>689.84882138672401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3148.6351050885828</v>
      </c>
      <c r="D111" s="641">
        <f>IF(D23=0,0,D77/D23)</f>
        <v>3013.6777889383307</v>
      </c>
      <c r="E111" s="641">
        <f>IF(E23=0,0,E77/E23)</f>
        <v>2990.4599038256274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710.97644740676117</v>
      </c>
      <c r="D112" s="641">
        <f>IF(D29=0,0,D77/D29)</f>
        <v>648.55985730613952</v>
      </c>
      <c r="E112" s="641">
        <f>IF(E29=0,0,E77/E29)</f>
        <v>652.49438200608006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2961.8164919139813</v>
      </c>
      <c r="D113" s="641">
        <f>IF(D30=0,0,D77/D30)</f>
        <v>2797.7378946095546</v>
      </c>
      <c r="E113" s="641">
        <f>IF(E30=0,0,E77/E30)</f>
        <v>2828.530290068878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FILING&amp;R&amp;12ESSENT-SHARON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114452317</v>
      </c>
      <c r="D12" s="51">
        <v>121087948</v>
      </c>
      <c r="E12" s="51">
        <f t="shared" ref="E12:E19" si="0">D12-C12</f>
        <v>6635631</v>
      </c>
      <c r="F12" s="70">
        <f t="shared" ref="F12:F19" si="1">IF(C12=0,0,E12/C12)</f>
        <v>5.7977253531704388E-2</v>
      </c>
    </row>
    <row r="13" spans="1:8" ht="23.1" customHeight="1" x14ac:dyDescent="0.2">
      <c r="A13" s="25">
        <v>2</v>
      </c>
      <c r="B13" s="48" t="s">
        <v>72</v>
      </c>
      <c r="C13" s="51">
        <v>62168698</v>
      </c>
      <c r="D13" s="51">
        <v>69825130</v>
      </c>
      <c r="E13" s="51">
        <f t="shared" si="0"/>
        <v>7656432</v>
      </c>
      <c r="F13" s="70">
        <f t="shared" si="1"/>
        <v>0.12315573988697656</v>
      </c>
    </row>
    <row r="14" spans="1:8" ht="23.1" customHeight="1" x14ac:dyDescent="0.2">
      <c r="A14" s="25">
        <v>3</v>
      </c>
      <c r="B14" s="48" t="s">
        <v>73</v>
      </c>
      <c r="C14" s="51">
        <v>430330</v>
      </c>
      <c r="D14" s="51">
        <v>767288</v>
      </c>
      <c r="E14" s="51">
        <f t="shared" si="0"/>
        <v>336958</v>
      </c>
      <c r="F14" s="70">
        <f t="shared" si="1"/>
        <v>0.78302233169892876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51853289</v>
      </c>
      <c r="D16" s="27">
        <f>D12-D13-D14-D15</f>
        <v>50495530</v>
      </c>
      <c r="E16" s="27">
        <f t="shared" si="0"/>
        <v>-1357759</v>
      </c>
      <c r="F16" s="28">
        <f t="shared" si="1"/>
        <v>-2.6184626398529899E-2</v>
      </c>
    </row>
    <row r="17" spans="1:7" ht="23.1" customHeight="1" x14ac:dyDescent="0.2">
      <c r="A17" s="25">
        <v>5</v>
      </c>
      <c r="B17" s="48" t="s">
        <v>76</v>
      </c>
      <c r="C17" s="51">
        <v>543474</v>
      </c>
      <c r="D17" s="51">
        <v>530398</v>
      </c>
      <c r="E17" s="51">
        <f t="shared" si="0"/>
        <v>-13076</v>
      </c>
      <c r="F17" s="70">
        <f t="shared" si="1"/>
        <v>-2.4060028630624463E-2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52396763</v>
      </c>
      <c r="D19" s="27">
        <f>SUM(D16:D18)</f>
        <v>51025928</v>
      </c>
      <c r="E19" s="27">
        <f t="shared" si="0"/>
        <v>-1370835</v>
      </c>
      <c r="F19" s="28">
        <f t="shared" si="1"/>
        <v>-2.6162589471414484E-2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15544600</v>
      </c>
      <c r="D22" s="51">
        <v>15452672</v>
      </c>
      <c r="E22" s="51">
        <f t="shared" ref="E22:E31" si="2">D22-C22</f>
        <v>-91928</v>
      </c>
      <c r="F22" s="70">
        <f t="shared" ref="F22:F31" si="3">IF(C22=0,0,E22/C22)</f>
        <v>-5.9138221633235977E-3</v>
      </c>
    </row>
    <row r="23" spans="1:7" ht="23.1" customHeight="1" x14ac:dyDescent="0.2">
      <c r="A23" s="25">
        <v>2</v>
      </c>
      <c r="B23" s="48" t="s">
        <v>81</v>
      </c>
      <c r="C23" s="51">
        <v>3358585</v>
      </c>
      <c r="D23" s="51">
        <v>3962102</v>
      </c>
      <c r="E23" s="51">
        <f t="shared" si="2"/>
        <v>603517</v>
      </c>
      <c r="F23" s="70">
        <f t="shared" si="3"/>
        <v>0.17969382939541503</v>
      </c>
    </row>
    <row r="24" spans="1:7" ht="23.1" customHeight="1" x14ac:dyDescent="0.2">
      <c r="A24" s="25">
        <v>3</v>
      </c>
      <c r="B24" s="48" t="s">
        <v>82</v>
      </c>
      <c r="C24" s="51">
        <v>1137397</v>
      </c>
      <c r="D24" s="51">
        <v>1215173</v>
      </c>
      <c r="E24" s="51">
        <f t="shared" si="2"/>
        <v>77776</v>
      </c>
      <c r="F24" s="70">
        <f t="shared" si="3"/>
        <v>6.8380697329076826E-2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6036261</v>
      </c>
      <c r="D25" s="51">
        <v>5689724</v>
      </c>
      <c r="E25" s="51">
        <f t="shared" si="2"/>
        <v>-346537</v>
      </c>
      <c r="F25" s="70">
        <f t="shared" si="3"/>
        <v>-5.7409214081365935E-2</v>
      </c>
    </row>
    <row r="26" spans="1:7" ht="23.1" customHeight="1" x14ac:dyDescent="0.2">
      <c r="A26" s="25">
        <v>5</v>
      </c>
      <c r="B26" s="48" t="s">
        <v>84</v>
      </c>
      <c r="C26" s="51">
        <v>3422746</v>
      </c>
      <c r="D26" s="51">
        <v>3147818</v>
      </c>
      <c r="E26" s="51">
        <f t="shared" si="2"/>
        <v>-274928</v>
      </c>
      <c r="F26" s="70">
        <f t="shared" si="3"/>
        <v>-8.032381018048082E-2</v>
      </c>
    </row>
    <row r="27" spans="1:7" ht="23.1" customHeight="1" x14ac:dyDescent="0.2">
      <c r="A27" s="25">
        <v>6</v>
      </c>
      <c r="B27" s="48" t="s">
        <v>85</v>
      </c>
      <c r="C27" s="51">
        <v>2953540</v>
      </c>
      <c r="D27" s="51">
        <v>1748130</v>
      </c>
      <c r="E27" s="51">
        <f t="shared" si="2"/>
        <v>-1205410</v>
      </c>
      <c r="F27" s="70">
        <f t="shared" si="3"/>
        <v>-0.40812381074913495</v>
      </c>
    </row>
    <row r="28" spans="1:7" ht="23.1" customHeight="1" x14ac:dyDescent="0.2">
      <c r="A28" s="25">
        <v>7</v>
      </c>
      <c r="B28" s="48" t="s">
        <v>86</v>
      </c>
      <c r="C28" s="51">
        <v>2032328</v>
      </c>
      <c r="D28" s="51">
        <v>1629083</v>
      </c>
      <c r="E28" s="51">
        <f t="shared" si="2"/>
        <v>-403245</v>
      </c>
      <c r="F28" s="70">
        <f t="shared" si="3"/>
        <v>-0.19841531485075245</v>
      </c>
    </row>
    <row r="29" spans="1:7" ht="23.1" customHeight="1" x14ac:dyDescent="0.2">
      <c r="A29" s="25">
        <v>8</v>
      </c>
      <c r="B29" s="48" t="s">
        <v>87</v>
      </c>
      <c r="C29" s="51">
        <v>687844</v>
      </c>
      <c r="D29" s="51">
        <v>1150400</v>
      </c>
      <c r="E29" s="51">
        <f t="shared" si="2"/>
        <v>462556</v>
      </c>
      <c r="F29" s="70">
        <f t="shared" si="3"/>
        <v>0.6724722466140578</v>
      </c>
    </row>
    <row r="30" spans="1:7" ht="23.1" customHeight="1" x14ac:dyDescent="0.2">
      <c r="A30" s="25">
        <v>9</v>
      </c>
      <c r="B30" s="48" t="s">
        <v>88</v>
      </c>
      <c r="C30" s="51">
        <v>14510060</v>
      </c>
      <c r="D30" s="51">
        <v>14113496</v>
      </c>
      <c r="E30" s="51">
        <f t="shared" si="2"/>
        <v>-396564</v>
      </c>
      <c r="F30" s="70">
        <f t="shared" si="3"/>
        <v>-2.7330279819656154E-2</v>
      </c>
    </row>
    <row r="31" spans="1:7" ht="23.1" customHeight="1" x14ac:dyDescent="0.25">
      <c r="A31" s="29"/>
      <c r="B31" s="71" t="s">
        <v>89</v>
      </c>
      <c r="C31" s="27">
        <f>SUM(C22:C30)</f>
        <v>49683361</v>
      </c>
      <c r="D31" s="27">
        <f>SUM(D22:D30)</f>
        <v>48108598</v>
      </c>
      <c r="E31" s="27">
        <f t="shared" si="2"/>
        <v>-1574763</v>
      </c>
      <c r="F31" s="28">
        <f t="shared" si="3"/>
        <v>-3.1695983691602508E-2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2713402</v>
      </c>
      <c r="D33" s="27">
        <f>+D19-D31</f>
        <v>2917330</v>
      </c>
      <c r="E33" s="27">
        <f>D33-C33</f>
        <v>203928</v>
      </c>
      <c r="F33" s="28">
        <f>IF(C33=0,0,E33/C33)</f>
        <v>7.5155837579540377E-2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2713402</v>
      </c>
      <c r="D41" s="27">
        <f>D33+D39</f>
        <v>2917330</v>
      </c>
      <c r="E41" s="27">
        <f>D41-C41</f>
        <v>203928</v>
      </c>
      <c r="F41" s="28">
        <f>IF(C41=0,0,E41/C41)</f>
        <v>7.5155837579540377E-2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2713402</v>
      </c>
      <c r="D48" s="27">
        <f>D41+D46</f>
        <v>2917330</v>
      </c>
      <c r="E48" s="27">
        <f>D48-C48</f>
        <v>203928</v>
      </c>
      <c r="F48" s="28">
        <f>IF(C48=0,0,E48/C48)</f>
        <v>7.5155837579540377E-2</v>
      </c>
    </row>
    <row r="49" spans="1:6" ht="23.1" customHeight="1" x14ac:dyDescent="0.2">
      <c r="A49" s="44"/>
      <c r="B49" s="48" t="s">
        <v>102</v>
      </c>
      <c r="C49" s="51">
        <v>350000</v>
      </c>
      <c r="D49" s="51">
        <v>350000</v>
      </c>
      <c r="E49" s="51">
        <f>D49-C49</f>
        <v>0</v>
      </c>
      <c r="F49" s="70">
        <f>IF(C49=0,0,E49/C49)</f>
        <v>0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29942831</v>
      </c>
      <c r="D14" s="97">
        <v>30742183</v>
      </c>
      <c r="E14" s="97">
        <f t="shared" ref="E14:E25" si="0">D14-C14</f>
        <v>799352</v>
      </c>
      <c r="F14" s="98">
        <f t="shared" ref="F14:F25" si="1">IF(C14=0,0,E14/C14)</f>
        <v>2.6695939338534824E-2</v>
      </c>
    </row>
    <row r="15" spans="1:6" ht="18" customHeight="1" x14ac:dyDescent="0.25">
      <c r="A15" s="99">
        <v>2</v>
      </c>
      <c r="B15" s="100" t="s">
        <v>113</v>
      </c>
      <c r="C15" s="97">
        <v>554199</v>
      </c>
      <c r="D15" s="97">
        <v>786950</v>
      </c>
      <c r="E15" s="97">
        <f t="shared" si="0"/>
        <v>232751</v>
      </c>
      <c r="F15" s="98">
        <f t="shared" si="1"/>
        <v>0.41997730057253801</v>
      </c>
    </row>
    <row r="16" spans="1:6" ht="18" customHeight="1" x14ac:dyDescent="0.25">
      <c r="A16" s="99">
        <v>3</v>
      </c>
      <c r="B16" s="100" t="s">
        <v>114</v>
      </c>
      <c r="C16" s="97">
        <v>476638</v>
      </c>
      <c r="D16" s="97">
        <v>427475</v>
      </c>
      <c r="E16" s="97">
        <f t="shared" si="0"/>
        <v>-49163</v>
      </c>
      <c r="F16" s="98">
        <f t="shared" si="1"/>
        <v>-0.10314536398692509</v>
      </c>
    </row>
    <row r="17" spans="1:6" ht="18" customHeight="1" x14ac:dyDescent="0.25">
      <c r="A17" s="99">
        <v>4</v>
      </c>
      <c r="B17" s="100" t="s">
        <v>115</v>
      </c>
      <c r="C17" s="97">
        <v>822083</v>
      </c>
      <c r="D17" s="97">
        <v>1587719</v>
      </c>
      <c r="E17" s="97">
        <f t="shared" si="0"/>
        <v>765636</v>
      </c>
      <c r="F17" s="98">
        <f t="shared" si="1"/>
        <v>0.93133661686228764</v>
      </c>
    </row>
    <row r="18" spans="1:6" ht="18" customHeight="1" x14ac:dyDescent="0.25">
      <c r="A18" s="99">
        <v>5</v>
      </c>
      <c r="B18" s="100" t="s">
        <v>116</v>
      </c>
      <c r="C18" s="97">
        <v>93627</v>
      </c>
      <c r="D18" s="97">
        <v>56762</v>
      </c>
      <c r="E18" s="97">
        <f t="shared" si="0"/>
        <v>-36865</v>
      </c>
      <c r="F18" s="98">
        <f t="shared" si="1"/>
        <v>-0.39374325782092773</v>
      </c>
    </row>
    <row r="19" spans="1:6" ht="18" customHeight="1" x14ac:dyDescent="0.25">
      <c r="A19" s="99">
        <v>6</v>
      </c>
      <c r="B19" s="100" t="s">
        <v>117</v>
      </c>
      <c r="C19" s="97">
        <v>949335</v>
      </c>
      <c r="D19" s="97">
        <v>456495</v>
      </c>
      <c r="E19" s="97">
        <f t="shared" si="0"/>
        <v>-492840</v>
      </c>
      <c r="F19" s="98">
        <f t="shared" si="1"/>
        <v>-0.519142347011329</v>
      </c>
    </row>
    <row r="20" spans="1:6" ht="18" customHeight="1" x14ac:dyDescent="0.25">
      <c r="A20" s="99">
        <v>7</v>
      </c>
      <c r="B20" s="100" t="s">
        <v>118</v>
      </c>
      <c r="C20" s="97">
        <v>11508298</v>
      </c>
      <c r="D20" s="97">
        <v>10411775</v>
      </c>
      <c r="E20" s="97">
        <f t="shared" si="0"/>
        <v>-1096523</v>
      </c>
      <c r="F20" s="98">
        <f t="shared" si="1"/>
        <v>-9.5281074577665617E-2</v>
      </c>
    </row>
    <row r="21" spans="1:6" ht="18" customHeight="1" x14ac:dyDescent="0.25">
      <c r="A21" s="99">
        <v>8</v>
      </c>
      <c r="B21" s="100" t="s">
        <v>119</v>
      </c>
      <c r="C21" s="97">
        <v>1442633</v>
      </c>
      <c r="D21" s="97">
        <v>1985034</v>
      </c>
      <c r="E21" s="97">
        <f t="shared" si="0"/>
        <v>542401</v>
      </c>
      <c r="F21" s="98">
        <f t="shared" si="1"/>
        <v>0.37597989232188644</v>
      </c>
    </row>
    <row r="22" spans="1:6" ht="18" customHeight="1" x14ac:dyDescent="0.25">
      <c r="A22" s="99">
        <v>9</v>
      </c>
      <c r="B22" s="100" t="s">
        <v>120</v>
      </c>
      <c r="C22" s="97">
        <v>850966</v>
      </c>
      <c r="D22" s="97">
        <v>1035642</v>
      </c>
      <c r="E22" s="97">
        <f t="shared" si="0"/>
        <v>184676</v>
      </c>
      <c r="F22" s="98">
        <f t="shared" si="1"/>
        <v>0.21701924636236936</v>
      </c>
    </row>
    <row r="23" spans="1:6" ht="18" customHeight="1" x14ac:dyDescent="0.25">
      <c r="A23" s="99">
        <v>10</v>
      </c>
      <c r="B23" s="100" t="s">
        <v>121</v>
      </c>
      <c r="C23" s="97">
        <v>149482</v>
      </c>
      <c r="D23" s="97">
        <v>289415</v>
      </c>
      <c r="E23" s="97">
        <f t="shared" si="0"/>
        <v>139933</v>
      </c>
      <c r="F23" s="98">
        <f t="shared" si="1"/>
        <v>0.9361193989911829</v>
      </c>
    </row>
    <row r="24" spans="1:6" ht="18" customHeight="1" x14ac:dyDescent="0.25">
      <c r="A24" s="99">
        <v>11</v>
      </c>
      <c r="B24" s="100" t="s">
        <v>122</v>
      </c>
      <c r="C24" s="97">
        <v>1709870</v>
      </c>
      <c r="D24" s="97">
        <v>2224392</v>
      </c>
      <c r="E24" s="97">
        <f t="shared" si="0"/>
        <v>514522</v>
      </c>
      <c r="F24" s="98">
        <f t="shared" si="1"/>
        <v>0.30091293490148374</v>
      </c>
    </row>
    <row r="25" spans="1:6" ht="18" customHeight="1" x14ac:dyDescent="0.25">
      <c r="A25" s="101"/>
      <c r="B25" s="102" t="s">
        <v>123</v>
      </c>
      <c r="C25" s="103">
        <f>SUM(C14:C24)</f>
        <v>48499962</v>
      </c>
      <c r="D25" s="103">
        <f>SUM(D14:D24)</f>
        <v>50003842</v>
      </c>
      <c r="E25" s="103">
        <f t="shared" si="0"/>
        <v>1503880</v>
      </c>
      <c r="F25" s="104">
        <f t="shared" si="1"/>
        <v>3.1007859346364023E-2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24223574</v>
      </c>
      <c r="D27" s="97">
        <v>27071098</v>
      </c>
      <c r="E27" s="97">
        <f t="shared" ref="E27:E38" si="2">D27-C27</f>
        <v>2847524</v>
      </c>
      <c r="F27" s="98">
        <f t="shared" ref="F27:F38" si="3">IF(C27=0,0,E27/C27)</f>
        <v>0.11755177002369675</v>
      </c>
    </row>
    <row r="28" spans="1:6" ht="18" customHeight="1" x14ac:dyDescent="0.25">
      <c r="A28" s="99">
        <v>2</v>
      </c>
      <c r="B28" s="100" t="s">
        <v>113</v>
      </c>
      <c r="C28" s="97">
        <v>641501</v>
      </c>
      <c r="D28" s="97">
        <v>957865</v>
      </c>
      <c r="E28" s="97">
        <f t="shared" si="2"/>
        <v>316364</v>
      </c>
      <c r="F28" s="98">
        <f t="shared" si="3"/>
        <v>0.49316213069036524</v>
      </c>
    </row>
    <row r="29" spans="1:6" ht="18" customHeight="1" x14ac:dyDescent="0.25">
      <c r="A29" s="99">
        <v>3</v>
      </c>
      <c r="B29" s="100" t="s">
        <v>114</v>
      </c>
      <c r="C29" s="97">
        <v>383767</v>
      </c>
      <c r="D29" s="97">
        <v>741136</v>
      </c>
      <c r="E29" s="97">
        <f t="shared" si="2"/>
        <v>357369</v>
      </c>
      <c r="F29" s="98">
        <f t="shared" si="3"/>
        <v>0.93121347067361182</v>
      </c>
    </row>
    <row r="30" spans="1:6" ht="18" customHeight="1" x14ac:dyDescent="0.25">
      <c r="A30" s="99">
        <v>4</v>
      </c>
      <c r="B30" s="100" t="s">
        <v>115</v>
      </c>
      <c r="C30" s="97">
        <v>1578060</v>
      </c>
      <c r="D30" s="97">
        <v>2079700</v>
      </c>
      <c r="E30" s="97">
        <f t="shared" si="2"/>
        <v>501640</v>
      </c>
      <c r="F30" s="98">
        <f t="shared" si="3"/>
        <v>0.31788398413241575</v>
      </c>
    </row>
    <row r="31" spans="1:6" ht="18" customHeight="1" x14ac:dyDescent="0.25">
      <c r="A31" s="99">
        <v>5</v>
      </c>
      <c r="B31" s="100" t="s">
        <v>116</v>
      </c>
      <c r="C31" s="97">
        <v>64791</v>
      </c>
      <c r="D31" s="97">
        <v>58414</v>
      </c>
      <c r="E31" s="97">
        <f t="shared" si="2"/>
        <v>-6377</v>
      </c>
      <c r="F31" s="98">
        <f t="shared" si="3"/>
        <v>-9.8424163849917423E-2</v>
      </c>
    </row>
    <row r="32" spans="1:6" ht="18" customHeight="1" x14ac:dyDescent="0.25">
      <c r="A32" s="99">
        <v>6</v>
      </c>
      <c r="B32" s="100" t="s">
        <v>117</v>
      </c>
      <c r="C32" s="97">
        <v>2562294</v>
      </c>
      <c r="D32" s="97">
        <v>2493092</v>
      </c>
      <c r="E32" s="97">
        <f t="shared" si="2"/>
        <v>-69202</v>
      </c>
      <c r="F32" s="98">
        <f t="shared" si="3"/>
        <v>-2.7007829702602435E-2</v>
      </c>
    </row>
    <row r="33" spans="1:6" ht="18" customHeight="1" x14ac:dyDescent="0.25">
      <c r="A33" s="99">
        <v>7</v>
      </c>
      <c r="B33" s="100" t="s">
        <v>118</v>
      </c>
      <c r="C33" s="97">
        <v>30074557</v>
      </c>
      <c r="D33" s="97">
        <v>30894268</v>
      </c>
      <c r="E33" s="97">
        <f t="shared" si="2"/>
        <v>819711</v>
      </c>
      <c r="F33" s="98">
        <f t="shared" si="3"/>
        <v>2.7255962573280796E-2</v>
      </c>
    </row>
    <row r="34" spans="1:6" ht="18" customHeight="1" x14ac:dyDescent="0.25">
      <c r="A34" s="99">
        <v>8</v>
      </c>
      <c r="B34" s="100" t="s">
        <v>119</v>
      </c>
      <c r="C34" s="97">
        <v>1716346</v>
      </c>
      <c r="D34" s="97">
        <v>1638659</v>
      </c>
      <c r="E34" s="97">
        <f t="shared" si="2"/>
        <v>-77687</v>
      </c>
      <c r="F34" s="98">
        <f t="shared" si="3"/>
        <v>-4.5263018062791538E-2</v>
      </c>
    </row>
    <row r="35" spans="1:6" ht="18" customHeight="1" x14ac:dyDescent="0.25">
      <c r="A35" s="99">
        <v>9</v>
      </c>
      <c r="B35" s="100" t="s">
        <v>120</v>
      </c>
      <c r="C35" s="97">
        <v>1991028</v>
      </c>
      <c r="D35" s="97">
        <v>2361759</v>
      </c>
      <c r="E35" s="97">
        <f t="shared" si="2"/>
        <v>370731</v>
      </c>
      <c r="F35" s="98">
        <f t="shared" si="3"/>
        <v>0.18620079677432963</v>
      </c>
    </row>
    <row r="36" spans="1:6" ht="18" customHeight="1" x14ac:dyDescent="0.25">
      <c r="A36" s="99">
        <v>10</v>
      </c>
      <c r="B36" s="100" t="s">
        <v>121</v>
      </c>
      <c r="C36" s="97">
        <v>530372</v>
      </c>
      <c r="D36" s="97">
        <v>424675</v>
      </c>
      <c r="E36" s="97">
        <f t="shared" si="2"/>
        <v>-105697</v>
      </c>
      <c r="F36" s="98">
        <f t="shared" si="3"/>
        <v>-0.19928842397411628</v>
      </c>
    </row>
    <row r="37" spans="1:6" ht="18" customHeight="1" x14ac:dyDescent="0.25">
      <c r="A37" s="99">
        <v>11</v>
      </c>
      <c r="B37" s="100" t="s">
        <v>122</v>
      </c>
      <c r="C37" s="97">
        <v>2186065</v>
      </c>
      <c r="D37" s="97">
        <v>2363439</v>
      </c>
      <c r="E37" s="97">
        <f t="shared" si="2"/>
        <v>177374</v>
      </c>
      <c r="F37" s="98">
        <f t="shared" si="3"/>
        <v>8.1138483988353508E-2</v>
      </c>
    </row>
    <row r="38" spans="1:6" ht="18" customHeight="1" x14ac:dyDescent="0.25">
      <c r="A38" s="101"/>
      <c r="B38" s="102" t="s">
        <v>126</v>
      </c>
      <c r="C38" s="103">
        <f>SUM(C27:C37)</f>
        <v>65952355</v>
      </c>
      <c r="D38" s="103">
        <f>SUM(D27:D37)</f>
        <v>71084105</v>
      </c>
      <c r="E38" s="103">
        <f t="shared" si="2"/>
        <v>5131750</v>
      </c>
      <c r="F38" s="104">
        <f t="shared" si="3"/>
        <v>7.7809958416193023E-2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54166405</v>
      </c>
      <c r="D41" s="103">
        <f t="shared" si="4"/>
        <v>57813281</v>
      </c>
      <c r="E41" s="107">
        <f t="shared" ref="E41:E52" si="5">D41-C41</f>
        <v>3646876</v>
      </c>
      <c r="F41" s="108">
        <f t="shared" ref="F41:F52" si="6">IF(C41=0,0,E41/C41)</f>
        <v>6.7327266780950301E-2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1195700</v>
      </c>
      <c r="D42" s="103">
        <f t="shared" si="4"/>
        <v>1744815</v>
      </c>
      <c r="E42" s="107">
        <f t="shared" si="5"/>
        <v>549115</v>
      </c>
      <c r="F42" s="108">
        <f t="shared" si="6"/>
        <v>0.45924144852387722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860405</v>
      </c>
      <c r="D43" s="103">
        <f t="shared" si="4"/>
        <v>1168611</v>
      </c>
      <c r="E43" s="107">
        <f t="shared" si="5"/>
        <v>308206</v>
      </c>
      <c r="F43" s="108">
        <f t="shared" si="6"/>
        <v>0.35821037767098052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2400143</v>
      </c>
      <c r="D44" s="103">
        <f t="shared" si="4"/>
        <v>3667419</v>
      </c>
      <c r="E44" s="107">
        <f t="shared" si="5"/>
        <v>1267276</v>
      </c>
      <c r="F44" s="108">
        <f t="shared" si="6"/>
        <v>0.52800020665435354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158418</v>
      </c>
      <c r="D45" s="103">
        <f t="shared" si="4"/>
        <v>115176</v>
      </c>
      <c r="E45" s="107">
        <f t="shared" si="5"/>
        <v>-43242</v>
      </c>
      <c r="F45" s="108">
        <f t="shared" si="6"/>
        <v>-0.27296140590084461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3511629</v>
      </c>
      <c r="D46" s="103">
        <f t="shared" si="4"/>
        <v>2949587</v>
      </c>
      <c r="E46" s="107">
        <f t="shared" si="5"/>
        <v>-562042</v>
      </c>
      <c r="F46" s="108">
        <f t="shared" si="6"/>
        <v>-0.16005164554683882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41582855</v>
      </c>
      <c r="D47" s="103">
        <f t="shared" si="4"/>
        <v>41306043</v>
      </c>
      <c r="E47" s="107">
        <f t="shared" si="5"/>
        <v>-276812</v>
      </c>
      <c r="F47" s="108">
        <f t="shared" si="6"/>
        <v>-6.6568781773161077E-3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3158979</v>
      </c>
      <c r="D48" s="103">
        <f t="shared" si="4"/>
        <v>3623693</v>
      </c>
      <c r="E48" s="107">
        <f t="shared" si="5"/>
        <v>464714</v>
      </c>
      <c r="F48" s="108">
        <f t="shared" si="6"/>
        <v>0.14710892348445495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2841994</v>
      </c>
      <c r="D49" s="103">
        <f t="shared" si="4"/>
        <v>3397401</v>
      </c>
      <c r="E49" s="107">
        <f t="shared" si="5"/>
        <v>555407</v>
      </c>
      <c r="F49" s="108">
        <f t="shared" si="6"/>
        <v>0.19542863215052531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679854</v>
      </c>
      <c r="D50" s="103">
        <f t="shared" si="4"/>
        <v>714090</v>
      </c>
      <c r="E50" s="107">
        <f t="shared" si="5"/>
        <v>34236</v>
      </c>
      <c r="F50" s="108">
        <f t="shared" si="6"/>
        <v>5.0357870954646146E-2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3895935</v>
      </c>
      <c r="D51" s="103">
        <f t="shared" si="4"/>
        <v>4587831</v>
      </c>
      <c r="E51" s="107">
        <f t="shared" si="5"/>
        <v>691896</v>
      </c>
      <c r="F51" s="108">
        <f t="shared" si="6"/>
        <v>0.17759433871458327</v>
      </c>
    </row>
    <row r="52" spans="1:6" ht="18.75" customHeight="1" thickBot="1" x14ac:dyDescent="0.3">
      <c r="A52" s="109"/>
      <c r="B52" s="110" t="s">
        <v>128</v>
      </c>
      <c r="C52" s="111">
        <f>SUM(C41:C51)</f>
        <v>114452317</v>
      </c>
      <c r="D52" s="112">
        <f>SUM(D41:D51)</f>
        <v>121087947</v>
      </c>
      <c r="E52" s="111">
        <f t="shared" si="5"/>
        <v>6635630</v>
      </c>
      <c r="F52" s="113">
        <f t="shared" si="6"/>
        <v>5.7977244794441336E-2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14678400</v>
      </c>
      <c r="D57" s="97">
        <v>14169445</v>
      </c>
      <c r="E57" s="97">
        <f t="shared" ref="E57:E68" si="7">D57-C57</f>
        <v>-508955</v>
      </c>
      <c r="F57" s="98">
        <f t="shared" ref="F57:F68" si="8">IF(C57=0,0,E57/C57)</f>
        <v>-3.4673738282101595E-2</v>
      </c>
    </row>
    <row r="58" spans="1:6" ht="18" customHeight="1" x14ac:dyDescent="0.25">
      <c r="A58" s="99">
        <v>2</v>
      </c>
      <c r="B58" s="100" t="s">
        <v>113</v>
      </c>
      <c r="C58" s="97">
        <v>254349</v>
      </c>
      <c r="D58" s="97">
        <v>364213</v>
      </c>
      <c r="E58" s="97">
        <f t="shared" si="7"/>
        <v>109864</v>
      </c>
      <c r="F58" s="98">
        <f t="shared" si="8"/>
        <v>0.43194193804575604</v>
      </c>
    </row>
    <row r="59" spans="1:6" ht="18" customHeight="1" x14ac:dyDescent="0.25">
      <c r="A59" s="99">
        <v>3</v>
      </c>
      <c r="B59" s="100" t="s">
        <v>114</v>
      </c>
      <c r="C59" s="97">
        <v>29978</v>
      </c>
      <c r="D59" s="97">
        <v>142277</v>
      </c>
      <c r="E59" s="97">
        <f t="shared" si="7"/>
        <v>112299</v>
      </c>
      <c r="F59" s="98">
        <f t="shared" si="8"/>
        <v>3.746047101207552</v>
      </c>
    </row>
    <row r="60" spans="1:6" ht="18" customHeight="1" x14ac:dyDescent="0.25">
      <c r="A60" s="99">
        <v>4</v>
      </c>
      <c r="B60" s="100" t="s">
        <v>115</v>
      </c>
      <c r="C60" s="97">
        <v>332914</v>
      </c>
      <c r="D60" s="97">
        <v>608448</v>
      </c>
      <c r="E60" s="97">
        <f t="shared" si="7"/>
        <v>275534</v>
      </c>
      <c r="F60" s="98">
        <f t="shared" si="8"/>
        <v>0.82764317511429375</v>
      </c>
    </row>
    <row r="61" spans="1:6" ht="18" customHeight="1" x14ac:dyDescent="0.25">
      <c r="A61" s="99">
        <v>5</v>
      </c>
      <c r="B61" s="100" t="s">
        <v>116</v>
      </c>
      <c r="C61" s="97">
        <v>93215</v>
      </c>
      <c r="D61" s="97">
        <v>47179</v>
      </c>
      <c r="E61" s="97">
        <f t="shared" si="7"/>
        <v>-46036</v>
      </c>
      <c r="F61" s="98">
        <f t="shared" si="8"/>
        <v>-0.49386901249798854</v>
      </c>
    </row>
    <row r="62" spans="1:6" ht="18" customHeight="1" x14ac:dyDescent="0.25">
      <c r="A62" s="99">
        <v>6</v>
      </c>
      <c r="B62" s="100" t="s">
        <v>117</v>
      </c>
      <c r="C62" s="97">
        <v>150057</v>
      </c>
      <c r="D62" s="97">
        <v>281266</v>
      </c>
      <c r="E62" s="97">
        <f t="shared" si="7"/>
        <v>131209</v>
      </c>
      <c r="F62" s="98">
        <f t="shared" si="8"/>
        <v>0.87439439679588427</v>
      </c>
    </row>
    <row r="63" spans="1:6" ht="18" customHeight="1" x14ac:dyDescent="0.25">
      <c r="A63" s="99">
        <v>7</v>
      </c>
      <c r="B63" s="100" t="s">
        <v>118</v>
      </c>
      <c r="C63" s="97">
        <v>6246307</v>
      </c>
      <c r="D63" s="97">
        <v>5111270</v>
      </c>
      <c r="E63" s="97">
        <f t="shared" si="7"/>
        <v>-1135037</v>
      </c>
      <c r="F63" s="98">
        <f t="shared" si="8"/>
        <v>-0.18171329074923792</v>
      </c>
    </row>
    <row r="64" spans="1:6" ht="18" customHeight="1" x14ac:dyDescent="0.25">
      <c r="A64" s="99">
        <v>8</v>
      </c>
      <c r="B64" s="100" t="s">
        <v>119</v>
      </c>
      <c r="C64" s="97">
        <v>444090</v>
      </c>
      <c r="D64" s="97">
        <v>554699</v>
      </c>
      <c r="E64" s="97">
        <f t="shared" si="7"/>
        <v>110609</v>
      </c>
      <c r="F64" s="98">
        <f t="shared" si="8"/>
        <v>0.2490688824337409</v>
      </c>
    </row>
    <row r="65" spans="1:6" ht="18" customHeight="1" x14ac:dyDescent="0.25">
      <c r="A65" s="99">
        <v>9</v>
      </c>
      <c r="B65" s="100" t="s">
        <v>120</v>
      </c>
      <c r="C65" s="97">
        <v>83830</v>
      </c>
      <c r="D65" s="97">
        <v>92627</v>
      </c>
      <c r="E65" s="97">
        <f t="shared" si="7"/>
        <v>8797</v>
      </c>
      <c r="F65" s="98">
        <f t="shared" si="8"/>
        <v>0.1049385661457712</v>
      </c>
    </row>
    <row r="66" spans="1:6" ht="18" customHeight="1" x14ac:dyDescent="0.25">
      <c r="A66" s="99">
        <v>10</v>
      </c>
      <c r="B66" s="100" t="s">
        <v>121</v>
      </c>
      <c r="C66" s="97">
        <v>69998</v>
      </c>
      <c r="D66" s="97">
        <v>43081</v>
      </c>
      <c r="E66" s="97">
        <f t="shared" si="7"/>
        <v>-26917</v>
      </c>
      <c r="F66" s="98">
        <f t="shared" si="8"/>
        <v>-0.3845395582730935</v>
      </c>
    </row>
    <row r="67" spans="1:6" ht="18" customHeight="1" x14ac:dyDescent="0.25">
      <c r="A67" s="99">
        <v>11</v>
      </c>
      <c r="B67" s="100" t="s">
        <v>122</v>
      </c>
      <c r="C67" s="97">
        <v>485849</v>
      </c>
      <c r="D67" s="97">
        <v>770937</v>
      </c>
      <c r="E67" s="97">
        <f t="shared" si="7"/>
        <v>285088</v>
      </c>
      <c r="F67" s="98">
        <f t="shared" si="8"/>
        <v>0.58678313632424894</v>
      </c>
    </row>
    <row r="68" spans="1:6" ht="18" customHeight="1" x14ac:dyDescent="0.25">
      <c r="A68" s="101"/>
      <c r="B68" s="102" t="s">
        <v>131</v>
      </c>
      <c r="C68" s="103">
        <f>SUM(C57:C67)</f>
        <v>22868987</v>
      </c>
      <c r="D68" s="103">
        <f>SUM(D57:D67)</f>
        <v>22185442</v>
      </c>
      <c r="E68" s="103">
        <f t="shared" si="7"/>
        <v>-683545</v>
      </c>
      <c r="F68" s="104">
        <f t="shared" si="8"/>
        <v>-2.988960551685127E-2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6226483</v>
      </c>
      <c r="D70" s="97">
        <v>6414324</v>
      </c>
      <c r="E70" s="97">
        <f t="shared" ref="E70:E81" si="9">D70-C70</f>
        <v>187841</v>
      </c>
      <c r="F70" s="98">
        <f t="shared" ref="F70:F81" si="10">IF(C70=0,0,E70/C70)</f>
        <v>3.0168074015459449E-2</v>
      </c>
    </row>
    <row r="71" spans="1:6" ht="18" customHeight="1" x14ac:dyDescent="0.25">
      <c r="A71" s="99">
        <v>2</v>
      </c>
      <c r="B71" s="100" t="s">
        <v>113</v>
      </c>
      <c r="C71" s="97">
        <v>184754</v>
      </c>
      <c r="D71" s="97">
        <v>216890</v>
      </c>
      <c r="E71" s="97">
        <f t="shared" si="9"/>
        <v>32136</v>
      </c>
      <c r="F71" s="98">
        <f t="shared" si="10"/>
        <v>0.17393940050012449</v>
      </c>
    </row>
    <row r="72" spans="1:6" ht="18" customHeight="1" x14ac:dyDescent="0.25">
      <c r="A72" s="99">
        <v>3</v>
      </c>
      <c r="B72" s="100" t="s">
        <v>114</v>
      </c>
      <c r="C72" s="97">
        <v>47361</v>
      </c>
      <c r="D72" s="97">
        <v>181138</v>
      </c>
      <c r="E72" s="97">
        <f t="shared" si="9"/>
        <v>133777</v>
      </c>
      <c r="F72" s="98">
        <f t="shared" si="10"/>
        <v>2.8246236354806697</v>
      </c>
    </row>
    <row r="73" spans="1:6" ht="18" customHeight="1" x14ac:dyDescent="0.25">
      <c r="A73" s="99">
        <v>4</v>
      </c>
      <c r="B73" s="100" t="s">
        <v>115</v>
      </c>
      <c r="C73" s="97">
        <v>411273</v>
      </c>
      <c r="D73" s="97">
        <v>548710</v>
      </c>
      <c r="E73" s="97">
        <f t="shared" si="9"/>
        <v>137437</v>
      </c>
      <c r="F73" s="98">
        <f t="shared" si="10"/>
        <v>0.33417462366846351</v>
      </c>
    </row>
    <row r="74" spans="1:6" ht="18" customHeight="1" x14ac:dyDescent="0.25">
      <c r="A74" s="99">
        <v>5</v>
      </c>
      <c r="B74" s="100" t="s">
        <v>116</v>
      </c>
      <c r="C74" s="97">
        <v>28826</v>
      </c>
      <c r="D74" s="97">
        <v>24014</v>
      </c>
      <c r="E74" s="97">
        <f t="shared" si="9"/>
        <v>-4812</v>
      </c>
      <c r="F74" s="98">
        <f t="shared" si="10"/>
        <v>-0.16693263026434468</v>
      </c>
    </row>
    <row r="75" spans="1:6" ht="18" customHeight="1" x14ac:dyDescent="0.25">
      <c r="A75" s="99">
        <v>6</v>
      </c>
      <c r="B75" s="100" t="s">
        <v>117</v>
      </c>
      <c r="C75" s="97">
        <v>1360837</v>
      </c>
      <c r="D75" s="97">
        <v>1538000</v>
      </c>
      <c r="E75" s="97">
        <f t="shared" si="9"/>
        <v>177163</v>
      </c>
      <c r="F75" s="98">
        <f t="shared" si="10"/>
        <v>0.13018678945384349</v>
      </c>
    </row>
    <row r="76" spans="1:6" ht="18" customHeight="1" x14ac:dyDescent="0.25">
      <c r="A76" s="99">
        <v>7</v>
      </c>
      <c r="B76" s="100" t="s">
        <v>118</v>
      </c>
      <c r="C76" s="97">
        <v>15717953</v>
      </c>
      <c r="D76" s="97">
        <v>15785290</v>
      </c>
      <c r="E76" s="97">
        <f t="shared" si="9"/>
        <v>67337</v>
      </c>
      <c r="F76" s="98">
        <f t="shared" si="10"/>
        <v>4.2840820302745527E-3</v>
      </c>
    </row>
    <row r="77" spans="1:6" ht="18" customHeight="1" x14ac:dyDescent="0.25">
      <c r="A77" s="99">
        <v>8</v>
      </c>
      <c r="B77" s="100" t="s">
        <v>119</v>
      </c>
      <c r="C77" s="97">
        <v>665187</v>
      </c>
      <c r="D77" s="97">
        <v>528743</v>
      </c>
      <c r="E77" s="97">
        <f t="shared" si="9"/>
        <v>-136444</v>
      </c>
      <c r="F77" s="98">
        <f t="shared" si="10"/>
        <v>-0.20512126665133262</v>
      </c>
    </row>
    <row r="78" spans="1:6" ht="18" customHeight="1" x14ac:dyDescent="0.25">
      <c r="A78" s="99">
        <v>9</v>
      </c>
      <c r="B78" s="100" t="s">
        <v>120</v>
      </c>
      <c r="C78" s="97">
        <v>606321</v>
      </c>
      <c r="D78" s="97">
        <v>623982</v>
      </c>
      <c r="E78" s="97">
        <f t="shared" si="9"/>
        <v>17661</v>
      </c>
      <c r="F78" s="98">
        <f t="shared" si="10"/>
        <v>2.9128135096755679E-2</v>
      </c>
    </row>
    <row r="79" spans="1:6" ht="18" customHeight="1" x14ac:dyDescent="0.25">
      <c r="A79" s="99">
        <v>10</v>
      </c>
      <c r="B79" s="100" t="s">
        <v>121</v>
      </c>
      <c r="C79" s="97">
        <v>113894</v>
      </c>
      <c r="D79" s="97">
        <v>68334</v>
      </c>
      <c r="E79" s="97">
        <f t="shared" si="9"/>
        <v>-45560</v>
      </c>
      <c r="F79" s="98">
        <f t="shared" si="10"/>
        <v>-0.40002107222505134</v>
      </c>
    </row>
    <row r="80" spans="1:6" ht="18" customHeight="1" x14ac:dyDescent="0.25">
      <c r="A80" s="99">
        <v>11</v>
      </c>
      <c r="B80" s="100" t="s">
        <v>122</v>
      </c>
      <c r="C80" s="97">
        <v>474152</v>
      </c>
      <c r="D80" s="97">
        <v>380882</v>
      </c>
      <c r="E80" s="97">
        <f t="shared" si="9"/>
        <v>-93270</v>
      </c>
      <c r="F80" s="98">
        <f t="shared" si="10"/>
        <v>-0.19670907219625774</v>
      </c>
    </row>
    <row r="81" spans="1:6" ht="18" customHeight="1" x14ac:dyDescent="0.25">
      <c r="A81" s="101"/>
      <c r="B81" s="102" t="s">
        <v>133</v>
      </c>
      <c r="C81" s="103">
        <f>SUM(C70:C80)</f>
        <v>25837041</v>
      </c>
      <c r="D81" s="103">
        <f>SUM(D70:D80)</f>
        <v>26310307</v>
      </c>
      <c r="E81" s="103">
        <f t="shared" si="9"/>
        <v>473266</v>
      </c>
      <c r="F81" s="104">
        <f t="shared" si="10"/>
        <v>1.8317345240888846E-2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20904883</v>
      </c>
      <c r="D84" s="103">
        <f t="shared" si="11"/>
        <v>20583769</v>
      </c>
      <c r="E84" s="103">
        <f t="shared" ref="E84:E95" si="12">D84-C84</f>
        <v>-321114</v>
      </c>
      <c r="F84" s="104">
        <f t="shared" ref="F84:F95" si="13">IF(C84=0,0,E84/C84)</f>
        <v>-1.5360717397939993E-2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439103</v>
      </c>
      <c r="D85" s="103">
        <f t="shared" si="11"/>
        <v>581103</v>
      </c>
      <c r="E85" s="103">
        <f t="shared" si="12"/>
        <v>142000</v>
      </c>
      <c r="F85" s="104">
        <f t="shared" si="13"/>
        <v>0.32338654028781399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77339</v>
      </c>
      <c r="D86" s="103">
        <f t="shared" si="11"/>
        <v>323415</v>
      </c>
      <c r="E86" s="103">
        <f t="shared" si="12"/>
        <v>246076</v>
      </c>
      <c r="F86" s="104">
        <f t="shared" si="13"/>
        <v>3.1817840934069488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744187</v>
      </c>
      <c r="D87" s="103">
        <f t="shared" si="11"/>
        <v>1157158</v>
      </c>
      <c r="E87" s="103">
        <f t="shared" si="12"/>
        <v>412971</v>
      </c>
      <c r="F87" s="104">
        <f t="shared" si="13"/>
        <v>0.55492907024712879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122041</v>
      </c>
      <c r="D88" s="103">
        <f t="shared" si="11"/>
        <v>71193</v>
      </c>
      <c r="E88" s="103">
        <f t="shared" si="12"/>
        <v>-50848</v>
      </c>
      <c r="F88" s="104">
        <f t="shared" si="13"/>
        <v>-0.41664686457829747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1510894</v>
      </c>
      <c r="D89" s="103">
        <f t="shared" si="11"/>
        <v>1819266</v>
      </c>
      <c r="E89" s="103">
        <f t="shared" si="12"/>
        <v>308372</v>
      </c>
      <c r="F89" s="104">
        <f t="shared" si="13"/>
        <v>0.20409903011064973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21964260</v>
      </c>
      <c r="D90" s="103">
        <f t="shared" si="11"/>
        <v>20896560</v>
      </c>
      <c r="E90" s="103">
        <f t="shared" si="12"/>
        <v>-1067700</v>
      </c>
      <c r="F90" s="104">
        <f t="shared" si="13"/>
        <v>-4.8610788617508623E-2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1109277</v>
      </c>
      <c r="D91" s="103">
        <f t="shared" si="11"/>
        <v>1083442</v>
      </c>
      <c r="E91" s="103">
        <f t="shared" si="12"/>
        <v>-25835</v>
      </c>
      <c r="F91" s="104">
        <f t="shared" si="13"/>
        <v>-2.3289944711735663E-2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690151</v>
      </c>
      <c r="D92" s="103">
        <f t="shared" si="11"/>
        <v>716609</v>
      </c>
      <c r="E92" s="103">
        <f t="shared" si="12"/>
        <v>26458</v>
      </c>
      <c r="F92" s="104">
        <f t="shared" si="13"/>
        <v>3.8336537946043692E-2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183892</v>
      </c>
      <c r="D93" s="103">
        <f t="shared" si="11"/>
        <v>111415</v>
      </c>
      <c r="E93" s="103">
        <f t="shared" si="12"/>
        <v>-72477</v>
      </c>
      <c r="F93" s="104">
        <f t="shared" si="13"/>
        <v>-0.394128075174559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960001</v>
      </c>
      <c r="D94" s="103">
        <f t="shared" si="11"/>
        <v>1151819</v>
      </c>
      <c r="E94" s="103">
        <f t="shared" si="12"/>
        <v>191818</v>
      </c>
      <c r="F94" s="104">
        <f t="shared" si="13"/>
        <v>0.19981020853103279</v>
      </c>
    </row>
    <row r="95" spans="1:6" ht="18.75" customHeight="1" thickBot="1" x14ac:dyDescent="0.3">
      <c r="A95" s="115"/>
      <c r="B95" s="116" t="s">
        <v>134</v>
      </c>
      <c r="C95" s="112">
        <f>SUM(C84:C94)</f>
        <v>48706028</v>
      </c>
      <c r="D95" s="112">
        <f>SUM(D84:D94)</f>
        <v>48495749</v>
      </c>
      <c r="E95" s="112">
        <f t="shared" si="12"/>
        <v>-210279</v>
      </c>
      <c r="F95" s="113">
        <f t="shared" si="13"/>
        <v>-4.317309553552591E-3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1456</v>
      </c>
      <c r="D100" s="117">
        <v>1440</v>
      </c>
      <c r="E100" s="117">
        <f t="shared" ref="E100:E111" si="14">D100-C100</f>
        <v>-16</v>
      </c>
      <c r="F100" s="98">
        <f t="shared" ref="F100:F111" si="15">IF(C100=0,0,E100/C100)</f>
        <v>-1.098901098901099E-2</v>
      </c>
    </row>
    <row r="101" spans="1:6" ht="18" customHeight="1" x14ac:dyDescent="0.25">
      <c r="A101" s="99">
        <v>2</v>
      </c>
      <c r="B101" s="100" t="s">
        <v>113</v>
      </c>
      <c r="C101" s="117">
        <v>28</v>
      </c>
      <c r="D101" s="117">
        <v>39</v>
      </c>
      <c r="E101" s="117">
        <f t="shared" si="14"/>
        <v>11</v>
      </c>
      <c r="F101" s="98">
        <f t="shared" si="15"/>
        <v>0.39285714285714285</v>
      </c>
    </row>
    <row r="102" spans="1:6" ht="18" customHeight="1" x14ac:dyDescent="0.25">
      <c r="A102" s="99">
        <v>3</v>
      </c>
      <c r="B102" s="100" t="s">
        <v>114</v>
      </c>
      <c r="C102" s="117">
        <v>41</v>
      </c>
      <c r="D102" s="117">
        <v>36</v>
      </c>
      <c r="E102" s="117">
        <f t="shared" si="14"/>
        <v>-5</v>
      </c>
      <c r="F102" s="98">
        <f t="shared" si="15"/>
        <v>-0.12195121951219512</v>
      </c>
    </row>
    <row r="103" spans="1:6" ht="18" customHeight="1" x14ac:dyDescent="0.25">
      <c r="A103" s="99">
        <v>4</v>
      </c>
      <c r="B103" s="100" t="s">
        <v>115</v>
      </c>
      <c r="C103" s="117">
        <v>101</v>
      </c>
      <c r="D103" s="117">
        <v>181</v>
      </c>
      <c r="E103" s="117">
        <f t="shared" si="14"/>
        <v>80</v>
      </c>
      <c r="F103" s="98">
        <f t="shared" si="15"/>
        <v>0.79207920792079212</v>
      </c>
    </row>
    <row r="104" spans="1:6" ht="18" customHeight="1" x14ac:dyDescent="0.25">
      <c r="A104" s="99">
        <v>5</v>
      </c>
      <c r="B104" s="100" t="s">
        <v>116</v>
      </c>
      <c r="C104" s="117">
        <v>2</v>
      </c>
      <c r="D104" s="117">
        <v>7</v>
      </c>
      <c r="E104" s="117">
        <f t="shared" si="14"/>
        <v>5</v>
      </c>
      <c r="F104" s="98">
        <f t="shared" si="15"/>
        <v>2.5</v>
      </c>
    </row>
    <row r="105" spans="1:6" ht="18" customHeight="1" x14ac:dyDescent="0.25">
      <c r="A105" s="99">
        <v>6</v>
      </c>
      <c r="B105" s="100" t="s">
        <v>117</v>
      </c>
      <c r="C105" s="117">
        <v>54</v>
      </c>
      <c r="D105" s="117">
        <v>21</v>
      </c>
      <c r="E105" s="117">
        <f t="shared" si="14"/>
        <v>-33</v>
      </c>
      <c r="F105" s="98">
        <f t="shared" si="15"/>
        <v>-0.61111111111111116</v>
      </c>
    </row>
    <row r="106" spans="1:6" ht="18" customHeight="1" x14ac:dyDescent="0.25">
      <c r="A106" s="99">
        <v>7</v>
      </c>
      <c r="B106" s="100" t="s">
        <v>118</v>
      </c>
      <c r="C106" s="117">
        <v>724</v>
      </c>
      <c r="D106" s="117">
        <v>689</v>
      </c>
      <c r="E106" s="117">
        <f t="shared" si="14"/>
        <v>-35</v>
      </c>
      <c r="F106" s="98">
        <f t="shared" si="15"/>
        <v>-4.834254143646409E-2</v>
      </c>
    </row>
    <row r="107" spans="1:6" ht="18" customHeight="1" x14ac:dyDescent="0.25">
      <c r="A107" s="99">
        <v>8</v>
      </c>
      <c r="B107" s="100" t="s">
        <v>119</v>
      </c>
      <c r="C107" s="117">
        <v>27</v>
      </c>
      <c r="D107" s="117">
        <v>33</v>
      </c>
      <c r="E107" s="117">
        <f t="shared" si="14"/>
        <v>6</v>
      </c>
      <c r="F107" s="98">
        <f t="shared" si="15"/>
        <v>0.22222222222222221</v>
      </c>
    </row>
    <row r="108" spans="1:6" ht="18" customHeight="1" x14ac:dyDescent="0.25">
      <c r="A108" s="99">
        <v>9</v>
      </c>
      <c r="B108" s="100" t="s">
        <v>120</v>
      </c>
      <c r="C108" s="117">
        <v>72</v>
      </c>
      <c r="D108" s="117">
        <v>65</v>
      </c>
      <c r="E108" s="117">
        <f t="shared" si="14"/>
        <v>-7</v>
      </c>
      <c r="F108" s="98">
        <f t="shared" si="15"/>
        <v>-9.7222222222222224E-2</v>
      </c>
    </row>
    <row r="109" spans="1:6" ht="18" customHeight="1" x14ac:dyDescent="0.25">
      <c r="A109" s="99">
        <v>10</v>
      </c>
      <c r="B109" s="100" t="s">
        <v>121</v>
      </c>
      <c r="C109" s="117">
        <v>14</v>
      </c>
      <c r="D109" s="117">
        <v>16</v>
      </c>
      <c r="E109" s="117">
        <f t="shared" si="14"/>
        <v>2</v>
      </c>
      <c r="F109" s="98">
        <f t="shared" si="15"/>
        <v>0.14285714285714285</v>
      </c>
    </row>
    <row r="110" spans="1:6" ht="18" customHeight="1" x14ac:dyDescent="0.25">
      <c r="A110" s="99">
        <v>11</v>
      </c>
      <c r="B110" s="100" t="s">
        <v>122</v>
      </c>
      <c r="C110" s="117">
        <v>139</v>
      </c>
      <c r="D110" s="117">
        <v>154</v>
      </c>
      <c r="E110" s="117">
        <f t="shared" si="14"/>
        <v>15</v>
      </c>
      <c r="F110" s="98">
        <f t="shared" si="15"/>
        <v>0.1079136690647482</v>
      </c>
    </row>
    <row r="111" spans="1:6" ht="18" customHeight="1" x14ac:dyDescent="0.25">
      <c r="A111" s="101"/>
      <c r="B111" s="102" t="s">
        <v>138</v>
      </c>
      <c r="C111" s="118">
        <f>SUM(C100:C110)</f>
        <v>2658</v>
      </c>
      <c r="D111" s="118">
        <f>SUM(D100:D110)</f>
        <v>2681</v>
      </c>
      <c r="E111" s="118">
        <f t="shared" si="14"/>
        <v>23</v>
      </c>
      <c r="F111" s="104">
        <f t="shared" si="15"/>
        <v>8.6531226486079756E-3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7860</v>
      </c>
      <c r="D113" s="117">
        <v>7988</v>
      </c>
      <c r="E113" s="117">
        <f t="shared" ref="E113:E124" si="16">D113-C113</f>
        <v>128</v>
      </c>
      <c r="F113" s="98">
        <f t="shared" ref="F113:F124" si="17">IF(C113=0,0,E113/C113)</f>
        <v>1.6284987277353689E-2</v>
      </c>
    </row>
    <row r="114" spans="1:6" ht="18" customHeight="1" x14ac:dyDescent="0.25">
      <c r="A114" s="99">
        <v>2</v>
      </c>
      <c r="B114" s="100" t="s">
        <v>113</v>
      </c>
      <c r="C114" s="117">
        <v>141</v>
      </c>
      <c r="D114" s="117">
        <v>157</v>
      </c>
      <c r="E114" s="117">
        <f t="shared" si="16"/>
        <v>16</v>
      </c>
      <c r="F114" s="98">
        <f t="shared" si="17"/>
        <v>0.11347517730496454</v>
      </c>
    </row>
    <row r="115" spans="1:6" ht="18" customHeight="1" x14ac:dyDescent="0.25">
      <c r="A115" s="99">
        <v>3</v>
      </c>
      <c r="B115" s="100" t="s">
        <v>114</v>
      </c>
      <c r="C115" s="117">
        <v>118</v>
      </c>
      <c r="D115" s="117">
        <v>131</v>
      </c>
      <c r="E115" s="117">
        <f t="shared" si="16"/>
        <v>13</v>
      </c>
      <c r="F115" s="98">
        <f t="shared" si="17"/>
        <v>0.11016949152542373</v>
      </c>
    </row>
    <row r="116" spans="1:6" ht="18" customHeight="1" x14ac:dyDescent="0.25">
      <c r="A116" s="99">
        <v>4</v>
      </c>
      <c r="B116" s="100" t="s">
        <v>115</v>
      </c>
      <c r="C116" s="117">
        <v>242</v>
      </c>
      <c r="D116" s="117">
        <v>458</v>
      </c>
      <c r="E116" s="117">
        <f t="shared" si="16"/>
        <v>216</v>
      </c>
      <c r="F116" s="98">
        <f t="shared" si="17"/>
        <v>0.8925619834710744</v>
      </c>
    </row>
    <row r="117" spans="1:6" ht="18" customHeight="1" x14ac:dyDescent="0.25">
      <c r="A117" s="99">
        <v>5</v>
      </c>
      <c r="B117" s="100" t="s">
        <v>116</v>
      </c>
      <c r="C117" s="117">
        <v>9</v>
      </c>
      <c r="D117" s="117">
        <v>16</v>
      </c>
      <c r="E117" s="117">
        <f t="shared" si="16"/>
        <v>7</v>
      </c>
      <c r="F117" s="98">
        <f t="shared" si="17"/>
        <v>0.77777777777777779</v>
      </c>
    </row>
    <row r="118" spans="1:6" ht="18" customHeight="1" x14ac:dyDescent="0.25">
      <c r="A118" s="99">
        <v>6</v>
      </c>
      <c r="B118" s="100" t="s">
        <v>117</v>
      </c>
      <c r="C118" s="117">
        <v>209</v>
      </c>
      <c r="D118" s="117">
        <v>55</v>
      </c>
      <c r="E118" s="117">
        <f t="shared" si="16"/>
        <v>-154</v>
      </c>
      <c r="F118" s="98">
        <f t="shared" si="17"/>
        <v>-0.73684210526315785</v>
      </c>
    </row>
    <row r="119" spans="1:6" ht="18" customHeight="1" x14ac:dyDescent="0.25">
      <c r="A119" s="99">
        <v>7</v>
      </c>
      <c r="B119" s="100" t="s">
        <v>118</v>
      </c>
      <c r="C119" s="117">
        <v>2122</v>
      </c>
      <c r="D119" s="117">
        <v>1932</v>
      </c>
      <c r="E119" s="117">
        <f t="shared" si="16"/>
        <v>-190</v>
      </c>
      <c r="F119" s="98">
        <f t="shared" si="17"/>
        <v>-8.9538171536286529E-2</v>
      </c>
    </row>
    <row r="120" spans="1:6" ht="18" customHeight="1" x14ac:dyDescent="0.25">
      <c r="A120" s="99">
        <v>8</v>
      </c>
      <c r="B120" s="100" t="s">
        <v>119</v>
      </c>
      <c r="C120" s="117">
        <v>76</v>
      </c>
      <c r="D120" s="117">
        <v>112</v>
      </c>
      <c r="E120" s="117">
        <f t="shared" si="16"/>
        <v>36</v>
      </c>
      <c r="F120" s="98">
        <f t="shared" si="17"/>
        <v>0.47368421052631576</v>
      </c>
    </row>
    <row r="121" spans="1:6" ht="18" customHeight="1" x14ac:dyDescent="0.25">
      <c r="A121" s="99">
        <v>9</v>
      </c>
      <c r="B121" s="100" t="s">
        <v>120</v>
      </c>
      <c r="C121" s="117">
        <v>205</v>
      </c>
      <c r="D121" s="117">
        <v>178</v>
      </c>
      <c r="E121" s="117">
        <f t="shared" si="16"/>
        <v>-27</v>
      </c>
      <c r="F121" s="98">
        <f t="shared" si="17"/>
        <v>-0.13170731707317074</v>
      </c>
    </row>
    <row r="122" spans="1:6" ht="18" customHeight="1" x14ac:dyDescent="0.25">
      <c r="A122" s="99">
        <v>10</v>
      </c>
      <c r="B122" s="100" t="s">
        <v>121</v>
      </c>
      <c r="C122" s="117">
        <v>48</v>
      </c>
      <c r="D122" s="117">
        <v>55</v>
      </c>
      <c r="E122" s="117">
        <f t="shared" si="16"/>
        <v>7</v>
      </c>
      <c r="F122" s="98">
        <f t="shared" si="17"/>
        <v>0.14583333333333334</v>
      </c>
    </row>
    <row r="123" spans="1:6" ht="18" customHeight="1" x14ac:dyDescent="0.25">
      <c r="A123" s="99">
        <v>11</v>
      </c>
      <c r="B123" s="100" t="s">
        <v>122</v>
      </c>
      <c r="C123" s="117">
        <v>436</v>
      </c>
      <c r="D123" s="117">
        <v>540</v>
      </c>
      <c r="E123" s="117">
        <f t="shared" si="16"/>
        <v>104</v>
      </c>
      <c r="F123" s="98">
        <f t="shared" si="17"/>
        <v>0.23853211009174313</v>
      </c>
    </row>
    <row r="124" spans="1:6" ht="18" customHeight="1" x14ac:dyDescent="0.25">
      <c r="A124" s="101"/>
      <c r="B124" s="102" t="s">
        <v>140</v>
      </c>
      <c r="C124" s="118">
        <f>SUM(C113:C123)</f>
        <v>11466</v>
      </c>
      <c r="D124" s="118">
        <f>SUM(D113:D123)</f>
        <v>11622</v>
      </c>
      <c r="E124" s="118">
        <f t="shared" si="16"/>
        <v>156</v>
      </c>
      <c r="F124" s="104">
        <f t="shared" si="17"/>
        <v>1.3605442176870748E-2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29014</v>
      </c>
      <c r="D126" s="117">
        <v>28281</v>
      </c>
      <c r="E126" s="117">
        <f t="shared" ref="E126:E137" si="18">D126-C126</f>
        <v>-733</v>
      </c>
      <c r="F126" s="98">
        <f t="shared" ref="F126:F137" si="19">IF(C126=0,0,E126/C126)</f>
        <v>-2.5263665816502377E-2</v>
      </c>
    </row>
    <row r="127" spans="1:6" ht="18" customHeight="1" x14ac:dyDescent="0.25">
      <c r="A127" s="99">
        <v>2</v>
      </c>
      <c r="B127" s="100" t="s">
        <v>113</v>
      </c>
      <c r="C127" s="117">
        <v>885</v>
      </c>
      <c r="D127" s="117">
        <v>1050</v>
      </c>
      <c r="E127" s="117">
        <f t="shared" si="18"/>
        <v>165</v>
      </c>
      <c r="F127" s="98">
        <f t="shared" si="19"/>
        <v>0.1864406779661017</v>
      </c>
    </row>
    <row r="128" spans="1:6" ht="18" customHeight="1" x14ac:dyDescent="0.25">
      <c r="A128" s="99">
        <v>3</v>
      </c>
      <c r="B128" s="100" t="s">
        <v>114</v>
      </c>
      <c r="C128" s="117">
        <v>516</v>
      </c>
      <c r="D128" s="117">
        <v>579</v>
      </c>
      <c r="E128" s="117">
        <f t="shared" si="18"/>
        <v>63</v>
      </c>
      <c r="F128" s="98">
        <f t="shared" si="19"/>
        <v>0.12209302325581395</v>
      </c>
    </row>
    <row r="129" spans="1:6" ht="18" customHeight="1" x14ac:dyDescent="0.25">
      <c r="A129" s="99">
        <v>4</v>
      </c>
      <c r="B129" s="100" t="s">
        <v>115</v>
      </c>
      <c r="C129" s="117">
        <v>1758</v>
      </c>
      <c r="D129" s="117">
        <v>2419</v>
      </c>
      <c r="E129" s="117">
        <f t="shared" si="18"/>
        <v>661</v>
      </c>
      <c r="F129" s="98">
        <f t="shared" si="19"/>
        <v>0.37599544937428897</v>
      </c>
    </row>
    <row r="130" spans="1:6" ht="18" customHeight="1" x14ac:dyDescent="0.25">
      <c r="A130" s="99">
        <v>5</v>
      </c>
      <c r="B130" s="100" t="s">
        <v>116</v>
      </c>
      <c r="C130" s="117">
        <v>89</v>
      </c>
      <c r="D130" s="117">
        <v>88</v>
      </c>
      <c r="E130" s="117">
        <f t="shared" si="18"/>
        <v>-1</v>
      </c>
      <c r="F130" s="98">
        <f t="shared" si="19"/>
        <v>-1.1235955056179775E-2</v>
      </c>
    </row>
    <row r="131" spans="1:6" ht="18" customHeight="1" x14ac:dyDescent="0.25">
      <c r="A131" s="99">
        <v>6</v>
      </c>
      <c r="B131" s="100" t="s">
        <v>117</v>
      </c>
      <c r="C131" s="117">
        <v>2372</v>
      </c>
      <c r="D131" s="117">
        <v>4774</v>
      </c>
      <c r="E131" s="117">
        <f t="shared" si="18"/>
        <v>2402</v>
      </c>
      <c r="F131" s="98">
        <f t="shared" si="19"/>
        <v>1.0126475548060707</v>
      </c>
    </row>
    <row r="132" spans="1:6" ht="18" customHeight="1" x14ac:dyDescent="0.25">
      <c r="A132" s="99">
        <v>7</v>
      </c>
      <c r="B132" s="100" t="s">
        <v>118</v>
      </c>
      <c r="C132" s="117">
        <v>28422</v>
      </c>
      <c r="D132" s="117">
        <v>27383</v>
      </c>
      <c r="E132" s="117">
        <f t="shared" si="18"/>
        <v>-1039</v>
      </c>
      <c r="F132" s="98">
        <f t="shared" si="19"/>
        <v>-3.6556188867778484E-2</v>
      </c>
    </row>
    <row r="133" spans="1:6" ht="18" customHeight="1" x14ac:dyDescent="0.25">
      <c r="A133" s="99">
        <v>8</v>
      </c>
      <c r="B133" s="100" t="s">
        <v>119</v>
      </c>
      <c r="C133" s="117">
        <v>1192</v>
      </c>
      <c r="D133" s="117">
        <v>1130</v>
      </c>
      <c r="E133" s="117">
        <f t="shared" si="18"/>
        <v>-62</v>
      </c>
      <c r="F133" s="98">
        <f t="shared" si="19"/>
        <v>-5.2013422818791948E-2</v>
      </c>
    </row>
    <row r="134" spans="1:6" ht="18" customHeight="1" x14ac:dyDescent="0.25">
      <c r="A134" s="99">
        <v>9</v>
      </c>
      <c r="B134" s="100" t="s">
        <v>120</v>
      </c>
      <c r="C134" s="117">
        <v>3658</v>
      </c>
      <c r="D134" s="117">
        <v>3801</v>
      </c>
      <c r="E134" s="117">
        <f t="shared" si="18"/>
        <v>143</v>
      </c>
      <c r="F134" s="98">
        <f t="shared" si="19"/>
        <v>3.9092400218698739E-2</v>
      </c>
    </row>
    <row r="135" spans="1:6" ht="18" customHeight="1" x14ac:dyDescent="0.25">
      <c r="A135" s="99">
        <v>10</v>
      </c>
      <c r="B135" s="100" t="s">
        <v>121</v>
      </c>
      <c r="C135" s="117">
        <v>141</v>
      </c>
      <c r="D135" s="117">
        <v>406</v>
      </c>
      <c r="E135" s="117">
        <f t="shared" si="18"/>
        <v>265</v>
      </c>
      <c r="F135" s="98">
        <f t="shared" si="19"/>
        <v>1.8794326241134751</v>
      </c>
    </row>
    <row r="136" spans="1:6" ht="18" customHeight="1" x14ac:dyDescent="0.25">
      <c r="A136" s="99">
        <v>11</v>
      </c>
      <c r="B136" s="100" t="s">
        <v>122</v>
      </c>
      <c r="C136" s="117">
        <v>859</v>
      </c>
      <c r="D136" s="117">
        <v>2493</v>
      </c>
      <c r="E136" s="117">
        <f t="shared" si="18"/>
        <v>1634</v>
      </c>
      <c r="F136" s="98">
        <f t="shared" si="19"/>
        <v>1.9022118742724097</v>
      </c>
    </row>
    <row r="137" spans="1:6" ht="18" customHeight="1" x14ac:dyDescent="0.25">
      <c r="A137" s="101"/>
      <c r="B137" s="102" t="s">
        <v>143</v>
      </c>
      <c r="C137" s="118">
        <f>SUM(C126:C136)</f>
        <v>68906</v>
      </c>
      <c r="D137" s="118">
        <f>SUM(D126:D136)</f>
        <v>72404</v>
      </c>
      <c r="E137" s="118">
        <f t="shared" si="18"/>
        <v>3498</v>
      </c>
      <c r="F137" s="104">
        <f t="shared" si="19"/>
        <v>5.0764810031056803E-2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3174738</v>
      </c>
      <c r="D142" s="97">
        <v>3415061</v>
      </c>
      <c r="E142" s="97">
        <f t="shared" ref="E142:E153" si="20">D142-C142</f>
        <v>240323</v>
      </c>
      <c r="F142" s="98">
        <f t="shared" ref="F142:F153" si="21">IF(C142=0,0,E142/C142)</f>
        <v>7.5698530083427362E-2</v>
      </c>
    </row>
    <row r="143" spans="1:6" ht="18" customHeight="1" x14ac:dyDescent="0.25">
      <c r="A143" s="99">
        <v>2</v>
      </c>
      <c r="B143" s="100" t="s">
        <v>113</v>
      </c>
      <c r="C143" s="97">
        <v>85253</v>
      </c>
      <c r="D143" s="97">
        <v>149696</v>
      </c>
      <c r="E143" s="97">
        <f t="shared" si="20"/>
        <v>64443</v>
      </c>
      <c r="F143" s="98">
        <f t="shared" si="21"/>
        <v>0.75590301807561022</v>
      </c>
    </row>
    <row r="144" spans="1:6" ht="18" customHeight="1" x14ac:dyDescent="0.25">
      <c r="A144" s="99">
        <v>3</v>
      </c>
      <c r="B144" s="100" t="s">
        <v>114</v>
      </c>
      <c r="C144" s="97">
        <v>97073</v>
      </c>
      <c r="D144" s="97">
        <v>147487</v>
      </c>
      <c r="E144" s="97">
        <f t="shared" si="20"/>
        <v>50414</v>
      </c>
      <c r="F144" s="98">
        <f t="shared" si="21"/>
        <v>0.51934111441904551</v>
      </c>
    </row>
    <row r="145" spans="1:6" ht="18" customHeight="1" x14ac:dyDescent="0.25">
      <c r="A145" s="99">
        <v>4</v>
      </c>
      <c r="B145" s="100" t="s">
        <v>115</v>
      </c>
      <c r="C145" s="97">
        <v>625427</v>
      </c>
      <c r="D145" s="97">
        <v>807432</v>
      </c>
      <c r="E145" s="97">
        <f t="shared" si="20"/>
        <v>182005</v>
      </c>
      <c r="F145" s="98">
        <f t="shared" si="21"/>
        <v>0.29100918252649788</v>
      </c>
    </row>
    <row r="146" spans="1:6" ht="18" customHeight="1" x14ac:dyDescent="0.25">
      <c r="A146" s="99">
        <v>5</v>
      </c>
      <c r="B146" s="100" t="s">
        <v>116</v>
      </c>
      <c r="C146" s="97">
        <v>25001</v>
      </c>
      <c r="D146" s="97">
        <v>35004</v>
      </c>
      <c r="E146" s="97">
        <f t="shared" si="20"/>
        <v>10003</v>
      </c>
      <c r="F146" s="98">
        <f t="shared" si="21"/>
        <v>0.40010399584016637</v>
      </c>
    </row>
    <row r="147" spans="1:6" ht="18" customHeight="1" x14ac:dyDescent="0.25">
      <c r="A147" s="99">
        <v>6</v>
      </c>
      <c r="B147" s="100" t="s">
        <v>117</v>
      </c>
      <c r="C147" s="97">
        <v>859706</v>
      </c>
      <c r="D147" s="97">
        <v>919869</v>
      </c>
      <c r="E147" s="97">
        <f t="shared" si="20"/>
        <v>60163</v>
      </c>
      <c r="F147" s="98">
        <f t="shared" si="21"/>
        <v>6.9980900447362243E-2</v>
      </c>
    </row>
    <row r="148" spans="1:6" ht="18" customHeight="1" x14ac:dyDescent="0.25">
      <c r="A148" s="99">
        <v>7</v>
      </c>
      <c r="B148" s="100" t="s">
        <v>118</v>
      </c>
      <c r="C148" s="97">
        <v>5331290</v>
      </c>
      <c r="D148" s="97">
        <v>5645770</v>
      </c>
      <c r="E148" s="97">
        <f t="shared" si="20"/>
        <v>314480</v>
      </c>
      <c r="F148" s="98">
        <f t="shared" si="21"/>
        <v>5.8987599624105984E-2</v>
      </c>
    </row>
    <row r="149" spans="1:6" ht="18" customHeight="1" x14ac:dyDescent="0.25">
      <c r="A149" s="99">
        <v>8</v>
      </c>
      <c r="B149" s="100" t="s">
        <v>119</v>
      </c>
      <c r="C149" s="97">
        <v>365898</v>
      </c>
      <c r="D149" s="97">
        <v>404712</v>
      </c>
      <c r="E149" s="97">
        <f t="shared" si="20"/>
        <v>38814</v>
      </c>
      <c r="F149" s="98">
        <f t="shared" si="21"/>
        <v>0.10607874325631733</v>
      </c>
    </row>
    <row r="150" spans="1:6" ht="18" customHeight="1" x14ac:dyDescent="0.25">
      <c r="A150" s="99">
        <v>9</v>
      </c>
      <c r="B150" s="100" t="s">
        <v>120</v>
      </c>
      <c r="C150" s="97">
        <v>1418308</v>
      </c>
      <c r="D150" s="97">
        <v>1299230</v>
      </c>
      <c r="E150" s="97">
        <f t="shared" si="20"/>
        <v>-119078</v>
      </c>
      <c r="F150" s="98">
        <f t="shared" si="21"/>
        <v>-8.3957786320037683E-2</v>
      </c>
    </row>
    <row r="151" spans="1:6" ht="18" customHeight="1" x14ac:dyDescent="0.25">
      <c r="A151" s="99">
        <v>10</v>
      </c>
      <c r="B151" s="100" t="s">
        <v>121</v>
      </c>
      <c r="C151" s="97">
        <v>191577</v>
      </c>
      <c r="D151" s="97">
        <v>170053</v>
      </c>
      <c r="E151" s="97">
        <f t="shared" si="20"/>
        <v>-21524</v>
      </c>
      <c r="F151" s="98">
        <f t="shared" si="21"/>
        <v>-0.11235169148697391</v>
      </c>
    </row>
    <row r="152" spans="1:6" ht="18" customHeight="1" x14ac:dyDescent="0.25">
      <c r="A152" s="99">
        <v>11</v>
      </c>
      <c r="B152" s="100" t="s">
        <v>122</v>
      </c>
      <c r="C152" s="97">
        <v>930713</v>
      </c>
      <c r="D152" s="97">
        <v>1057826</v>
      </c>
      <c r="E152" s="97">
        <f t="shared" si="20"/>
        <v>127113</v>
      </c>
      <c r="F152" s="98">
        <f t="shared" si="21"/>
        <v>0.13657593694296738</v>
      </c>
    </row>
    <row r="153" spans="1:6" ht="33.75" customHeight="1" x14ac:dyDescent="0.25">
      <c r="A153" s="101"/>
      <c r="B153" s="102" t="s">
        <v>147</v>
      </c>
      <c r="C153" s="103">
        <f>SUM(C142:C152)</f>
        <v>13104984</v>
      </c>
      <c r="D153" s="103">
        <f>SUM(D142:D152)</f>
        <v>14052140</v>
      </c>
      <c r="E153" s="103">
        <f t="shared" si="20"/>
        <v>947156</v>
      </c>
      <c r="F153" s="104">
        <f t="shared" si="21"/>
        <v>7.2274487324822376E-2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802409</v>
      </c>
      <c r="D155" s="97">
        <v>751574</v>
      </c>
      <c r="E155" s="97">
        <f t="shared" ref="E155:E166" si="22">D155-C155</f>
        <v>-50835</v>
      </c>
      <c r="F155" s="98">
        <f t="shared" ref="F155:F166" si="23">IF(C155=0,0,E155/C155)</f>
        <v>-6.3352978343961738E-2</v>
      </c>
    </row>
    <row r="156" spans="1:6" ht="18" customHeight="1" x14ac:dyDescent="0.25">
      <c r="A156" s="99">
        <v>2</v>
      </c>
      <c r="B156" s="100" t="s">
        <v>113</v>
      </c>
      <c r="C156" s="97">
        <v>18509</v>
      </c>
      <c r="D156" s="97">
        <v>22259</v>
      </c>
      <c r="E156" s="97">
        <f t="shared" si="22"/>
        <v>3750</v>
      </c>
      <c r="F156" s="98">
        <f t="shared" si="23"/>
        <v>0.20260413852720299</v>
      </c>
    </row>
    <row r="157" spans="1:6" ht="18" customHeight="1" x14ac:dyDescent="0.25">
      <c r="A157" s="99">
        <v>3</v>
      </c>
      <c r="B157" s="100" t="s">
        <v>114</v>
      </c>
      <c r="C157" s="97">
        <v>18706</v>
      </c>
      <c r="D157" s="97">
        <v>13668</v>
      </c>
      <c r="E157" s="97">
        <f t="shared" si="22"/>
        <v>-5038</v>
      </c>
      <c r="F157" s="98">
        <f t="shared" si="23"/>
        <v>-0.26932535015503045</v>
      </c>
    </row>
    <row r="158" spans="1:6" ht="18" customHeight="1" x14ac:dyDescent="0.25">
      <c r="A158" s="99">
        <v>4</v>
      </c>
      <c r="B158" s="100" t="s">
        <v>115</v>
      </c>
      <c r="C158" s="97">
        <v>64674</v>
      </c>
      <c r="D158" s="97">
        <v>100159</v>
      </c>
      <c r="E158" s="97">
        <f t="shared" si="22"/>
        <v>35485</v>
      </c>
      <c r="F158" s="98">
        <f t="shared" si="23"/>
        <v>0.54867489253795965</v>
      </c>
    </row>
    <row r="159" spans="1:6" ht="18" customHeight="1" x14ac:dyDescent="0.25">
      <c r="A159" s="99">
        <v>5</v>
      </c>
      <c r="B159" s="100" t="s">
        <v>116</v>
      </c>
      <c r="C159" s="97">
        <v>9619</v>
      </c>
      <c r="D159" s="97">
        <v>10827</v>
      </c>
      <c r="E159" s="97">
        <f t="shared" si="22"/>
        <v>1208</v>
      </c>
      <c r="F159" s="98">
        <f t="shared" si="23"/>
        <v>0.12558478012267388</v>
      </c>
    </row>
    <row r="160" spans="1:6" ht="18" customHeight="1" x14ac:dyDescent="0.25">
      <c r="A160" s="99">
        <v>6</v>
      </c>
      <c r="B160" s="100" t="s">
        <v>117</v>
      </c>
      <c r="C160" s="97">
        <v>81221</v>
      </c>
      <c r="D160" s="97">
        <v>168671</v>
      </c>
      <c r="E160" s="97">
        <f t="shared" si="22"/>
        <v>87450</v>
      </c>
      <c r="F160" s="98">
        <f t="shared" si="23"/>
        <v>1.0766919885251351</v>
      </c>
    </row>
    <row r="161" spans="1:6" ht="18" customHeight="1" x14ac:dyDescent="0.25">
      <c r="A161" s="99">
        <v>7</v>
      </c>
      <c r="B161" s="100" t="s">
        <v>118</v>
      </c>
      <c r="C161" s="97">
        <v>2178449</v>
      </c>
      <c r="D161" s="97">
        <v>2133967</v>
      </c>
      <c r="E161" s="97">
        <f t="shared" si="22"/>
        <v>-44482</v>
      </c>
      <c r="F161" s="98">
        <f t="shared" si="23"/>
        <v>-2.0419114700413001E-2</v>
      </c>
    </row>
    <row r="162" spans="1:6" ht="18" customHeight="1" x14ac:dyDescent="0.25">
      <c r="A162" s="99">
        <v>8</v>
      </c>
      <c r="B162" s="100" t="s">
        <v>119</v>
      </c>
      <c r="C162" s="97">
        <v>21737</v>
      </c>
      <c r="D162" s="97">
        <v>42118</v>
      </c>
      <c r="E162" s="97">
        <f t="shared" si="22"/>
        <v>20381</v>
      </c>
      <c r="F162" s="98">
        <f t="shared" si="23"/>
        <v>0.93761788655288214</v>
      </c>
    </row>
    <row r="163" spans="1:6" ht="18" customHeight="1" x14ac:dyDescent="0.25">
      <c r="A163" s="99">
        <v>9</v>
      </c>
      <c r="B163" s="100" t="s">
        <v>120</v>
      </c>
      <c r="C163" s="97">
        <v>438146</v>
      </c>
      <c r="D163" s="97">
        <v>511674</v>
      </c>
      <c r="E163" s="97">
        <f t="shared" si="22"/>
        <v>73528</v>
      </c>
      <c r="F163" s="98">
        <f t="shared" si="23"/>
        <v>0.16781620738292716</v>
      </c>
    </row>
    <row r="164" spans="1:6" ht="18" customHeight="1" x14ac:dyDescent="0.25">
      <c r="A164" s="99">
        <v>10</v>
      </c>
      <c r="B164" s="100" t="s">
        <v>121</v>
      </c>
      <c r="C164" s="97">
        <v>42837</v>
      </c>
      <c r="D164" s="97">
        <v>27372</v>
      </c>
      <c r="E164" s="97">
        <f t="shared" si="22"/>
        <v>-15465</v>
      </c>
      <c r="F164" s="98">
        <f t="shared" si="23"/>
        <v>-0.36101967924924716</v>
      </c>
    </row>
    <row r="165" spans="1:6" ht="18" customHeight="1" x14ac:dyDescent="0.25">
      <c r="A165" s="99">
        <v>11</v>
      </c>
      <c r="B165" s="100" t="s">
        <v>122</v>
      </c>
      <c r="C165" s="97">
        <v>92660</v>
      </c>
      <c r="D165" s="97">
        <v>126930</v>
      </c>
      <c r="E165" s="97">
        <f t="shared" si="22"/>
        <v>34270</v>
      </c>
      <c r="F165" s="98">
        <f t="shared" si="23"/>
        <v>0.3698467515648608</v>
      </c>
    </row>
    <row r="166" spans="1:6" ht="33.75" customHeight="1" x14ac:dyDescent="0.25">
      <c r="A166" s="101"/>
      <c r="B166" s="102" t="s">
        <v>149</v>
      </c>
      <c r="C166" s="103">
        <f>SUM(C155:C165)</f>
        <v>3768967</v>
      </c>
      <c r="D166" s="103">
        <f>SUM(D155:D165)</f>
        <v>3909219</v>
      </c>
      <c r="E166" s="103">
        <f t="shared" si="22"/>
        <v>140252</v>
      </c>
      <c r="F166" s="104">
        <f t="shared" si="23"/>
        <v>3.7212318388566416E-2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2961</v>
      </c>
      <c r="D168" s="117">
        <v>2883</v>
      </c>
      <c r="E168" s="117">
        <f t="shared" ref="E168:E179" si="24">D168-C168</f>
        <v>-78</v>
      </c>
      <c r="F168" s="98">
        <f t="shared" ref="F168:F179" si="25">IF(C168=0,0,E168/C168)</f>
        <v>-2.6342451874366769E-2</v>
      </c>
    </row>
    <row r="169" spans="1:6" ht="18" customHeight="1" x14ac:dyDescent="0.25">
      <c r="A169" s="99">
        <v>2</v>
      </c>
      <c r="B169" s="100" t="s">
        <v>113</v>
      </c>
      <c r="C169" s="117">
        <v>77</v>
      </c>
      <c r="D169" s="117">
        <v>88</v>
      </c>
      <c r="E169" s="117">
        <f t="shared" si="24"/>
        <v>11</v>
      </c>
      <c r="F169" s="98">
        <f t="shared" si="25"/>
        <v>0.14285714285714285</v>
      </c>
    </row>
    <row r="170" spans="1:6" ht="18" customHeight="1" x14ac:dyDescent="0.25">
      <c r="A170" s="99">
        <v>3</v>
      </c>
      <c r="B170" s="100" t="s">
        <v>114</v>
      </c>
      <c r="C170" s="117">
        <v>223</v>
      </c>
      <c r="D170" s="117">
        <v>113</v>
      </c>
      <c r="E170" s="117">
        <f t="shared" si="24"/>
        <v>-110</v>
      </c>
      <c r="F170" s="98">
        <f t="shared" si="25"/>
        <v>-0.49327354260089684</v>
      </c>
    </row>
    <row r="171" spans="1:6" ht="18" customHeight="1" x14ac:dyDescent="0.25">
      <c r="A171" s="99">
        <v>4</v>
      </c>
      <c r="B171" s="100" t="s">
        <v>115</v>
      </c>
      <c r="C171" s="117">
        <v>773</v>
      </c>
      <c r="D171" s="117">
        <v>939</v>
      </c>
      <c r="E171" s="117">
        <f t="shared" si="24"/>
        <v>166</v>
      </c>
      <c r="F171" s="98">
        <f t="shared" si="25"/>
        <v>0.2147477360931436</v>
      </c>
    </row>
    <row r="172" spans="1:6" ht="18" customHeight="1" x14ac:dyDescent="0.25">
      <c r="A172" s="99">
        <v>5</v>
      </c>
      <c r="B172" s="100" t="s">
        <v>116</v>
      </c>
      <c r="C172" s="117">
        <v>34</v>
      </c>
      <c r="D172" s="117">
        <v>45</v>
      </c>
      <c r="E172" s="117">
        <f t="shared" si="24"/>
        <v>11</v>
      </c>
      <c r="F172" s="98">
        <f t="shared" si="25"/>
        <v>0.3235294117647059</v>
      </c>
    </row>
    <row r="173" spans="1:6" ht="18" customHeight="1" x14ac:dyDescent="0.25">
      <c r="A173" s="99">
        <v>6</v>
      </c>
      <c r="B173" s="100" t="s">
        <v>117</v>
      </c>
      <c r="C173" s="117">
        <v>813</v>
      </c>
      <c r="D173" s="117">
        <v>660</v>
      </c>
      <c r="E173" s="117">
        <f t="shared" si="24"/>
        <v>-153</v>
      </c>
      <c r="F173" s="98">
        <f t="shared" si="25"/>
        <v>-0.18819188191881919</v>
      </c>
    </row>
    <row r="174" spans="1:6" ht="18" customHeight="1" x14ac:dyDescent="0.25">
      <c r="A174" s="99">
        <v>7</v>
      </c>
      <c r="B174" s="100" t="s">
        <v>118</v>
      </c>
      <c r="C174" s="117">
        <v>6428</v>
      </c>
      <c r="D174" s="117">
        <v>5869</v>
      </c>
      <c r="E174" s="117">
        <f t="shared" si="24"/>
        <v>-559</v>
      </c>
      <c r="F174" s="98">
        <f t="shared" si="25"/>
        <v>-8.6963285625388922E-2</v>
      </c>
    </row>
    <row r="175" spans="1:6" ht="18" customHeight="1" x14ac:dyDescent="0.25">
      <c r="A175" s="99">
        <v>8</v>
      </c>
      <c r="B175" s="100" t="s">
        <v>119</v>
      </c>
      <c r="C175" s="117">
        <v>528</v>
      </c>
      <c r="D175" s="117">
        <v>552</v>
      </c>
      <c r="E175" s="117">
        <f t="shared" si="24"/>
        <v>24</v>
      </c>
      <c r="F175" s="98">
        <f t="shared" si="25"/>
        <v>4.5454545454545456E-2</v>
      </c>
    </row>
    <row r="176" spans="1:6" ht="18" customHeight="1" x14ac:dyDescent="0.25">
      <c r="A176" s="99">
        <v>9</v>
      </c>
      <c r="B176" s="100" t="s">
        <v>120</v>
      </c>
      <c r="C176" s="117">
        <v>1652</v>
      </c>
      <c r="D176" s="117">
        <v>1386</v>
      </c>
      <c r="E176" s="117">
        <f t="shared" si="24"/>
        <v>-266</v>
      </c>
      <c r="F176" s="98">
        <f t="shared" si="25"/>
        <v>-0.16101694915254236</v>
      </c>
    </row>
    <row r="177" spans="1:6" ht="18" customHeight="1" x14ac:dyDescent="0.25">
      <c r="A177" s="99">
        <v>10</v>
      </c>
      <c r="B177" s="100" t="s">
        <v>121</v>
      </c>
      <c r="C177" s="117">
        <v>141</v>
      </c>
      <c r="D177" s="117">
        <v>117</v>
      </c>
      <c r="E177" s="117">
        <f t="shared" si="24"/>
        <v>-24</v>
      </c>
      <c r="F177" s="98">
        <f t="shared" si="25"/>
        <v>-0.1702127659574468</v>
      </c>
    </row>
    <row r="178" spans="1:6" ht="18" customHeight="1" x14ac:dyDescent="0.25">
      <c r="A178" s="99">
        <v>11</v>
      </c>
      <c r="B178" s="100" t="s">
        <v>122</v>
      </c>
      <c r="C178" s="117">
        <v>859</v>
      </c>
      <c r="D178" s="117">
        <v>1016</v>
      </c>
      <c r="E178" s="117">
        <f t="shared" si="24"/>
        <v>157</v>
      </c>
      <c r="F178" s="98">
        <f t="shared" si="25"/>
        <v>0.18277066356228172</v>
      </c>
    </row>
    <row r="179" spans="1:6" ht="33.75" customHeight="1" x14ac:dyDescent="0.25">
      <c r="A179" s="101"/>
      <c r="B179" s="102" t="s">
        <v>151</v>
      </c>
      <c r="C179" s="118">
        <f>SUM(C168:C178)</f>
        <v>14489</v>
      </c>
      <c r="D179" s="118">
        <f>SUM(D168:D178)</f>
        <v>13668</v>
      </c>
      <c r="E179" s="118">
        <f t="shared" si="24"/>
        <v>-821</v>
      </c>
      <c r="F179" s="104">
        <f t="shared" si="25"/>
        <v>-5.6663675892056044E-2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FILING&amp;RESSENT-SHARON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6533428</v>
      </c>
      <c r="D15" s="146">
        <v>6653099</v>
      </c>
      <c r="E15" s="146">
        <f>+D15-C15</f>
        <v>119671</v>
      </c>
      <c r="F15" s="150">
        <f>IF(C15=0,0,E15/C15)</f>
        <v>1.8316724390320057E-2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9011172</v>
      </c>
      <c r="D17" s="146">
        <v>8799573</v>
      </c>
      <c r="E17" s="146">
        <f>+D17-C17</f>
        <v>-211599</v>
      </c>
      <c r="F17" s="150">
        <f>IF(C17=0,0,E17/C17)</f>
        <v>-2.3481851195382798E-2</v>
      </c>
    </row>
    <row r="18" spans="1:7" ht="15.75" customHeight="1" x14ac:dyDescent="0.25">
      <c r="A18" s="141"/>
      <c r="B18" s="151" t="s">
        <v>160</v>
      </c>
      <c r="C18" s="147">
        <f>SUM(C15:C17)</f>
        <v>15544600</v>
      </c>
      <c r="D18" s="147">
        <f>SUM(D15:D17)</f>
        <v>15452672</v>
      </c>
      <c r="E18" s="147">
        <f>+D18-C18</f>
        <v>-91928</v>
      </c>
      <c r="F18" s="148">
        <f>IF(C18=0,0,E18/C18)</f>
        <v>-5.9138221633235977E-3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1425678</v>
      </c>
      <c r="D21" s="146">
        <v>1690804</v>
      </c>
      <c r="E21" s="146">
        <f>+D21-C21</f>
        <v>265126</v>
      </c>
      <c r="F21" s="150">
        <f>IF(C21=0,0,E21/C21)</f>
        <v>0.18596485321369902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1932907</v>
      </c>
      <c r="D23" s="146">
        <v>2271298</v>
      </c>
      <c r="E23" s="146">
        <f>+D23-C23</f>
        <v>338391</v>
      </c>
      <c r="F23" s="150">
        <f>IF(C23=0,0,E23/C23)</f>
        <v>0.17506843319414747</v>
      </c>
    </row>
    <row r="24" spans="1:7" ht="15.75" customHeight="1" x14ac:dyDescent="0.25">
      <c r="A24" s="141"/>
      <c r="B24" s="151" t="s">
        <v>165</v>
      </c>
      <c r="C24" s="147">
        <f>SUM(C21:C23)</f>
        <v>3358585</v>
      </c>
      <c r="D24" s="147">
        <f>SUM(D21:D23)</f>
        <v>3962102</v>
      </c>
      <c r="E24" s="147">
        <f>+D24-C24</f>
        <v>603517</v>
      </c>
      <c r="F24" s="148">
        <f>IF(C24=0,0,E24/C24)</f>
        <v>0.17969382939541503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739745</v>
      </c>
      <c r="D27" s="146">
        <v>1201</v>
      </c>
      <c r="E27" s="146">
        <f>+D27-C27</f>
        <v>-738544</v>
      </c>
      <c r="F27" s="150">
        <f>IF(C27=0,0,E27/C27)</f>
        <v>-0.99837646756652632</v>
      </c>
    </row>
    <row r="28" spans="1:7" ht="15" customHeight="1" x14ac:dyDescent="0.2">
      <c r="A28" s="141">
        <v>2</v>
      </c>
      <c r="B28" s="149" t="s">
        <v>168</v>
      </c>
      <c r="C28" s="146">
        <v>1137397</v>
      </c>
      <c r="D28" s="146">
        <v>1215173</v>
      </c>
      <c r="E28" s="146">
        <f>+D28-C28</f>
        <v>77776</v>
      </c>
      <c r="F28" s="150">
        <f>IF(C28=0,0,E28/C28)</f>
        <v>6.8380697329076826E-2</v>
      </c>
    </row>
    <row r="29" spans="1:7" ht="15" customHeight="1" x14ac:dyDescent="0.2">
      <c r="A29" s="141">
        <v>3</v>
      </c>
      <c r="B29" s="149" t="s">
        <v>169</v>
      </c>
      <c r="C29" s="146">
        <v>104193</v>
      </c>
      <c r="D29" s="146">
        <v>45894</v>
      </c>
      <c r="E29" s="146">
        <f>+D29-C29</f>
        <v>-58299</v>
      </c>
      <c r="F29" s="150">
        <f>IF(C29=0,0,E29/C29)</f>
        <v>-0.55952895108116663</v>
      </c>
    </row>
    <row r="30" spans="1:7" ht="15.75" customHeight="1" x14ac:dyDescent="0.25">
      <c r="A30" s="141"/>
      <c r="B30" s="151" t="s">
        <v>170</v>
      </c>
      <c r="C30" s="147">
        <f>SUM(C27:C29)</f>
        <v>1981335</v>
      </c>
      <c r="D30" s="147">
        <f>SUM(D27:D29)</f>
        <v>1262268</v>
      </c>
      <c r="E30" s="147">
        <f>+D30-C30</f>
        <v>-719067</v>
      </c>
      <c r="F30" s="148">
        <f>IF(C30=0,0,E30/C30)</f>
        <v>-0.36292045514766558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4879877</v>
      </c>
      <c r="D33" s="146">
        <v>4439899</v>
      </c>
      <c r="E33" s="146">
        <f>+D33-C33</f>
        <v>-439978</v>
      </c>
      <c r="F33" s="150">
        <f>IF(C33=0,0,E33/C33)</f>
        <v>-9.0161698747734831E-2</v>
      </c>
    </row>
    <row r="34" spans="1:7" ht="15" customHeight="1" x14ac:dyDescent="0.2">
      <c r="A34" s="141">
        <v>2</v>
      </c>
      <c r="B34" s="149" t="s">
        <v>174</v>
      </c>
      <c r="C34" s="146">
        <v>1156384</v>
      </c>
      <c r="D34" s="146">
        <v>1249825</v>
      </c>
      <c r="E34" s="146">
        <f>+D34-C34</f>
        <v>93441</v>
      </c>
      <c r="F34" s="150">
        <f>IF(C34=0,0,E34/C34)</f>
        <v>8.0804473254559042E-2</v>
      </c>
    </row>
    <row r="35" spans="1:7" ht="15.75" customHeight="1" x14ac:dyDescent="0.25">
      <c r="A35" s="141"/>
      <c r="B35" s="151" t="s">
        <v>175</v>
      </c>
      <c r="C35" s="147">
        <f>SUM(C33:C34)</f>
        <v>6036261</v>
      </c>
      <c r="D35" s="147">
        <f>SUM(D33:D34)</f>
        <v>5689724</v>
      </c>
      <c r="E35" s="147">
        <f>+D35-C35</f>
        <v>-346537</v>
      </c>
      <c r="F35" s="148">
        <f>IF(C35=0,0,E35/C35)</f>
        <v>-5.7409214081365935E-2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1575185</v>
      </c>
      <c r="D38" s="146">
        <v>1579981</v>
      </c>
      <c r="E38" s="146">
        <f>+D38-C38</f>
        <v>4796</v>
      </c>
      <c r="F38" s="150">
        <f>IF(C38=0,0,E38/C38)</f>
        <v>3.044721731098252E-3</v>
      </c>
    </row>
    <row r="39" spans="1:7" ht="15" customHeight="1" x14ac:dyDescent="0.2">
      <c r="A39" s="141">
        <v>2</v>
      </c>
      <c r="B39" s="149" t="s">
        <v>179</v>
      </c>
      <c r="C39" s="146">
        <v>1847561</v>
      </c>
      <c r="D39" s="146">
        <v>1567837</v>
      </c>
      <c r="E39" s="146">
        <f>+D39-C39</f>
        <v>-279724</v>
      </c>
      <c r="F39" s="150">
        <f>IF(C39=0,0,E39/C39)</f>
        <v>-0.15140176697819449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3422746</v>
      </c>
      <c r="D41" s="147">
        <f>SUM(D38:D40)</f>
        <v>3147818</v>
      </c>
      <c r="E41" s="147">
        <f>+D41-C41</f>
        <v>-274928</v>
      </c>
      <c r="F41" s="148">
        <f>IF(C41=0,0,E41/C41)</f>
        <v>-8.032381018048082E-2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2953540</v>
      </c>
      <c r="D44" s="146">
        <v>1748130</v>
      </c>
      <c r="E44" s="146">
        <f>+D44-C44</f>
        <v>-1205410</v>
      </c>
      <c r="F44" s="150">
        <f>IF(C44=0,0,E44/C44)</f>
        <v>-0.40812381074913495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2032328</v>
      </c>
      <c r="D47" s="146">
        <v>1629083</v>
      </c>
      <c r="E47" s="146">
        <f>+D47-C47</f>
        <v>-403245</v>
      </c>
      <c r="F47" s="150">
        <f>IF(C47=0,0,E47/C47)</f>
        <v>-0.19841531485075245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687844</v>
      </c>
      <c r="D50" s="146">
        <v>1150400</v>
      </c>
      <c r="E50" s="146">
        <f>+D50-C50</f>
        <v>462556</v>
      </c>
      <c r="F50" s="150">
        <f>IF(C50=0,0,E50/C50)</f>
        <v>0.6724722466140578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115488</v>
      </c>
      <c r="D53" s="146">
        <v>108371</v>
      </c>
      <c r="E53" s="146">
        <f t="shared" ref="E53:E59" si="0">+D53-C53</f>
        <v>-7117</v>
      </c>
      <c r="F53" s="150">
        <f t="shared" ref="F53:F59" si="1">IF(C53=0,0,E53/C53)</f>
        <v>-6.162545026323081E-2</v>
      </c>
    </row>
    <row r="54" spans="1:7" ht="15" customHeight="1" x14ac:dyDescent="0.2">
      <c r="A54" s="141">
        <v>2</v>
      </c>
      <c r="B54" s="149" t="s">
        <v>193</v>
      </c>
      <c r="C54" s="146">
        <v>26348</v>
      </c>
      <c r="D54" s="146">
        <v>22284</v>
      </c>
      <c r="E54" s="146">
        <f t="shared" si="0"/>
        <v>-4064</v>
      </c>
      <c r="F54" s="150">
        <f t="shared" si="1"/>
        <v>-0.15424320631546987</v>
      </c>
    </row>
    <row r="55" spans="1:7" ht="15" customHeight="1" x14ac:dyDescent="0.2">
      <c r="A55" s="141">
        <v>3</v>
      </c>
      <c r="B55" s="149" t="s">
        <v>194</v>
      </c>
      <c r="C55" s="146">
        <v>483152</v>
      </c>
      <c r="D55" s="146">
        <v>470319</v>
      </c>
      <c r="E55" s="146">
        <f t="shared" si="0"/>
        <v>-12833</v>
      </c>
      <c r="F55" s="150">
        <f t="shared" si="1"/>
        <v>-2.6560999437030167E-2</v>
      </c>
    </row>
    <row r="56" spans="1:7" ht="15" customHeight="1" x14ac:dyDescent="0.2">
      <c r="A56" s="141">
        <v>4</v>
      </c>
      <c r="B56" s="149" t="s">
        <v>195</v>
      </c>
      <c r="C56" s="146">
        <v>820953</v>
      </c>
      <c r="D56" s="146">
        <v>736559</v>
      </c>
      <c r="E56" s="146">
        <f t="shared" si="0"/>
        <v>-84394</v>
      </c>
      <c r="F56" s="150">
        <f t="shared" si="1"/>
        <v>-0.10280003849185032</v>
      </c>
    </row>
    <row r="57" spans="1:7" ht="15" customHeight="1" x14ac:dyDescent="0.2">
      <c r="A57" s="141">
        <v>5</v>
      </c>
      <c r="B57" s="149" t="s">
        <v>196</v>
      </c>
      <c r="C57" s="146">
        <v>94380</v>
      </c>
      <c r="D57" s="146">
        <v>75358</v>
      </c>
      <c r="E57" s="146">
        <f t="shared" si="0"/>
        <v>-19022</v>
      </c>
      <c r="F57" s="150">
        <f t="shared" si="1"/>
        <v>-0.20154693791057426</v>
      </c>
    </row>
    <row r="58" spans="1:7" ht="15" customHeight="1" x14ac:dyDescent="0.2">
      <c r="A58" s="141">
        <v>6</v>
      </c>
      <c r="B58" s="149" t="s">
        <v>197</v>
      </c>
      <c r="C58" s="146">
        <v>38745</v>
      </c>
      <c r="D58" s="146">
        <v>46881</v>
      </c>
      <c r="E58" s="146">
        <f t="shared" si="0"/>
        <v>8136</v>
      </c>
      <c r="F58" s="150">
        <f t="shared" si="1"/>
        <v>0.2099883855981417</v>
      </c>
    </row>
    <row r="59" spans="1:7" ht="15.75" customHeight="1" x14ac:dyDescent="0.25">
      <c r="A59" s="141"/>
      <c r="B59" s="151" t="s">
        <v>198</v>
      </c>
      <c r="C59" s="147">
        <f>SUM(C53:C58)</f>
        <v>1579066</v>
      </c>
      <c r="D59" s="147">
        <f>SUM(D53:D58)</f>
        <v>1459772</v>
      </c>
      <c r="E59" s="147">
        <f t="shared" si="0"/>
        <v>-119294</v>
      </c>
      <c r="F59" s="148">
        <f t="shared" si="1"/>
        <v>-7.5547190554416346E-2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80100</v>
      </c>
      <c r="D62" s="146">
        <v>76800</v>
      </c>
      <c r="E62" s="146">
        <f t="shared" ref="E62:E78" si="2">+D62-C62</f>
        <v>-3300</v>
      </c>
      <c r="F62" s="150">
        <f t="shared" ref="F62:F78" si="3">IF(C62=0,0,E62/C62)</f>
        <v>-4.1198501872659173E-2</v>
      </c>
    </row>
    <row r="63" spans="1:7" ht="15" customHeight="1" x14ac:dyDescent="0.2">
      <c r="A63" s="141">
        <v>2</v>
      </c>
      <c r="B63" s="149" t="s">
        <v>202</v>
      </c>
      <c r="C63" s="146">
        <v>178031</v>
      </c>
      <c r="D63" s="146">
        <v>68597</v>
      </c>
      <c r="E63" s="146">
        <f t="shared" si="2"/>
        <v>-109434</v>
      </c>
      <c r="F63" s="150">
        <f t="shared" si="3"/>
        <v>-0.61469069993428116</v>
      </c>
    </row>
    <row r="64" spans="1:7" ht="15" customHeight="1" x14ac:dyDescent="0.2">
      <c r="A64" s="141">
        <v>3</v>
      </c>
      <c r="B64" s="149" t="s">
        <v>203</v>
      </c>
      <c r="C64" s="146">
        <v>149024</v>
      </c>
      <c r="D64" s="146">
        <v>168857</v>
      </c>
      <c r="E64" s="146">
        <f t="shared" si="2"/>
        <v>19833</v>
      </c>
      <c r="F64" s="150">
        <f t="shared" si="3"/>
        <v>0.13308594588791067</v>
      </c>
    </row>
    <row r="65" spans="1:7" ht="15" customHeight="1" x14ac:dyDescent="0.2">
      <c r="A65" s="141">
        <v>4</v>
      </c>
      <c r="B65" s="149" t="s">
        <v>204</v>
      </c>
      <c r="C65" s="146">
        <v>0</v>
      </c>
      <c r="D65" s="146">
        <v>0</v>
      </c>
      <c r="E65" s="146">
        <f t="shared" si="2"/>
        <v>0</v>
      </c>
      <c r="F65" s="150">
        <f t="shared" si="3"/>
        <v>0</v>
      </c>
    </row>
    <row r="66" spans="1:7" ht="15" customHeight="1" x14ac:dyDescent="0.2">
      <c r="A66" s="141">
        <v>5</v>
      </c>
      <c r="B66" s="149" t="s">
        <v>205</v>
      </c>
      <c r="C66" s="146">
        <v>276766</v>
      </c>
      <c r="D66" s="146">
        <v>258482</v>
      </c>
      <c r="E66" s="146">
        <f t="shared" si="2"/>
        <v>-18284</v>
      </c>
      <c r="F66" s="150">
        <f t="shared" si="3"/>
        <v>-6.6063027973089175E-2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1707964</v>
      </c>
      <c r="D68" s="146">
        <v>1789174</v>
      </c>
      <c r="E68" s="146">
        <f t="shared" si="2"/>
        <v>81210</v>
      </c>
      <c r="F68" s="150">
        <f t="shared" si="3"/>
        <v>4.754784058680394E-2</v>
      </c>
    </row>
    <row r="69" spans="1:7" ht="15" customHeight="1" x14ac:dyDescent="0.2">
      <c r="A69" s="141">
        <v>8</v>
      </c>
      <c r="B69" s="149" t="s">
        <v>208</v>
      </c>
      <c r="C69" s="146">
        <v>646792</v>
      </c>
      <c r="D69" s="146">
        <v>273754</v>
      </c>
      <c r="E69" s="146">
        <f t="shared" si="2"/>
        <v>-373038</v>
      </c>
      <c r="F69" s="150">
        <f t="shared" si="3"/>
        <v>-0.5767511039097577</v>
      </c>
    </row>
    <row r="70" spans="1:7" ht="15" customHeight="1" x14ac:dyDescent="0.2">
      <c r="A70" s="141">
        <v>9</v>
      </c>
      <c r="B70" s="149" t="s">
        <v>209</v>
      </c>
      <c r="C70" s="146">
        <v>28506</v>
      </c>
      <c r="D70" s="146">
        <v>38630</v>
      </c>
      <c r="E70" s="146">
        <f t="shared" si="2"/>
        <v>10124</v>
      </c>
      <c r="F70" s="150">
        <f t="shared" si="3"/>
        <v>0.35515330105942611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344486</v>
      </c>
      <c r="D72" s="146">
        <v>279580</v>
      </c>
      <c r="E72" s="146">
        <f t="shared" si="2"/>
        <v>-64906</v>
      </c>
      <c r="F72" s="150">
        <f t="shared" si="3"/>
        <v>-0.18841404295094721</v>
      </c>
    </row>
    <row r="73" spans="1:7" ht="15" customHeight="1" x14ac:dyDescent="0.2">
      <c r="A73" s="141">
        <v>12</v>
      </c>
      <c r="B73" s="149" t="s">
        <v>212</v>
      </c>
      <c r="C73" s="146">
        <v>254011</v>
      </c>
      <c r="D73" s="146">
        <v>281572</v>
      </c>
      <c r="E73" s="146">
        <f t="shared" si="2"/>
        <v>27561</v>
      </c>
      <c r="F73" s="150">
        <f t="shared" si="3"/>
        <v>0.10850317505934783</v>
      </c>
    </row>
    <row r="74" spans="1:7" ht="15" customHeight="1" x14ac:dyDescent="0.2">
      <c r="A74" s="141">
        <v>13</v>
      </c>
      <c r="B74" s="149" t="s">
        <v>213</v>
      </c>
      <c r="C74" s="146">
        <v>48174</v>
      </c>
      <c r="D74" s="146">
        <v>62418</v>
      </c>
      <c r="E74" s="146">
        <f t="shared" si="2"/>
        <v>14244</v>
      </c>
      <c r="F74" s="150">
        <f t="shared" si="3"/>
        <v>0.29567816664590857</v>
      </c>
    </row>
    <row r="75" spans="1:7" ht="15" customHeight="1" x14ac:dyDescent="0.2">
      <c r="A75" s="141">
        <v>14</v>
      </c>
      <c r="B75" s="149" t="s">
        <v>214</v>
      </c>
      <c r="C75" s="146">
        <v>42283</v>
      </c>
      <c r="D75" s="146">
        <v>43135</v>
      </c>
      <c r="E75" s="146">
        <f t="shared" si="2"/>
        <v>852</v>
      </c>
      <c r="F75" s="150">
        <f t="shared" si="3"/>
        <v>2.0149942057091502E-2</v>
      </c>
    </row>
    <row r="76" spans="1:7" ht="15" customHeight="1" x14ac:dyDescent="0.2">
      <c r="A76" s="141">
        <v>15</v>
      </c>
      <c r="B76" s="149" t="s">
        <v>215</v>
      </c>
      <c r="C76" s="146">
        <v>247486</v>
      </c>
      <c r="D76" s="146">
        <v>503754</v>
      </c>
      <c r="E76" s="146">
        <f t="shared" si="2"/>
        <v>256268</v>
      </c>
      <c r="F76" s="150">
        <f t="shared" si="3"/>
        <v>1.0354848355058468</v>
      </c>
    </row>
    <row r="77" spans="1:7" ht="15" customHeight="1" x14ac:dyDescent="0.2">
      <c r="A77" s="141">
        <v>16</v>
      </c>
      <c r="B77" s="149" t="s">
        <v>216</v>
      </c>
      <c r="C77" s="146">
        <v>8083433</v>
      </c>
      <c r="D77" s="146">
        <v>8761876</v>
      </c>
      <c r="E77" s="146">
        <f t="shared" si="2"/>
        <v>678443</v>
      </c>
      <c r="F77" s="150">
        <f t="shared" si="3"/>
        <v>8.3930057934543403E-2</v>
      </c>
    </row>
    <row r="78" spans="1:7" ht="15.75" customHeight="1" x14ac:dyDescent="0.25">
      <c r="A78" s="141"/>
      <c r="B78" s="151" t="s">
        <v>217</v>
      </c>
      <c r="C78" s="147">
        <f>SUM(C62:C77)</f>
        <v>12087056</v>
      </c>
      <c r="D78" s="147">
        <f>SUM(D62:D77)</f>
        <v>12606629</v>
      </c>
      <c r="E78" s="147">
        <f t="shared" si="2"/>
        <v>519573</v>
      </c>
      <c r="F78" s="148">
        <f t="shared" si="3"/>
        <v>4.2985901612435651E-2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49683361</v>
      </c>
      <c r="D83" s="147">
        <f>+D81+D78+D59+D50+D47+D44+D41+D35+D30+D24+D18</f>
        <v>48108598</v>
      </c>
      <c r="E83" s="147">
        <f>+D83-C83</f>
        <v>-1574763</v>
      </c>
      <c r="F83" s="148">
        <f>IF(C83=0,0,E83/C83)</f>
        <v>-3.1695983691602508E-2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6593062</v>
      </c>
      <c r="D91" s="146">
        <v>7135946</v>
      </c>
      <c r="E91" s="146">
        <f t="shared" ref="E91:E109" si="4">D91-C91</f>
        <v>542884</v>
      </c>
      <c r="F91" s="150">
        <f t="shared" ref="F91:F109" si="5">IF(C91=0,0,E91/C91)</f>
        <v>8.2341710118909853E-2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0</v>
      </c>
      <c r="D92" s="146">
        <v>0</v>
      </c>
      <c r="E92" s="146">
        <f t="shared" si="4"/>
        <v>0</v>
      </c>
      <c r="F92" s="150">
        <f t="shared" si="5"/>
        <v>0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0</v>
      </c>
      <c r="D93" s="146">
        <v>0</v>
      </c>
      <c r="E93" s="146">
        <f t="shared" si="4"/>
        <v>0</v>
      </c>
      <c r="F93" s="150">
        <f t="shared" si="5"/>
        <v>0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0</v>
      </c>
      <c r="D94" s="146">
        <v>0</v>
      </c>
      <c r="E94" s="146">
        <f t="shared" si="4"/>
        <v>0</v>
      </c>
      <c r="F94" s="150">
        <f t="shared" si="5"/>
        <v>0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0</v>
      </c>
      <c r="D97" s="146">
        <v>0</v>
      </c>
      <c r="E97" s="146">
        <f t="shared" si="4"/>
        <v>0</v>
      </c>
      <c r="F97" s="150">
        <f t="shared" si="5"/>
        <v>0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448808</v>
      </c>
      <c r="D98" s="146">
        <v>720763</v>
      </c>
      <c r="E98" s="146">
        <f t="shared" si="4"/>
        <v>271955</v>
      </c>
      <c r="F98" s="150">
        <f t="shared" si="5"/>
        <v>0.60594953744140034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839961</v>
      </c>
      <c r="D100" s="146">
        <v>831513</v>
      </c>
      <c r="E100" s="146">
        <f t="shared" si="4"/>
        <v>-8448</v>
      </c>
      <c r="F100" s="150">
        <f t="shared" si="5"/>
        <v>-1.0057609817598675E-2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484917</v>
      </c>
      <c r="D101" s="146">
        <v>465973</v>
      </c>
      <c r="E101" s="146">
        <f t="shared" si="4"/>
        <v>-18944</v>
      </c>
      <c r="F101" s="150">
        <f t="shared" si="5"/>
        <v>-3.9066479418127228E-2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220395</v>
      </c>
      <c r="D102" s="146">
        <v>217330</v>
      </c>
      <c r="E102" s="146">
        <f t="shared" si="4"/>
        <v>-3065</v>
      </c>
      <c r="F102" s="150">
        <f t="shared" si="5"/>
        <v>-1.3906849066448877E-2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2694259</v>
      </c>
      <c r="D103" s="146">
        <v>2423205</v>
      </c>
      <c r="E103" s="146">
        <f t="shared" si="4"/>
        <v>-271054</v>
      </c>
      <c r="F103" s="150">
        <f t="shared" si="5"/>
        <v>-0.10060428488872079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1976130</v>
      </c>
      <c r="D107" s="146">
        <v>1957958</v>
      </c>
      <c r="E107" s="146">
        <f t="shared" si="4"/>
        <v>-18172</v>
      </c>
      <c r="F107" s="150">
        <f t="shared" si="5"/>
        <v>-9.1957512916660336E-3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15263842</v>
      </c>
      <c r="D108" s="146">
        <v>14136249</v>
      </c>
      <c r="E108" s="146">
        <f t="shared" si="4"/>
        <v>-1127593</v>
      </c>
      <c r="F108" s="150">
        <f t="shared" si="5"/>
        <v>-7.3873471698671936E-2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28521374</v>
      </c>
      <c r="D109" s="147">
        <f>SUM(D91:D108)</f>
        <v>27888937</v>
      </c>
      <c r="E109" s="147">
        <f t="shared" si="4"/>
        <v>-632437</v>
      </c>
      <c r="F109" s="148">
        <f t="shared" si="5"/>
        <v>-2.2174142101288669E-2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902839</v>
      </c>
      <c r="D112" s="146">
        <v>968482</v>
      </c>
      <c r="E112" s="146">
        <f t="shared" ref="E112:E118" si="6">D112-C112</f>
        <v>65643</v>
      </c>
      <c r="F112" s="150">
        <f t="shared" ref="F112:F118" si="7">IF(C112=0,0,E112/C112)</f>
        <v>7.270731547928258E-2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956989</v>
      </c>
      <c r="D114" s="146">
        <v>977832</v>
      </c>
      <c r="E114" s="146">
        <f t="shared" si="6"/>
        <v>20843</v>
      </c>
      <c r="F114" s="150">
        <f t="shared" si="7"/>
        <v>2.1779769673423623E-2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0</v>
      </c>
      <c r="D115" s="146">
        <v>0</v>
      </c>
      <c r="E115" s="146">
        <f t="shared" si="6"/>
        <v>0</v>
      </c>
      <c r="F115" s="150">
        <f t="shared" si="7"/>
        <v>0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222915</v>
      </c>
      <c r="D116" s="146">
        <v>219175</v>
      </c>
      <c r="E116" s="146">
        <f t="shared" si="6"/>
        <v>-3740</v>
      </c>
      <c r="F116" s="150">
        <f t="shared" si="7"/>
        <v>-1.6777695534172219E-2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2082743</v>
      </c>
      <c r="D118" s="147">
        <f>SUM(D112:D117)</f>
        <v>2165489</v>
      </c>
      <c r="E118" s="147">
        <f t="shared" si="6"/>
        <v>82746</v>
      </c>
      <c r="F118" s="148">
        <f t="shared" si="7"/>
        <v>3.9729337705132123E-2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1851293</v>
      </c>
      <c r="D121" s="146">
        <v>1735663</v>
      </c>
      <c r="E121" s="146">
        <f t="shared" ref="E121:E155" si="8">D121-C121</f>
        <v>-115630</v>
      </c>
      <c r="F121" s="150">
        <f t="shared" ref="F121:F155" si="9">IF(C121=0,0,E121/C121)</f>
        <v>-6.245904889177456E-2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195456</v>
      </c>
      <c r="D122" s="146">
        <v>155229</v>
      </c>
      <c r="E122" s="146">
        <f t="shared" si="8"/>
        <v>-40227</v>
      </c>
      <c r="F122" s="150">
        <f t="shared" si="9"/>
        <v>-0.20581102652259331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37148</v>
      </c>
      <c r="D123" s="146">
        <v>36076</v>
      </c>
      <c r="E123" s="146">
        <f t="shared" si="8"/>
        <v>-1072</v>
      </c>
      <c r="F123" s="150">
        <f t="shared" si="9"/>
        <v>-2.8857542801765911E-2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285056</v>
      </c>
      <c r="D124" s="146">
        <v>323459</v>
      </c>
      <c r="E124" s="146">
        <f t="shared" si="8"/>
        <v>38403</v>
      </c>
      <c r="F124" s="150">
        <f t="shared" si="9"/>
        <v>0.13472089694656489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1713927</v>
      </c>
      <c r="D125" s="146">
        <v>1726192</v>
      </c>
      <c r="E125" s="146">
        <f t="shared" si="8"/>
        <v>12265</v>
      </c>
      <c r="F125" s="150">
        <f t="shared" si="9"/>
        <v>7.1560807432288539E-3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339983</v>
      </c>
      <c r="D128" s="146">
        <v>349745</v>
      </c>
      <c r="E128" s="146">
        <f t="shared" si="8"/>
        <v>9762</v>
      </c>
      <c r="F128" s="150">
        <f t="shared" si="9"/>
        <v>2.8713200365900648E-2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247539</v>
      </c>
      <c r="D129" s="146">
        <v>231656</v>
      </c>
      <c r="E129" s="146">
        <f t="shared" si="8"/>
        <v>-15883</v>
      </c>
      <c r="F129" s="150">
        <f t="shared" si="9"/>
        <v>-6.4163626741644747E-2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2770169</v>
      </c>
      <c r="D130" s="146">
        <v>2699960</v>
      </c>
      <c r="E130" s="146">
        <f t="shared" si="8"/>
        <v>-70209</v>
      </c>
      <c r="F130" s="150">
        <f t="shared" si="9"/>
        <v>-2.5344663087342324E-2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348408</v>
      </c>
      <c r="D133" s="146">
        <v>347896</v>
      </c>
      <c r="E133" s="146">
        <f t="shared" si="8"/>
        <v>-512</v>
      </c>
      <c r="F133" s="150">
        <f t="shared" si="9"/>
        <v>-1.469541457142201E-3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3723</v>
      </c>
      <c r="D134" s="146">
        <v>3415</v>
      </c>
      <c r="E134" s="146">
        <f t="shared" si="8"/>
        <v>-308</v>
      </c>
      <c r="F134" s="150">
        <f t="shared" si="9"/>
        <v>-8.2728982003760415E-2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79109</v>
      </c>
      <c r="D135" s="146">
        <v>41623</v>
      </c>
      <c r="E135" s="146">
        <f t="shared" si="8"/>
        <v>-37486</v>
      </c>
      <c r="F135" s="150">
        <f t="shared" si="9"/>
        <v>-0.47385253258162791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75875</v>
      </c>
      <c r="D136" s="146">
        <v>75055</v>
      </c>
      <c r="E136" s="146">
        <f t="shared" si="8"/>
        <v>-820</v>
      </c>
      <c r="F136" s="150">
        <f t="shared" si="9"/>
        <v>-1.0807248764415156E-2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364244</v>
      </c>
      <c r="D138" s="146">
        <v>363608</v>
      </c>
      <c r="E138" s="146">
        <f t="shared" si="8"/>
        <v>-636</v>
      </c>
      <c r="F138" s="150">
        <f t="shared" si="9"/>
        <v>-1.7460822964825776E-3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101864</v>
      </c>
      <c r="D142" s="146">
        <v>107972</v>
      </c>
      <c r="E142" s="146">
        <f t="shared" si="8"/>
        <v>6108</v>
      </c>
      <c r="F142" s="150">
        <f t="shared" si="9"/>
        <v>5.996230267808058E-2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1706368</v>
      </c>
      <c r="D144" s="146">
        <v>1647263</v>
      </c>
      <c r="E144" s="146">
        <f t="shared" si="8"/>
        <v>-59105</v>
      </c>
      <c r="F144" s="150">
        <f t="shared" si="9"/>
        <v>-3.4637897569574673E-2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301401</v>
      </c>
      <c r="D145" s="146">
        <v>303362</v>
      </c>
      <c r="E145" s="146">
        <f t="shared" si="8"/>
        <v>1961</v>
      </c>
      <c r="F145" s="150">
        <f t="shared" si="9"/>
        <v>6.506282328194001E-3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601657</v>
      </c>
      <c r="D152" s="146">
        <v>638300</v>
      </c>
      <c r="E152" s="146">
        <f t="shared" si="8"/>
        <v>36643</v>
      </c>
      <c r="F152" s="150">
        <f t="shared" si="9"/>
        <v>6.0903471579321772E-2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2305762</v>
      </c>
      <c r="D154" s="146">
        <v>1905939</v>
      </c>
      <c r="E154" s="146">
        <f t="shared" si="8"/>
        <v>-399823</v>
      </c>
      <c r="F154" s="150">
        <f t="shared" si="9"/>
        <v>-0.17340167805697204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13328982</v>
      </c>
      <c r="D155" s="147">
        <f>SUM(D121:D154)</f>
        <v>12692413</v>
      </c>
      <c r="E155" s="147">
        <f t="shared" si="8"/>
        <v>-636569</v>
      </c>
      <c r="F155" s="148">
        <f t="shared" si="9"/>
        <v>-4.7758260908447474E-2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2567682</v>
      </c>
      <c r="D158" s="146">
        <v>2333072</v>
      </c>
      <c r="E158" s="146">
        <f t="shared" ref="E158:E171" si="10">D158-C158</f>
        <v>-234610</v>
      </c>
      <c r="F158" s="150">
        <f t="shared" ref="F158:F171" si="11">IF(C158=0,0,E158/C158)</f>
        <v>-9.1370348820453626E-2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1092334</v>
      </c>
      <c r="D159" s="146">
        <v>933057</v>
      </c>
      <c r="E159" s="146">
        <f t="shared" si="10"/>
        <v>-159277</v>
      </c>
      <c r="F159" s="150">
        <f t="shared" si="11"/>
        <v>-0.14581345998568204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1839351</v>
      </c>
      <c r="D161" s="146">
        <v>1836133</v>
      </c>
      <c r="E161" s="146">
        <f t="shared" si="10"/>
        <v>-3218</v>
      </c>
      <c r="F161" s="150">
        <f t="shared" si="11"/>
        <v>-1.7495301331828454E-3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250895</v>
      </c>
      <c r="D164" s="146">
        <v>259497</v>
      </c>
      <c r="E164" s="146">
        <f t="shared" si="10"/>
        <v>8602</v>
      </c>
      <c r="F164" s="150">
        <f t="shared" si="11"/>
        <v>3.4285258773590545E-2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5750262</v>
      </c>
      <c r="D171" s="147">
        <f>SUM(D158:D170)</f>
        <v>5361759</v>
      </c>
      <c r="E171" s="147">
        <f t="shared" si="10"/>
        <v>-388503</v>
      </c>
      <c r="F171" s="148">
        <f t="shared" si="11"/>
        <v>-6.7562660623115958E-2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49683361</v>
      </c>
      <c r="D176" s="147">
        <f>+D174+D171+D155+D118+D109</f>
        <v>48108598</v>
      </c>
      <c r="E176" s="147">
        <f>D176-C176</f>
        <v>-1574763</v>
      </c>
      <c r="F176" s="148">
        <f>IF(C176=0,0,E176/C176)</f>
        <v>-3.1695983691602508E-2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54645472</v>
      </c>
      <c r="D11" s="164">
        <v>51853289</v>
      </c>
      <c r="E11" s="51">
        <v>50495530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671644</v>
      </c>
      <c r="D12" s="49">
        <v>543474</v>
      </c>
      <c r="E12" s="49">
        <v>530398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55317116</v>
      </c>
      <c r="D13" s="51">
        <f>+D11+D12</f>
        <v>52396763</v>
      </c>
      <c r="E13" s="51">
        <f>+E11+E12</f>
        <v>51025928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53643999</v>
      </c>
      <c r="D14" s="49">
        <v>49683361</v>
      </c>
      <c r="E14" s="49">
        <v>48108598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1673117</v>
      </c>
      <c r="D15" s="51">
        <f>+D13-D14</f>
        <v>2713402</v>
      </c>
      <c r="E15" s="51">
        <f>+E13-E14</f>
        <v>2917330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0</v>
      </c>
      <c r="D16" s="49">
        <v>0</v>
      </c>
      <c r="E16" s="49">
        <v>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1673117</v>
      </c>
      <c r="D17" s="51">
        <f>D15+D16</f>
        <v>2713402</v>
      </c>
      <c r="E17" s="51">
        <f>E15+E16</f>
        <v>2917330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3.0245918821942924E-2</v>
      </c>
      <c r="D20" s="169">
        <f>IF(+D27=0,0,+D24/+D27)</f>
        <v>5.1785679966527706E-2</v>
      </c>
      <c r="E20" s="169">
        <f>IF(+E27=0,0,+E24/+E27)</f>
        <v>5.7173482469539801E-2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0</v>
      </c>
      <c r="D21" s="169">
        <f>IF(D27=0,0,+D26/D27)</f>
        <v>0</v>
      </c>
      <c r="E21" s="169">
        <f>IF(E27=0,0,+E26/E27)</f>
        <v>0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3.0245918821942924E-2</v>
      </c>
      <c r="D22" s="169">
        <f>IF(D27=0,0,+D28/D27)</f>
        <v>5.1785679966527706E-2</v>
      </c>
      <c r="E22" s="169">
        <f>IF(E27=0,0,+E28/E27)</f>
        <v>5.7173482469539801E-2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1673117</v>
      </c>
      <c r="D24" s="51">
        <f>+D15</f>
        <v>2713402</v>
      </c>
      <c r="E24" s="51">
        <f>+E15</f>
        <v>2917330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55317116</v>
      </c>
      <c r="D25" s="51">
        <f>+D13</f>
        <v>52396763</v>
      </c>
      <c r="E25" s="51">
        <f>+E13</f>
        <v>51025928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55317116</v>
      </c>
      <c r="D27" s="51">
        <f>+D25+D26</f>
        <v>52396763</v>
      </c>
      <c r="E27" s="51">
        <f>+E25+E26</f>
        <v>51025928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1673117</v>
      </c>
      <c r="D28" s="51">
        <f>+D17</f>
        <v>2713402</v>
      </c>
      <c r="E28" s="51">
        <f>+E17</f>
        <v>2917330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13094068</v>
      </c>
      <c r="D31" s="51">
        <v>15453591</v>
      </c>
      <c r="E31" s="51">
        <v>18267822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13094068</v>
      </c>
      <c r="D32" s="51">
        <v>15453591</v>
      </c>
      <c r="E32" s="51">
        <v>18267822</v>
      </c>
      <c r="F32" s="13"/>
    </row>
    <row r="33" spans="1:6" ht="24" customHeight="1" x14ac:dyDescent="0.2">
      <c r="A33" s="25">
        <v>3</v>
      </c>
      <c r="B33" s="48" t="s">
        <v>319</v>
      </c>
      <c r="C33" s="51">
        <v>1693502</v>
      </c>
      <c r="D33" s="51">
        <f>+D32-C32</f>
        <v>2359523</v>
      </c>
      <c r="E33" s="51">
        <f>+E32-D32</f>
        <v>2814231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1.1485000000000001</v>
      </c>
      <c r="D34" s="171">
        <f>IF(C32=0,0,+D33/C32)</f>
        <v>0.18019785753365569</v>
      </c>
      <c r="E34" s="171">
        <f>IF(D32=0,0,+E33/D32)</f>
        <v>0.18210854680960561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0.47496392023908329</v>
      </c>
      <c r="D38" s="172">
        <f>IF((D40+D41)=0,0,+D39/(D40+D41))</f>
        <v>0.43204503893538154</v>
      </c>
      <c r="E38" s="172">
        <f>IF((E40+E41)=0,0,+E39/(E40+E41))</f>
        <v>0.39557024065736135</v>
      </c>
      <c r="F38" s="5"/>
    </row>
    <row r="39" spans="1:6" ht="24" customHeight="1" x14ac:dyDescent="0.2">
      <c r="A39" s="21">
        <v>2</v>
      </c>
      <c r="B39" s="48" t="s">
        <v>324</v>
      </c>
      <c r="C39" s="51">
        <v>54135451</v>
      </c>
      <c r="D39" s="51">
        <v>49683361</v>
      </c>
      <c r="E39" s="23">
        <v>48108598</v>
      </c>
      <c r="F39" s="5"/>
    </row>
    <row r="40" spans="1:6" ht="24" customHeight="1" x14ac:dyDescent="0.2">
      <c r="A40" s="21">
        <v>3</v>
      </c>
      <c r="B40" s="48" t="s">
        <v>325</v>
      </c>
      <c r="C40" s="51">
        <v>113481757</v>
      </c>
      <c r="D40" s="51">
        <v>114452317</v>
      </c>
      <c r="E40" s="23">
        <v>121087947</v>
      </c>
      <c r="F40" s="5"/>
    </row>
    <row r="41" spans="1:6" ht="24" customHeight="1" x14ac:dyDescent="0.2">
      <c r="A41" s="21">
        <v>4</v>
      </c>
      <c r="B41" s="48" t="s">
        <v>326</v>
      </c>
      <c r="C41" s="51">
        <v>496271</v>
      </c>
      <c r="D41" s="51">
        <v>543474</v>
      </c>
      <c r="E41" s="23">
        <v>530398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1.129957079406233</v>
      </c>
      <c r="D43" s="173">
        <f>IF(D38=0,0,IF((D46-D47)=0,0,((+D44-D45)/(D46-D47)/D38)))</f>
        <v>1.1792412209498213</v>
      </c>
      <c r="E43" s="173">
        <f>IF(E38=0,0,IF((E46-E47)=0,0,((+E44-E45)/(E46-E47)/E38)))</f>
        <v>1.2565853352430021</v>
      </c>
      <c r="F43" s="5"/>
    </row>
    <row r="44" spans="1:6" ht="24" customHeight="1" x14ac:dyDescent="0.2">
      <c r="A44" s="21">
        <v>6</v>
      </c>
      <c r="B44" s="48" t="s">
        <v>328</v>
      </c>
      <c r="C44" s="51">
        <v>26040573</v>
      </c>
      <c r="D44" s="51">
        <v>25274582</v>
      </c>
      <c r="E44" s="23">
        <v>24515877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278909</v>
      </c>
      <c r="D45" s="51">
        <v>690151</v>
      </c>
      <c r="E45" s="23">
        <v>716609</v>
      </c>
      <c r="F45" s="5"/>
    </row>
    <row r="46" spans="1:6" ht="24" customHeight="1" x14ac:dyDescent="0.2">
      <c r="A46" s="21">
        <v>8</v>
      </c>
      <c r="B46" s="48" t="s">
        <v>330</v>
      </c>
      <c r="C46" s="51">
        <v>51268176</v>
      </c>
      <c r="D46" s="51">
        <v>51095457</v>
      </c>
      <c r="E46" s="23">
        <v>51276724</v>
      </c>
      <c r="F46" s="5"/>
    </row>
    <row r="47" spans="1:6" ht="24" customHeight="1" x14ac:dyDescent="0.2">
      <c r="A47" s="21">
        <v>9</v>
      </c>
      <c r="B47" s="48" t="s">
        <v>331</v>
      </c>
      <c r="C47" s="51">
        <v>3267059</v>
      </c>
      <c r="D47" s="51">
        <v>2841994</v>
      </c>
      <c r="E47" s="174">
        <v>3397401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0.86514429342471644</v>
      </c>
      <c r="D49" s="175">
        <f>IF(D38=0,0,IF(D51=0,0,(D50/D51)/D38))</f>
        <v>0.89234729211283192</v>
      </c>
      <c r="E49" s="175">
        <f>IF(E38=0,0,IF(E51=0,0,(E50/E51)/E38))</f>
        <v>0.8983617021635848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22595415</v>
      </c>
      <c r="D50" s="176">
        <v>21343986</v>
      </c>
      <c r="E50" s="176">
        <v>21164872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54988409</v>
      </c>
      <c r="D51" s="176">
        <v>55362105</v>
      </c>
      <c r="E51" s="176">
        <v>59558096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0.73129544854016049</v>
      </c>
      <c r="D53" s="175">
        <f>IF(D38=0,0,IF(D55=0,0,(D54/D55)/D38))</f>
        <v>0.58317875188590984</v>
      </c>
      <c r="E53" s="175">
        <f>IF(E38=0,0,IF(E55=0,0,(E54/E55)/E38))</f>
        <v>0.77395770368068428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944201</v>
      </c>
      <c r="D54" s="176">
        <v>821526</v>
      </c>
      <c r="E54" s="176">
        <v>1480573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2718385</v>
      </c>
      <c r="D55" s="176">
        <v>3260548</v>
      </c>
      <c r="E55" s="176">
        <v>4836030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2044047.6026821153</v>
      </c>
      <c r="D57" s="53">
        <f>+D60*D38</f>
        <v>1461984.2459022696</v>
      </c>
      <c r="E57" s="53">
        <f>+E60*E38</f>
        <v>995024.5036138586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767308</v>
      </c>
      <c r="D58" s="51">
        <v>430330</v>
      </c>
      <c r="E58" s="52">
        <v>767288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3536277</v>
      </c>
      <c r="D59" s="51">
        <v>2953540</v>
      </c>
      <c r="E59" s="52">
        <v>1748130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4303585</v>
      </c>
      <c r="D60" s="51">
        <v>3383870</v>
      </c>
      <c r="E60" s="52">
        <v>2515418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3.7758022976147651E-2</v>
      </c>
      <c r="D62" s="178">
        <f>IF(D63=0,0,+D57/D63)</f>
        <v>2.9426033514565766E-2</v>
      </c>
      <c r="E62" s="178">
        <f>IF(E63=0,0,+E57/E63)</f>
        <v>2.0682882997626717E-2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54135451</v>
      </c>
      <c r="D63" s="176">
        <v>49683361</v>
      </c>
      <c r="E63" s="176">
        <v>48108598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1.6052961560771848</v>
      </c>
      <c r="D67" s="179">
        <f>IF(D69=0,0,D68/D69)</f>
        <v>1.5176677540735095</v>
      </c>
      <c r="E67" s="179">
        <f>IF(E69=0,0,E68/E69)</f>
        <v>1.5090906873724148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10114947</v>
      </c>
      <c r="D68" s="180">
        <v>10672270</v>
      </c>
      <c r="E68" s="180">
        <v>9281368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6300985</v>
      </c>
      <c r="D69" s="180">
        <v>7032020</v>
      </c>
      <c r="E69" s="180">
        <v>6150305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0</v>
      </c>
      <c r="D71" s="181">
        <f>IF((D77/365)=0,0,+D74/(D77/365))</f>
        <v>0</v>
      </c>
      <c r="E71" s="181">
        <f>IF((E77/365)=0,0,+E74/(E77/365))</f>
        <v>0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0</v>
      </c>
      <c r="E72" s="182">
        <v>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0</v>
      </c>
      <c r="D74" s="180">
        <f>+D72+D73</f>
        <v>0</v>
      </c>
      <c r="E74" s="180">
        <f>+E72+E73</f>
        <v>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53643999</v>
      </c>
      <c r="D75" s="180">
        <f>+D14</f>
        <v>49683361</v>
      </c>
      <c r="E75" s="180">
        <f>+E14</f>
        <v>48108598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3473151</v>
      </c>
      <c r="D76" s="180">
        <v>3422746</v>
      </c>
      <c r="E76" s="180">
        <v>3147818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50170848</v>
      </c>
      <c r="D77" s="180">
        <f>+D75-D76</f>
        <v>46260615</v>
      </c>
      <c r="E77" s="180">
        <f>+E75-E76</f>
        <v>44960780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42.750438590776561</v>
      </c>
      <c r="D79" s="179">
        <f>IF((D84/365)=0,0,+D83/(D84/365))</f>
        <v>41.329344798167</v>
      </c>
      <c r="E79" s="179">
        <f>IF((E84/365)=0,0,+E83/(E84/365))</f>
        <v>40.170757688848894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6608367</v>
      </c>
      <c r="D80" s="189">
        <v>6306510</v>
      </c>
      <c r="E80" s="189">
        <v>5879926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208044</v>
      </c>
      <c r="D82" s="190">
        <v>435106</v>
      </c>
      <c r="E82" s="190">
        <v>322546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6400323</v>
      </c>
      <c r="D83" s="191">
        <f>+D80+D81-D82</f>
        <v>5871404</v>
      </c>
      <c r="E83" s="191">
        <f>+E80+E81-E82</f>
        <v>5557380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54645472</v>
      </c>
      <c r="D84" s="191">
        <f>+D11</f>
        <v>51853289</v>
      </c>
      <c r="E84" s="191">
        <f>+E11</f>
        <v>50495530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45.840555156651931</v>
      </c>
      <c r="D86" s="179">
        <f>IF((D90/365)=0,0,+D87/(D90/365))</f>
        <v>55.483207475732868</v>
      </c>
      <c r="E86" s="179">
        <f>IF((E90/365)=0,0,+E87/(E90/365))</f>
        <v>49.929323401417861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6300985</v>
      </c>
      <c r="D87" s="51">
        <f>+D69</f>
        <v>7032020</v>
      </c>
      <c r="E87" s="51">
        <f>+E69</f>
        <v>6150305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53643999</v>
      </c>
      <c r="D88" s="51">
        <f t="shared" si="0"/>
        <v>49683361</v>
      </c>
      <c r="E88" s="51">
        <f t="shared" si="0"/>
        <v>48108598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3473151</v>
      </c>
      <c r="D89" s="52">
        <f t="shared" si="0"/>
        <v>3422746</v>
      </c>
      <c r="E89" s="52">
        <f t="shared" si="0"/>
        <v>3147818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50170848</v>
      </c>
      <c r="D90" s="51">
        <f>+D88-D89</f>
        <v>46260615</v>
      </c>
      <c r="E90" s="51">
        <f>+E88-E89</f>
        <v>44960780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22.615464351415202</v>
      </c>
      <c r="D94" s="192">
        <f>IF(D96=0,0,(D95/D96)*100)</f>
        <v>25.744873512591965</v>
      </c>
      <c r="E94" s="192">
        <f>IF(E96=0,0,(E95/E96)*100)</f>
        <v>29.941527894276465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13094068</v>
      </c>
      <c r="D95" s="51">
        <f>+D32</f>
        <v>15453591</v>
      </c>
      <c r="E95" s="51">
        <f>+E32</f>
        <v>18267822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57898736</v>
      </c>
      <c r="D96" s="51">
        <v>60025896</v>
      </c>
      <c r="E96" s="51">
        <v>61011656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12.647971532977941</v>
      </c>
      <c r="D98" s="192">
        <f>IF(D104=0,0,(D101/D104)*100)</f>
        <v>14.940880731014145</v>
      </c>
      <c r="E98" s="192">
        <f>IF(E104=0,0,(E101/E104)*100)</f>
        <v>15.224603865599523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1673117</v>
      </c>
      <c r="D99" s="51">
        <f>+D28</f>
        <v>2713402</v>
      </c>
      <c r="E99" s="51">
        <f>+E28</f>
        <v>2917330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3473151</v>
      </c>
      <c r="D100" s="52">
        <f>+D76</f>
        <v>3422746</v>
      </c>
      <c r="E100" s="52">
        <f>+E76</f>
        <v>3147818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5146268</v>
      </c>
      <c r="D101" s="51">
        <f>+D99+D100</f>
        <v>6136148</v>
      </c>
      <c r="E101" s="51">
        <f>+E99+E100</f>
        <v>6065148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6300985</v>
      </c>
      <c r="D102" s="180">
        <f>+D69</f>
        <v>7032020</v>
      </c>
      <c r="E102" s="180">
        <f>+E69</f>
        <v>6150305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34387500</v>
      </c>
      <c r="D103" s="194">
        <v>34037500</v>
      </c>
      <c r="E103" s="194">
        <v>33687500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40688485</v>
      </c>
      <c r="D104" s="180">
        <f>+D102+D103</f>
        <v>41069520</v>
      </c>
      <c r="E104" s="180">
        <f>+E102+E103</f>
        <v>39837805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72.422839953389911</v>
      </c>
      <c r="D106" s="197">
        <f>IF(D109=0,0,(D107/D109)*100)</f>
        <v>68.775004374019559</v>
      </c>
      <c r="E106" s="197">
        <f>IF(E109=0,0,(E107/E109)*100)</f>
        <v>64.839363328361244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34387500</v>
      </c>
      <c r="D107" s="180">
        <f>+D103</f>
        <v>34037500</v>
      </c>
      <c r="E107" s="180">
        <f>+E103</f>
        <v>33687500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13094068</v>
      </c>
      <c r="D108" s="180">
        <f>+D32</f>
        <v>15453591</v>
      </c>
      <c r="E108" s="180">
        <f>+E32</f>
        <v>18267822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47481568</v>
      </c>
      <c r="D109" s="180">
        <f>+D107+D108</f>
        <v>49491091</v>
      </c>
      <c r="E109" s="180">
        <f>+E107+E108</f>
        <v>51955322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2.7636079634438802</v>
      </c>
      <c r="D111" s="197">
        <f>IF((+D113+D115)=0,0,((+D112+D113+D114)/(+D113+D115)))</f>
        <v>3.4287789086977107</v>
      </c>
      <c r="E111" s="197">
        <f>IF((+E113+E115)=0,0,((+E112+E113+E114)/(+E113+E115)))</f>
        <v>3.8877758032381662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1673117</v>
      </c>
      <c r="D112" s="180">
        <f>+D17</f>
        <v>2713402</v>
      </c>
      <c r="E112" s="180">
        <f>+E17</f>
        <v>2917330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2918034</v>
      </c>
      <c r="D113" s="180">
        <v>2032328</v>
      </c>
      <c r="E113" s="180">
        <v>1629083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3473151</v>
      </c>
      <c r="D114" s="180">
        <v>3422746</v>
      </c>
      <c r="E114" s="180">
        <v>3147818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350000</v>
      </c>
      <c r="E115" s="180">
        <v>350000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3.8719989427468025</v>
      </c>
      <c r="D119" s="197">
        <f>IF(+D121=0,0,(+D120)/(+D121))</f>
        <v>4.757610702050342</v>
      </c>
      <c r="E119" s="197">
        <f>IF(+E121=0,0,(+E120)/(+E121))</f>
        <v>6.1737581397653871</v>
      </c>
    </row>
    <row r="120" spans="1:8" ht="24" customHeight="1" x14ac:dyDescent="0.25">
      <c r="A120" s="17">
        <v>21</v>
      </c>
      <c r="B120" s="48" t="s">
        <v>369</v>
      </c>
      <c r="C120" s="180">
        <v>13448037</v>
      </c>
      <c r="D120" s="180">
        <v>16284093</v>
      </c>
      <c r="E120" s="180">
        <v>19433867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3473151</v>
      </c>
      <c r="D121" s="180">
        <v>3422746</v>
      </c>
      <c r="E121" s="180">
        <v>3147818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11806</v>
      </c>
      <c r="D124" s="198">
        <v>11466</v>
      </c>
      <c r="E124" s="198">
        <v>11622</v>
      </c>
    </row>
    <row r="125" spans="1:8" ht="24" customHeight="1" x14ac:dyDescent="0.2">
      <c r="A125" s="44">
        <v>2</v>
      </c>
      <c r="B125" s="48" t="s">
        <v>373</v>
      </c>
      <c r="C125" s="198">
        <v>2834</v>
      </c>
      <c r="D125" s="198">
        <v>2658</v>
      </c>
      <c r="E125" s="198">
        <v>2681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4.1658433309809455</v>
      </c>
      <c r="D126" s="199">
        <f>IF(D125=0,0,D124/D125)</f>
        <v>4.3137697516930027</v>
      </c>
      <c r="E126" s="199">
        <f>IF(E125=0,0,E124/E125)</f>
        <v>4.3349496456546062</v>
      </c>
    </row>
    <row r="127" spans="1:8" ht="24" customHeight="1" x14ac:dyDescent="0.2">
      <c r="A127" s="44">
        <v>4</v>
      </c>
      <c r="B127" s="48" t="s">
        <v>375</v>
      </c>
      <c r="C127" s="198">
        <v>47</v>
      </c>
      <c r="D127" s="198">
        <v>47</v>
      </c>
      <c r="E127" s="198">
        <v>47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94</v>
      </c>
      <c r="E128" s="198">
        <v>94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94</v>
      </c>
      <c r="D129" s="198">
        <v>94</v>
      </c>
      <c r="E129" s="198">
        <v>94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0.68810000000000004</v>
      </c>
      <c r="D130" s="171">
        <v>0.66830000000000001</v>
      </c>
      <c r="E130" s="171">
        <v>0.6774</v>
      </c>
    </row>
    <row r="131" spans="1:8" ht="24" customHeight="1" x14ac:dyDescent="0.2">
      <c r="A131" s="44">
        <v>7</v>
      </c>
      <c r="B131" s="48" t="s">
        <v>379</v>
      </c>
      <c r="C131" s="171">
        <v>0.34399999999999997</v>
      </c>
      <c r="D131" s="171">
        <v>0.33410000000000001</v>
      </c>
      <c r="E131" s="171">
        <v>0.3387</v>
      </c>
    </row>
    <row r="132" spans="1:8" ht="24" customHeight="1" x14ac:dyDescent="0.2">
      <c r="A132" s="44">
        <v>8</v>
      </c>
      <c r="B132" s="48" t="s">
        <v>380</v>
      </c>
      <c r="C132" s="199">
        <v>283</v>
      </c>
      <c r="D132" s="199">
        <v>255.3</v>
      </c>
      <c r="E132" s="199">
        <v>256.3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0.42298531736691386</v>
      </c>
      <c r="D135" s="203">
        <f>IF(D149=0,0,D143/D149)</f>
        <v>0.42160319917332911</v>
      </c>
      <c r="E135" s="203">
        <f>IF(E149=0,0,E143/E149)</f>
        <v>0.3954094869574426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0.48455725795644844</v>
      </c>
      <c r="D136" s="203">
        <f>IF(D149=0,0,D144/D149)</f>
        <v>0.48371327423629179</v>
      </c>
      <c r="E136" s="203">
        <f>IF(E149=0,0,E144/E149)</f>
        <v>0.49185816983089159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2.3954378852276671E-2</v>
      </c>
      <c r="D137" s="203">
        <f>IF(D149=0,0,D145/D149)</f>
        <v>2.8488265554291924E-2</v>
      </c>
      <c r="E137" s="203">
        <f>IF(E149=0,0,E145/E149)</f>
        <v>3.9938161640481029E-2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3.8007642056511338E-2</v>
      </c>
      <c r="D138" s="203">
        <f>IF(D149=0,0,D146/D149)</f>
        <v>3.9979872141863236E-2</v>
      </c>
      <c r="E138" s="203">
        <f>IF(E149=0,0,E146/E149)</f>
        <v>4.3785703956150154E-2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2.8789288132012265E-2</v>
      </c>
      <c r="D139" s="203">
        <f>IF(D149=0,0,D147/D149)</f>
        <v>2.4831249156799507E-2</v>
      </c>
      <c r="E139" s="203">
        <f>IF(E149=0,0,E147/E149)</f>
        <v>2.8057301194478093E-2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1.7061156358373973E-3</v>
      </c>
      <c r="D140" s="203">
        <f>IF(D149=0,0,D148/D149)</f>
        <v>1.3841397374244507E-3</v>
      </c>
      <c r="E140" s="203">
        <f>IF(E149=0,0,E148/E149)</f>
        <v>9.5117642055653976E-4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48001117</v>
      </c>
      <c r="D143" s="205">
        <f>+D46-D147</f>
        <v>48253463</v>
      </c>
      <c r="E143" s="205">
        <f>+E46-E147</f>
        <v>47879323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54988409</v>
      </c>
      <c r="D144" s="205">
        <f>+D51</f>
        <v>55362105</v>
      </c>
      <c r="E144" s="205">
        <f>+E51</f>
        <v>59558096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2718385</v>
      </c>
      <c r="D145" s="205">
        <f>+D55</f>
        <v>3260548</v>
      </c>
      <c r="E145" s="205">
        <f>+E55</f>
        <v>4836030</v>
      </c>
    </row>
    <row r="146" spans="1:7" ht="20.100000000000001" customHeight="1" x14ac:dyDescent="0.2">
      <c r="A146" s="202">
        <v>11</v>
      </c>
      <c r="B146" s="201" t="s">
        <v>392</v>
      </c>
      <c r="C146" s="204">
        <v>4313174</v>
      </c>
      <c r="D146" s="205">
        <v>4575789</v>
      </c>
      <c r="E146" s="205">
        <v>5301921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3267059</v>
      </c>
      <c r="D147" s="205">
        <f>+D47</f>
        <v>2841994</v>
      </c>
      <c r="E147" s="205">
        <f>+E47</f>
        <v>3397401</v>
      </c>
    </row>
    <row r="148" spans="1:7" ht="20.100000000000001" customHeight="1" x14ac:dyDescent="0.2">
      <c r="A148" s="202">
        <v>13</v>
      </c>
      <c r="B148" s="201" t="s">
        <v>394</v>
      </c>
      <c r="C148" s="206">
        <v>193613</v>
      </c>
      <c r="D148" s="205">
        <v>158418</v>
      </c>
      <c r="E148" s="205">
        <v>115176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113481757</v>
      </c>
      <c r="D149" s="205">
        <f>SUM(D143:D148)</f>
        <v>114452317</v>
      </c>
      <c r="E149" s="205">
        <f>SUM(E143:E148)</f>
        <v>121087947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0.50405141352342464</v>
      </c>
      <c r="D152" s="203">
        <f>IF(D166=0,0,D160/D166)</f>
        <v>0.50475130100939458</v>
      </c>
      <c r="E152" s="203">
        <f>IF(E166=0,0,E160/E166)</f>
        <v>0.49074957064793451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0.44210074589507847</v>
      </c>
      <c r="D153" s="203">
        <f>IF(D166=0,0,D161/D166)</f>
        <v>0.43822062435475134</v>
      </c>
      <c r="E153" s="203">
        <f>IF(E166=0,0,E161/E166)</f>
        <v>0.43642736603573234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1.8474188961560521E-2</v>
      </c>
      <c r="D154" s="203">
        <f>IF(D166=0,0,D162/D166)</f>
        <v>1.6867029272023579E-2</v>
      </c>
      <c r="E154" s="203">
        <f>IF(E166=0,0,E162/E166)</f>
        <v>3.0529954285271478E-2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2.7014569334181896E-2</v>
      </c>
      <c r="D155" s="203">
        <f>IF(D166=0,0,D163/D166)</f>
        <v>2.3485655615358328E-2</v>
      </c>
      <c r="E155" s="203">
        <f>IF(E166=0,0,E163/E166)</f>
        <v>2.6048344979680591E-2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5.4571193729723681E-3</v>
      </c>
      <c r="D156" s="203">
        <f>IF(D166=0,0,D164/D166)</f>
        <v>1.4169724535944504E-2</v>
      </c>
      <c r="E156" s="203">
        <f>IF(E166=0,0,E164/E166)</f>
        <v>1.477673847247931E-2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2.9019629127821E-3</v>
      </c>
      <c r="D157" s="203">
        <f>IF(D166=0,0,D165/D166)</f>
        <v>2.5056652125276979E-3</v>
      </c>
      <c r="E157" s="203">
        <f>IF(E166=0,0,E165/E166)</f>
        <v>1.4680255789017713E-3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25761664</v>
      </c>
      <c r="D160" s="208">
        <f>+D44-D164</f>
        <v>24584431</v>
      </c>
      <c r="E160" s="208">
        <f>+E44-E164</f>
        <v>23799268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22595415</v>
      </c>
      <c r="D161" s="208">
        <f>+D50</f>
        <v>21343986</v>
      </c>
      <c r="E161" s="208">
        <f>+E50</f>
        <v>21164872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944201</v>
      </c>
      <c r="D162" s="208">
        <f>+D54</f>
        <v>821526</v>
      </c>
      <c r="E162" s="208">
        <f>+E54</f>
        <v>1480573</v>
      </c>
    </row>
    <row r="163" spans="1:6" ht="20.100000000000001" customHeight="1" x14ac:dyDescent="0.2">
      <c r="A163" s="202">
        <v>11</v>
      </c>
      <c r="B163" s="201" t="s">
        <v>408</v>
      </c>
      <c r="C163" s="207">
        <v>1380693</v>
      </c>
      <c r="D163" s="208">
        <v>1143893</v>
      </c>
      <c r="E163" s="208">
        <v>1263234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278909</v>
      </c>
      <c r="D164" s="208">
        <f>+D45</f>
        <v>690151</v>
      </c>
      <c r="E164" s="208">
        <f>+E45</f>
        <v>716609</v>
      </c>
    </row>
    <row r="165" spans="1:6" ht="20.100000000000001" customHeight="1" x14ac:dyDescent="0.2">
      <c r="A165" s="202">
        <v>13</v>
      </c>
      <c r="B165" s="201" t="s">
        <v>410</v>
      </c>
      <c r="C165" s="209">
        <v>148317</v>
      </c>
      <c r="D165" s="208">
        <v>122041</v>
      </c>
      <c r="E165" s="208">
        <v>71193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51109199</v>
      </c>
      <c r="D166" s="208">
        <f>SUM(D160:D165)</f>
        <v>48706028</v>
      </c>
      <c r="E166" s="208">
        <f>SUM(E160:E165)</f>
        <v>48495749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951</v>
      </c>
      <c r="D169" s="198">
        <v>877</v>
      </c>
      <c r="E169" s="198">
        <v>808</v>
      </c>
    </row>
    <row r="170" spans="1:6" ht="20.100000000000001" customHeight="1" x14ac:dyDescent="0.2">
      <c r="A170" s="202">
        <v>2</v>
      </c>
      <c r="B170" s="201" t="s">
        <v>414</v>
      </c>
      <c r="C170" s="198">
        <v>1574</v>
      </c>
      <c r="D170" s="198">
        <v>1484</v>
      </c>
      <c r="E170" s="198">
        <v>1479</v>
      </c>
    </row>
    <row r="171" spans="1:6" ht="20.100000000000001" customHeight="1" x14ac:dyDescent="0.2">
      <c r="A171" s="202">
        <v>3</v>
      </c>
      <c r="B171" s="201" t="s">
        <v>415</v>
      </c>
      <c r="C171" s="198">
        <v>298</v>
      </c>
      <c r="D171" s="198">
        <v>295</v>
      </c>
      <c r="E171" s="198">
        <v>387</v>
      </c>
    </row>
    <row r="172" spans="1:6" ht="20.100000000000001" customHeight="1" x14ac:dyDescent="0.2">
      <c r="A172" s="202">
        <v>4</v>
      </c>
      <c r="B172" s="201" t="s">
        <v>416</v>
      </c>
      <c r="C172" s="198">
        <v>118</v>
      </c>
      <c r="D172" s="198">
        <v>142</v>
      </c>
      <c r="E172" s="198">
        <v>217</v>
      </c>
    </row>
    <row r="173" spans="1:6" ht="20.100000000000001" customHeight="1" x14ac:dyDescent="0.2">
      <c r="A173" s="202">
        <v>5</v>
      </c>
      <c r="B173" s="201" t="s">
        <v>417</v>
      </c>
      <c r="C173" s="198">
        <v>180</v>
      </c>
      <c r="D173" s="198">
        <v>153</v>
      </c>
      <c r="E173" s="198">
        <v>170</v>
      </c>
    </row>
    <row r="174" spans="1:6" ht="20.100000000000001" customHeight="1" x14ac:dyDescent="0.2">
      <c r="A174" s="202">
        <v>6</v>
      </c>
      <c r="B174" s="201" t="s">
        <v>418</v>
      </c>
      <c r="C174" s="198">
        <v>11</v>
      </c>
      <c r="D174" s="198">
        <v>2</v>
      </c>
      <c r="E174" s="198">
        <v>7</v>
      </c>
    </row>
    <row r="175" spans="1:6" ht="20.100000000000001" customHeight="1" x14ac:dyDescent="0.2">
      <c r="A175" s="202">
        <v>7</v>
      </c>
      <c r="B175" s="201" t="s">
        <v>419</v>
      </c>
      <c r="C175" s="198">
        <v>79</v>
      </c>
      <c r="D175" s="198">
        <v>72</v>
      </c>
      <c r="E175" s="198">
        <v>65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2834</v>
      </c>
      <c r="D176" s="198">
        <f>+D169+D170+D171+D174</f>
        <v>2658</v>
      </c>
      <c r="E176" s="198">
        <f>+E169+E170+E171+E174</f>
        <v>2681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0.97489999999999999</v>
      </c>
      <c r="D179" s="210">
        <v>1.0299</v>
      </c>
      <c r="E179" s="210">
        <v>0.98860000000000003</v>
      </c>
    </row>
    <row r="180" spans="1:6" ht="20.100000000000001" customHeight="1" x14ac:dyDescent="0.2">
      <c r="A180" s="202">
        <v>2</v>
      </c>
      <c r="B180" s="201" t="s">
        <v>414</v>
      </c>
      <c r="C180" s="210">
        <v>1.1591</v>
      </c>
      <c r="D180" s="210">
        <v>1.1322000000000001</v>
      </c>
      <c r="E180" s="210">
        <v>1.1483000000000001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0.85698600000000003</v>
      </c>
      <c r="D181" s="210">
        <v>0.93407799999999996</v>
      </c>
      <c r="E181" s="210">
        <v>0.85926800000000003</v>
      </c>
    </row>
    <row r="182" spans="1:6" ht="20.100000000000001" customHeight="1" x14ac:dyDescent="0.2">
      <c r="A182" s="202">
        <v>4</v>
      </c>
      <c r="B182" s="201" t="s">
        <v>416</v>
      </c>
      <c r="C182" s="210">
        <v>0.93400000000000005</v>
      </c>
      <c r="D182" s="210">
        <v>0.77890000000000004</v>
      </c>
      <c r="E182" s="210">
        <v>0.85470000000000002</v>
      </c>
    </row>
    <row r="183" spans="1:6" ht="20.100000000000001" customHeight="1" x14ac:dyDescent="0.2">
      <c r="A183" s="202">
        <v>5</v>
      </c>
      <c r="B183" s="201" t="s">
        <v>417</v>
      </c>
      <c r="C183" s="210">
        <v>0.80649999999999999</v>
      </c>
      <c r="D183" s="210">
        <v>1.0781000000000001</v>
      </c>
      <c r="E183" s="210">
        <v>0.86509999999999998</v>
      </c>
    </row>
    <row r="184" spans="1:6" ht="20.100000000000001" customHeight="1" x14ac:dyDescent="0.2">
      <c r="A184" s="202">
        <v>6</v>
      </c>
      <c r="B184" s="201" t="s">
        <v>418</v>
      </c>
      <c r="C184" s="210">
        <v>0.5292</v>
      </c>
      <c r="D184" s="210">
        <v>2.0971000000000002</v>
      </c>
      <c r="E184" s="210">
        <v>0.68889999999999996</v>
      </c>
    </row>
    <row r="185" spans="1:6" ht="20.100000000000001" customHeight="1" x14ac:dyDescent="0.2">
      <c r="A185" s="202">
        <v>7</v>
      </c>
      <c r="B185" s="201" t="s">
        <v>419</v>
      </c>
      <c r="C185" s="210">
        <v>0.94669999999999999</v>
      </c>
      <c r="D185" s="210">
        <v>0.83479999999999999</v>
      </c>
      <c r="E185" s="210">
        <v>0.81330000000000002</v>
      </c>
    </row>
    <row r="186" spans="1:6" ht="20.100000000000001" customHeight="1" x14ac:dyDescent="0.2">
      <c r="A186" s="202">
        <v>8</v>
      </c>
      <c r="B186" s="201" t="s">
        <v>423</v>
      </c>
      <c r="C186" s="210">
        <v>1.063075</v>
      </c>
      <c r="D186" s="210">
        <v>1.077183</v>
      </c>
      <c r="E186" s="210">
        <v>1.057248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1607</v>
      </c>
      <c r="D189" s="198">
        <v>1524</v>
      </c>
      <c r="E189" s="198">
        <v>1597</v>
      </c>
    </row>
    <row r="190" spans="1:6" ht="20.100000000000001" customHeight="1" x14ac:dyDescent="0.2">
      <c r="A190" s="202">
        <v>2</v>
      </c>
      <c r="B190" s="201" t="s">
        <v>427</v>
      </c>
      <c r="C190" s="198">
        <v>14756</v>
      </c>
      <c r="D190" s="198">
        <v>14489</v>
      </c>
      <c r="E190" s="198">
        <v>13668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16363</v>
      </c>
      <c r="D191" s="198">
        <f>+D190+D189</f>
        <v>16013</v>
      </c>
      <c r="E191" s="198">
        <f>+E190+E189</f>
        <v>15265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1832</v>
      </c>
      <c r="D16" s="237">
        <v>0</v>
      </c>
      <c r="E16" s="237">
        <f t="shared" si="0"/>
        <v>-1832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422</v>
      </c>
      <c r="D17" s="237">
        <v>0</v>
      </c>
      <c r="E17" s="237">
        <f t="shared" si="0"/>
        <v>-422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1</v>
      </c>
      <c r="D20" s="239">
        <v>0</v>
      </c>
      <c r="E20" s="239">
        <f t="shared" si="0"/>
        <v>-1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1832</v>
      </c>
      <c r="D23" s="243">
        <f>+D14+D16</f>
        <v>0</v>
      </c>
      <c r="E23" s="243">
        <f t="shared" si="0"/>
        <v>-1832</v>
      </c>
      <c r="F23" s="244">
        <f t="shared" si="1"/>
        <v>-1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422</v>
      </c>
      <c r="D24" s="243">
        <f>+D15+D17</f>
        <v>0</v>
      </c>
      <c r="E24" s="243">
        <f t="shared" si="0"/>
        <v>-422</v>
      </c>
      <c r="F24" s="244">
        <f t="shared" si="1"/>
        <v>-1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86606</v>
      </c>
      <c r="E40" s="237">
        <f t="shared" ref="E40:E50" si="4">D40-C40</f>
        <v>86606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51664</v>
      </c>
      <c r="E41" s="237">
        <f t="shared" si="4"/>
        <v>51664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129512</v>
      </c>
      <c r="D42" s="237">
        <v>102610</v>
      </c>
      <c r="E42" s="237">
        <f t="shared" si="4"/>
        <v>-26902</v>
      </c>
      <c r="F42" s="238">
        <f t="shared" si="5"/>
        <v>-0.20771820371857433</v>
      </c>
    </row>
    <row r="43" spans="1:6" ht="20.25" customHeight="1" x14ac:dyDescent="0.3">
      <c r="A43" s="235">
        <v>4</v>
      </c>
      <c r="B43" s="236" t="s">
        <v>437</v>
      </c>
      <c r="C43" s="237">
        <v>26603</v>
      </c>
      <c r="D43" s="237">
        <v>22067</v>
      </c>
      <c r="E43" s="237">
        <f t="shared" si="4"/>
        <v>-4536</v>
      </c>
      <c r="F43" s="238">
        <f t="shared" si="5"/>
        <v>-0.17050708566703004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3</v>
      </c>
      <c r="E44" s="239">
        <f t="shared" si="4"/>
        <v>3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20</v>
      </c>
      <c r="E45" s="239">
        <f t="shared" si="4"/>
        <v>20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105</v>
      </c>
      <c r="D46" s="239">
        <v>121</v>
      </c>
      <c r="E46" s="239">
        <f t="shared" si="4"/>
        <v>16</v>
      </c>
      <c r="F46" s="238">
        <f t="shared" si="5"/>
        <v>0.15238095238095239</v>
      </c>
    </row>
    <row r="47" spans="1:6" ht="20.25" customHeight="1" x14ac:dyDescent="0.3">
      <c r="A47" s="235">
        <v>8</v>
      </c>
      <c r="B47" s="236" t="s">
        <v>439</v>
      </c>
      <c r="C47" s="239">
        <v>2</v>
      </c>
      <c r="D47" s="239">
        <v>7</v>
      </c>
      <c r="E47" s="239">
        <f t="shared" si="4"/>
        <v>5</v>
      </c>
      <c r="F47" s="238">
        <f t="shared" si="5"/>
        <v>2.5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129512</v>
      </c>
      <c r="D49" s="243">
        <f>+D40+D42</f>
        <v>189216</v>
      </c>
      <c r="E49" s="243">
        <f t="shared" si="4"/>
        <v>59704</v>
      </c>
      <c r="F49" s="244">
        <f t="shared" si="5"/>
        <v>0.460992031626413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26603</v>
      </c>
      <c r="D50" s="243">
        <f>+D41+D43</f>
        <v>73731</v>
      </c>
      <c r="E50" s="243">
        <f t="shared" si="4"/>
        <v>47128</v>
      </c>
      <c r="F50" s="244">
        <f t="shared" si="5"/>
        <v>1.7715295267451039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11144</v>
      </c>
      <c r="D53" s="237">
        <v>168458</v>
      </c>
      <c r="E53" s="237">
        <f t="shared" ref="E53:E63" si="6">D53-C53</f>
        <v>157314</v>
      </c>
      <c r="F53" s="238">
        <f t="shared" ref="F53:F63" si="7">IF(C53=0,0,E53/C53)</f>
        <v>14.116475233309405</v>
      </c>
    </row>
    <row r="54" spans="1:6" ht="20.25" customHeight="1" x14ac:dyDescent="0.3">
      <c r="A54" s="235">
        <v>2</v>
      </c>
      <c r="B54" s="236" t="s">
        <v>435</v>
      </c>
      <c r="C54" s="237">
        <v>5734</v>
      </c>
      <c r="D54" s="237">
        <v>75954</v>
      </c>
      <c r="E54" s="237">
        <f t="shared" si="6"/>
        <v>70220</v>
      </c>
      <c r="F54" s="238">
        <f t="shared" si="7"/>
        <v>12.246250435995815</v>
      </c>
    </row>
    <row r="55" spans="1:6" ht="20.25" customHeight="1" x14ac:dyDescent="0.3">
      <c r="A55" s="235">
        <v>3</v>
      </c>
      <c r="B55" s="236" t="s">
        <v>436</v>
      </c>
      <c r="C55" s="237">
        <v>47234</v>
      </c>
      <c r="D55" s="237">
        <v>76457</v>
      </c>
      <c r="E55" s="237">
        <f t="shared" si="6"/>
        <v>29223</v>
      </c>
      <c r="F55" s="238">
        <f t="shared" si="7"/>
        <v>0.6186856925096329</v>
      </c>
    </row>
    <row r="56" spans="1:6" ht="20.25" customHeight="1" x14ac:dyDescent="0.3">
      <c r="A56" s="235">
        <v>4</v>
      </c>
      <c r="B56" s="236" t="s">
        <v>437</v>
      </c>
      <c r="C56" s="237">
        <v>9791</v>
      </c>
      <c r="D56" s="237">
        <v>22045</v>
      </c>
      <c r="E56" s="237">
        <f t="shared" si="6"/>
        <v>12254</v>
      </c>
      <c r="F56" s="238">
        <f t="shared" si="7"/>
        <v>1.2515575528546625</v>
      </c>
    </row>
    <row r="57" spans="1:6" ht="20.25" customHeight="1" x14ac:dyDescent="0.3">
      <c r="A57" s="235">
        <v>5</v>
      </c>
      <c r="B57" s="236" t="s">
        <v>373</v>
      </c>
      <c r="C57" s="239">
        <v>1</v>
      </c>
      <c r="D57" s="239">
        <v>8</v>
      </c>
      <c r="E57" s="239">
        <f t="shared" si="6"/>
        <v>7</v>
      </c>
      <c r="F57" s="238">
        <f t="shared" si="7"/>
        <v>7</v>
      </c>
    </row>
    <row r="58" spans="1:6" ht="20.25" customHeight="1" x14ac:dyDescent="0.3">
      <c r="A58" s="235">
        <v>6</v>
      </c>
      <c r="B58" s="236" t="s">
        <v>372</v>
      </c>
      <c r="C58" s="239">
        <v>4</v>
      </c>
      <c r="D58" s="239">
        <v>28</v>
      </c>
      <c r="E58" s="239">
        <f t="shared" si="6"/>
        <v>24</v>
      </c>
      <c r="F58" s="238">
        <f t="shared" si="7"/>
        <v>6</v>
      </c>
    </row>
    <row r="59" spans="1:6" ht="20.25" customHeight="1" x14ac:dyDescent="0.3">
      <c r="A59" s="235">
        <v>7</v>
      </c>
      <c r="B59" s="236" t="s">
        <v>438</v>
      </c>
      <c r="C59" s="239">
        <v>30</v>
      </c>
      <c r="D59" s="239">
        <v>70</v>
      </c>
      <c r="E59" s="239">
        <f t="shared" si="6"/>
        <v>40</v>
      </c>
      <c r="F59" s="238">
        <f t="shared" si="7"/>
        <v>1.3333333333333333</v>
      </c>
    </row>
    <row r="60" spans="1:6" ht="20.25" customHeight="1" x14ac:dyDescent="0.3">
      <c r="A60" s="235">
        <v>8</v>
      </c>
      <c r="B60" s="236" t="s">
        <v>439</v>
      </c>
      <c r="C60" s="239">
        <v>0</v>
      </c>
      <c r="D60" s="239">
        <v>6</v>
      </c>
      <c r="E60" s="239">
        <f t="shared" si="6"/>
        <v>6</v>
      </c>
      <c r="F60" s="238">
        <f t="shared" si="7"/>
        <v>0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58378</v>
      </c>
      <c r="D62" s="243">
        <f>+D53+D55</f>
        <v>244915</v>
      </c>
      <c r="E62" s="243">
        <f t="shared" si="6"/>
        <v>186537</v>
      </c>
      <c r="F62" s="244">
        <f t="shared" si="7"/>
        <v>3.1953304326972489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15525</v>
      </c>
      <c r="D63" s="243">
        <f>+D54+D56</f>
        <v>97999</v>
      </c>
      <c r="E63" s="243">
        <f t="shared" si="6"/>
        <v>82474</v>
      </c>
      <c r="F63" s="244">
        <f t="shared" si="7"/>
        <v>5.312334943639291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302891</v>
      </c>
      <c r="D66" s="237">
        <v>79735</v>
      </c>
      <c r="E66" s="237">
        <f t="shared" ref="E66:E76" si="8">D66-C66</f>
        <v>-223156</v>
      </c>
      <c r="F66" s="238">
        <f t="shared" ref="F66:F76" si="9">IF(C66=0,0,E66/C66)</f>
        <v>-0.7367534855773199</v>
      </c>
    </row>
    <row r="67" spans="1:6" ht="20.25" customHeight="1" x14ac:dyDescent="0.3">
      <c r="A67" s="235">
        <v>2</v>
      </c>
      <c r="B67" s="236" t="s">
        <v>435</v>
      </c>
      <c r="C67" s="237">
        <v>137142</v>
      </c>
      <c r="D67" s="237">
        <v>45126</v>
      </c>
      <c r="E67" s="237">
        <f t="shared" si="8"/>
        <v>-92016</v>
      </c>
      <c r="F67" s="238">
        <f t="shared" si="9"/>
        <v>-0.6709541934637091</v>
      </c>
    </row>
    <row r="68" spans="1:6" ht="20.25" customHeight="1" x14ac:dyDescent="0.3">
      <c r="A68" s="235">
        <v>3</v>
      </c>
      <c r="B68" s="236" t="s">
        <v>436</v>
      </c>
      <c r="C68" s="237">
        <v>169790</v>
      </c>
      <c r="D68" s="237">
        <v>380121</v>
      </c>
      <c r="E68" s="237">
        <f t="shared" si="8"/>
        <v>210331</v>
      </c>
      <c r="F68" s="238">
        <f t="shared" si="9"/>
        <v>1.2387714235231757</v>
      </c>
    </row>
    <row r="69" spans="1:6" ht="20.25" customHeight="1" x14ac:dyDescent="0.3">
      <c r="A69" s="235">
        <v>4</v>
      </c>
      <c r="B69" s="236" t="s">
        <v>437</v>
      </c>
      <c r="C69" s="237">
        <v>45069</v>
      </c>
      <c r="D69" s="237">
        <v>77020</v>
      </c>
      <c r="E69" s="237">
        <f t="shared" si="8"/>
        <v>31951</v>
      </c>
      <c r="F69" s="238">
        <f t="shared" si="9"/>
        <v>0.70893518826687962</v>
      </c>
    </row>
    <row r="70" spans="1:6" ht="20.25" customHeight="1" x14ac:dyDescent="0.3">
      <c r="A70" s="235">
        <v>5</v>
      </c>
      <c r="B70" s="236" t="s">
        <v>373</v>
      </c>
      <c r="C70" s="239">
        <v>12</v>
      </c>
      <c r="D70" s="239">
        <v>7</v>
      </c>
      <c r="E70" s="239">
        <f t="shared" si="8"/>
        <v>-5</v>
      </c>
      <c r="F70" s="238">
        <f t="shared" si="9"/>
        <v>-0.41666666666666669</v>
      </c>
    </row>
    <row r="71" spans="1:6" ht="20.25" customHeight="1" x14ac:dyDescent="0.3">
      <c r="A71" s="235">
        <v>6</v>
      </c>
      <c r="B71" s="236" t="s">
        <v>372</v>
      </c>
      <c r="C71" s="239">
        <v>78</v>
      </c>
      <c r="D71" s="239">
        <v>21</v>
      </c>
      <c r="E71" s="239">
        <f t="shared" si="8"/>
        <v>-57</v>
      </c>
      <c r="F71" s="238">
        <f t="shared" si="9"/>
        <v>-0.73076923076923073</v>
      </c>
    </row>
    <row r="72" spans="1:6" ht="20.25" customHeight="1" x14ac:dyDescent="0.3">
      <c r="A72" s="235">
        <v>7</v>
      </c>
      <c r="B72" s="236" t="s">
        <v>438</v>
      </c>
      <c r="C72" s="239">
        <v>133</v>
      </c>
      <c r="D72" s="239">
        <v>245</v>
      </c>
      <c r="E72" s="239">
        <f t="shared" si="8"/>
        <v>112</v>
      </c>
      <c r="F72" s="238">
        <f t="shared" si="9"/>
        <v>0.84210526315789469</v>
      </c>
    </row>
    <row r="73" spans="1:6" ht="20.25" customHeight="1" x14ac:dyDescent="0.3">
      <c r="A73" s="235">
        <v>8</v>
      </c>
      <c r="B73" s="236" t="s">
        <v>439</v>
      </c>
      <c r="C73" s="239">
        <v>32</v>
      </c>
      <c r="D73" s="239">
        <v>36</v>
      </c>
      <c r="E73" s="239">
        <f t="shared" si="8"/>
        <v>4</v>
      </c>
      <c r="F73" s="238">
        <f t="shared" si="9"/>
        <v>0.125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472681</v>
      </c>
      <c r="D75" s="243">
        <f>+D66+D68</f>
        <v>459856</v>
      </c>
      <c r="E75" s="243">
        <f t="shared" si="8"/>
        <v>-12825</v>
      </c>
      <c r="F75" s="244">
        <f t="shared" si="9"/>
        <v>-2.7132463543066043E-2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182211</v>
      </c>
      <c r="D76" s="243">
        <f>+D67+D69</f>
        <v>122146</v>
      </c>
      <c r="E76" s="243">
        <f t="shared" si="8"/>
        <v>-60065</v>
      </c>
      <c r="F76" s="244">
        <f t="shared" si="9"/>
        <v>-0.32964530132648412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58336</v>
      </c>
      <c r="D79" s="237">
        <v>0</v>
      </c>
      <c r="E79" s="237">
        <f t="shared" ref="E79:E89" si="10">D79-C79</f>
        <v>-58336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435</v>
      </c>
      <c r="C80" s="237">
        <v>2604</v>
      </c>
      <c r="D80" s="237">
        <v>0</v>
      </c>
      <c r="E80" s="237">
        <f t="shared" si="10"/>
        <v>-2604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436</v>
      </c>
      <c r="C81" s="237">
        <v>5133</v>
      </c>
      <c r="D81" s="237">
        <v>8219</v>
      </c>
      <c r="E81" s="237">
        <f t="shared" si="10"/>
        <v>3086</v>
      </c>
      <c r="F81" s="238">
        <f t="shared" si="11"/>
        <v>0.60120787064095071</v>
      </c>
    </row>
    <row r="82" spans="1:6" ht="20.25" customHeight="1" x14ac:dyDescent="0.3">
      <c r="A82" s="235">
        <v>4</v>
      </c>
      <c r="B82" s="236" t="s">
        <v>437</v>
      </c>
      <c r="C82" s="237">
        <v>910</v>
      </c>
      <c r="D82" s="237">
        <v>460</v>
      </c>
      <c r="E82" s="237">
        <f t="shared" si="10"/>
        <v>-450</v>
      </c>
      <c r="F82" s="238">
        <f t="shared" si="11"/>
        <v>-0.49450549450549453</v>
      </c>
    </row>
    <row r="83" spans="1:6" ht="20.25" customHeight="1" x14ac:dyDescent="0.3">
      <c r="A83" s="235">
        <v>5</v>
      </c>
      <c r="B83" s="236" t="s">
        <v>373</v>
      </c>
      <c r="C83" s="239">
        <v>2</v>
      </c>
      <c r="D83" s="239">
        <v>0</v>
      </c>
      <c r="E83" s="239">
        <f t="shared" si="10"/>
        <v>-2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372</v>
      </c>
      <c r="C84" s="239">
        <v>13</v>
      </c>
      <c r="D84" s="239">
        <v>0</v>
      </c>
      <c r="E84" s="239">
        <f t="shared" si="10"/>
        <v>-13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438</v>
      </c>
      <c r="C85" s="239">
        <v>7</v>
      </c>
      <c r="D85" s="239">
        <v>0</v>
      </c>
      <c r="E85" s="239">
        <f t="shared" si="10"/>
        <v>-7</v>
      </c>
      <c r="F85" s="238">
        <f t="shared" si="11"/>
        <v>-1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2</v>
      </c>
      <c r="E86" s="239">
        <f t="shared" si="10"/>
        <v>2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63469</v>
      </c>
      <c r="D88" s="243">
        <f>+D79+D81</f>
        <v>8219</v>
      </c>
      <c r="E88" s="243">
        <f t="shared" si="10"/>
        <v>-55250</v>
      </c>
      <c r="F88" s="244">
        <f t="shared" si="11"/>
        <v>-0.87050371047282926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3514</v>
      </c>
      <c r="D89" s="243">
        <f>+D80+D82</f>
        <v>460</v>
      </c>
      <c r="E89" s="243">
        <f t="shared" si="10"/>
        <v>-3054</v>
      </c>
      <c r="F89" s="244">
        <f t="shared" si="11"/>
        <v>-0.86909504837791696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15133</v>
      </c>
      <c r="D105" s="237">
        <v>35195</v>
      </c>
      <c r="E105" s="237">
        <f t="shared" ref="E105:E115" si="14">D105-C105</f>
        <v>20062</v>
      </c>
      <c r="F105" s="238">
        <f t="shared" ref="F105:F115" si="15">IF(C105=0,0,E105/C105)</f>
        <v>1.3257120200885482</v>
      </c>
    </row>
    <row r="106" spans="1:6" ht="20.25" customHeight="1" x14ac:dyDescent="0.3">
      <c r="A106" s="235">
        <v>2</v>
      </c>
      <c r="B106" s="236" t="s">
        <v>435</v>
      </c>
      <c r="C106" s="237">
        <v>5889</v>
      </c>
      <c r="D106" s="237">
        <v>13317</v>
      </c>
      <c r="E106" s="237">
        <f t="shared" si="14"/>
        <v>7428</v>
      </c>
      <c r="F106" s="238">
        <f t="shared" si="15"/>
        <v>1.261334691798268</v>
      </c>
    </row>
    <row r="107" spans="1:6" ht="20.25" customHeight="1" x14ac:dyDescent="0.3">
      <c r="A107" s="235">
        <v>3</v>
      </c>
      <c r="B107" s="236" t="s">
        <v>436</v>
      </c>
      <c r="C107" s="237">
        <v>11341</v>
      </c>
      <c r="D107" s="237">
        <v>29784</v>
      </c>
      <c r="E107" s="237">
        <f t="shared" si="14"/>
        <v>18443</v>
      </c>
      <c r="F107" s="238">
        <f t="shared" si="15"/>
        <v>1.6262234370866766</v>
      </c>
    </row>
    <row r="108" spans="1:6" ht="20.25" customHeight="1" x14ac:dyDescent="0.3">
      <c r="A108" s="235">
        <v>4</v>
      </c>
      <c r="B108" s="236" t="s">
        <v>437</v>
      </c>
      <c r="C108" s="237">
        <v>4250</v>
      </c>
      <c r="D108" s="237">
        <v>6238</v>
      </c>
      <c r="E108" s="237">
        <f t="shared" si="14"/>
        <v>1988</v>
      </c>
      <c r="F108" s="238">
        <f t="shared" si="15"/>
        <v>0.46776470588235292</v>
      </c>
    </row>
    <row r="109" spans="1:6" ht="20.25" customHeight="1" x14ac:dyDescent="0.3">
      <c r="A109" s="235">
        <v>5</v>
      </c>
      <c r="B109" s="236" t="s">
        <v>373</v>
      </c>
      <c r="C109" s="239">
        <v>1</v>
      </c>
      <c r="D109" s="239">
        <v>2</v>
      </c>
      <c r="E109" s="239">
        <f t="shared" si="14"/>
        <v>1</v>
      </c>
      <c r="F109" s="238">
        <f t="shared" si="15"/>
        <v>1</v>
      </c>
    </row>
    <row r="110" spans="1:6" ht="20.25" customHeight="1" x14ac:dyDescent="0.3">
      <c r="A110" s="235">
        <v>6</v>
      </c>
      <c r="B110" s="236" t="s">
        <v>372</v>
      </c>
      <c r="C110" s="239">
        <v>3</v>
      </c>
      <c r="D110" s="239">
        <v>6</v>
      </c>
      <c r="E110" s="239">
        <f t="shared" si="14"/>
        <v>3</v>
      </c>
      <c r="F110" s="238">
        <f t="shared" si="15"/>
        <v>1</v>
      </c>
    </row>
    <row r="111" spans="1:6" ht="20.25" customHeight="1" x14ac:dyDescent="0.3">
      <c r="A111" s="235">
        <v>7</v>
      </c>
      <c r="B111" s="236" t="s">
        <v>438</v>
      </c>
      <c r="C111" s="239">
        <v>4</v>
      </c>
      <c r="D111" s="239">
        <v>7</v>
      </c>
      <c r="E111" s="239">
        <f t="shared" si="14"/>
        <v>3</v>
      </c>
      <c r="F111" s="238">
        <f t="shared" si="15"/>
        <v>0.75</v>
      </c>
    </row>
    <row r="112" spans="1:6" ht="20.25" customHeight="1" x14ac:dyDescent="0.3">
      <c r="A112" s="235">
        <v>8</v>
      </c>
      <c r="B112" s="236" t="s">
        <v>439</v>
      </c>
      <c r="C112" s="239">
        <v>6</v>
      </c>
      <c r="D112" s="239">
        <v>5</v>
      </c>
      <c r="E112" s="239">
        <f t="shared" si="14"/>
        <v>-1</v>
      </c>
      <c r="F112" s="238">
        <f t="shared" si="15"/>
        <v>-0.16666666666666666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26474</v>
      </c>
      <c r="D114" s="243">
        <f>+D105+D107</f>
        <v>64979</v>
      </c>
      <c r="E114" s="243">
        <f t="shared" si="14"/>
        <v>38505</v>
      </c>
      <c r="F114" s="244">
        <f t="shared" si="15"/>
        <v>1.4544458714210169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10139</v>
      </c>
      <c r="D115" s="243">
        <f>+D106+D108</f>
        <v>19555</v>
      </c>
      <c r="E115" s="243">
        <f t="shared" si="14"/>
        <v>9416</v>
      </c>
      <c r="F115" s="244">
        <f t="shared" si="15"/>
        <v>0.92869119242528853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61611</v>
      </c>
      <c r="D118" s="237">
        <v>40885</v>
      </c>
      <c r="E118" s="237">
        <f t="shared" ref="E118:E128" si="16">D118-C118</f>
        <v>-20726</v>
      </c>
      <c r="F118" s="238">
        <f t="shared" ref="F118:F128" si="17">IF(C118=0,0,E118/C118)</f>
        <v>-0.33640096735972475</v>
      </c>
    </row>
    <row r="119" spans="1:6" ht="20.25" customHeight="1" x14ac:dyDescent="0.3">
      <c r="A119" s="235">
        <v>2</v>
      </c>
      <c r="B119" s="236" t="s">
        <v>435</v>
      </c>
      <c r="C119" s="237">
        <v>35780</v>
      </c>
      <c r="D119" s="237">
        <v>16012</v>
      </c>
      <c r="E119" s="237">
        <f t="shared" si="16"/>
        <v>-19768</v>
      </c>
      <c r="F119" s="238">
        <f t="shared" si="17"/>
        <v>-0.55248742314141974</v>
      </c>
    </row>
    <row r="120" spans="1:6" ht="20.25" customHeight="1" x14ac:dyDescent="0.3">
      <c r="A120" s="235">
        <v>3</v>
      </c>
      <c r="B120" s="236" t="s">
        <v>436</v>
      </c>
      <c r="C120" s="237">
        <v>71085</v>
      </c>
      <c r="D120" s="237">
        <v>95304</v>
      </c>
      <c r="E120" s="237">
        <f t="shared" si="16"/>
        <v>24219</v>
      </c>
      <c r="F120" s="238">
        <f t="shared" si="17"/>
        <v>0.34070479004009285</v>
      </c>
    </row>
    <row r="121" spans="1:6" ht="20.25" customHeight="1" x14ac:dyDescent="0.3">
      <c r="A121" s="235">
        <v>4</v>
      </c>
      <c r="B121" s="236" t="s">
        <v>437</v>
      </c>
      <c r="C121" s="237">
        <v>20043</v>
      </c>
      <c r="D121" s="237">
        <v>24200</v>
      </c>
      <c r="E121" s="237">
        <f t="shared" si="16"/>
        <v>4157</v>
      </c>
      <c r="F121" s="238">
        <f t="shared" si="17"/>
        <v>0.20740408122536547</v>
      </c>
    </row>
    <row r="122" spans="1:6" ht="20.25" customHeight="1" x14ac:dyDescent="0.3">
      <c r="A122" s="235">
        <v>5</v>
      </c>
      <c r="B122" s="236" t="s">
        <v>373</v>
      </c>
      <c r="C122" s="239">
        <v>5</v>
      </c>
      <c r="D122" s="239">
        <v>3</v>
      </c>
      <c r="E122" s="239">
        <f t="shared" si="16"/>
        <v>-2</v>
      </c>
      <c r="F122" s="238">
        <f t="shared" si="17"/>
        <v>-0.4</v>
      </c>
    </row>
    <row r="123" spans="1:6" ht="20.25" customHeight="1" x14ac:dyDescent="0.3">
      <c r="A123" s="235">
        <v>6</v>
      </c>
      <c r="B123" s="236" t="s">
        <v>372</v>
      </c>
      <c r="C123" s="239">
        <v>20</v>
      </c>
      <c r="D123" s="239">
        <v>15</v>
      </c>
      <c r="E123" s="239">
        <f t="shared" si="16"/>
        <v>-5</v>
      </c>
      <c r="F123" s="238">
        <f t="shared" si="17"/>
        <v>-0.25</v>
      </c>
    </row>
    <row r="124" spans="1:6" ht="20.25" customHeight="1" x14ac:dyDescent="0.3">
      <c r="A124" s="235">
        <v>7</v>
      </c>
      <c r="B124" s="236" t="s">
        <v>438</v>
      </c>
      <c r="C124" s="239">
        <v>52</v>
      </c>
      <c r="D124" s="239">
        <v>81</v>
      </c>
      <c r="E124" s="239">
        <f t="shared" si="16"/>
        <v>29</v>
      </c>
      <c r="F124" s="238">
        <f t="shared" si="17"/>
        <v>0.55769230769230771</v>
      </c>
    </row>
    <row r="125" spans="1:6" ht="20.25" customHeight="1" x14ac:dyDescent="0.3">
      <c r="A125" s="235">
        <v>8</v>
      </c>
      <c r="B125" s="236" t="s">
        <v>439</v>
      </c>
      <c r="C125" s="239">
        <v>9</v>
      </c>
      <c r="D125" s="239">
        <v>8</v>
      </c>
      <c r="E125" s="239">
        <f t="shared" si="16"/>
        <v>-1</v>
      </c>
      <c r="F125" s="238">
        <f t="shared" si="17"/>
        <v>-0.1111111111111111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132696</v>
      </c>
      <c r="D127" s="243">
        <f>+D118+D120</f>
        <v>136189</v>
      </c>
      <c r="E127" s="243">
        <f t="shared" si="16"/>
        <v>3493</v>
      </c>
      <c r="F127" s="244">
        <f t="shared" si="17"/>
        <v>2.632332549587026E-2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55823</v>
      </c>
      <c r="D128" s="243">
        <f>+D119+D121</f>
        <v>40212</v>
      </c>
      <c r="E128" s="243">
        <f t="shared" si="16"/>
        <v>-15611</v>
      </c>
      <c r="F128" s="244">
        <f t="shared" si="17"/>
        <v>-0.27965175644447632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20765</v>
      </c>
      <c r="D133" s="237">
        <v>86881</v>
      </c>
      <c r="E133" s="237">
        <f t="shared" si="18"/>
        <v>66116</v>
      </c>
      <c r="F133" s="238">
        <f t="shared" si="19"/>
        <v>3.1840115579099448</v>
      </c>
    </row>
    <row r="134" spans="1:6" ht="20.25" customHeight="1" x14ac:dyDescent="0.3">
      <c r="A134" s="235">
        <v>4</v>
      </c>
      <c r="B134" s="236" t="s">
        <v>437</v>
      </c>
      <c r="C134" s="237">
        <v>4986</v>
      </c>
      <c r="D134" s="237">
        <v>21131</v>
      </c>
      <c r="E134" s="237">
        <f t="shared" si="18"/>
        <v>16145</v>
      </c>
      <c r="F134" s="238">
        <f t="shared" si="19"/>
        <v>3.2380665864420375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14</v>
      </c>
      <c r="D137" s="239">
        <v>30</v>
      </c>
      <c r="E137" s="239">
        <f t="shared" si="18"/>
        <v>16</v>
      </c>
      <c r="F137" s="238">
        <f t="shared" si="19"/>
        <v>1.1428571428571428</v>
      </c>
    </row>
    <row r="138" spans="1:6" ht="20.25" customHeight="1" x14ac:dyDescent="0.3">
      <c r="A138" s="235">
        <v>8</v>
      </c>
      <c r="B138" s="236" t="s">
        <v>439</v>
      </c>
      <c r="C138" s="239">
        <v>6</v>
      </c>
      <c r="D138" s="239">
        <v>6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20765</v>
      </c>
      <c r="D140" s="243">
        <f>+D131+D133</f>
        <v>86881</v>
      </c>
      <c r="E140" s="243">
        <f t="shared" si="18"/>
        <v>66116</v>
      </c>
      <c r="F140" s="244">
        <f t="shared" si="19"/>
        <v>3.1840115579099448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4986</v>
      </c>
      <c r="D141" s="243">
        <f>+D132+D134</f>
        <v>21131</v>
      </c>
      <c r="E141" s="243">
        <f t="shared" si="18"/>
        <v>16145</v>
      </c>
      <c r="F141" s="244">
        <f t="shared" si="19"/>
        <v>3.2380665864420375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105084</v>
      </c>
      <c r="D183" s="237">
        <v>376071</v>
      </c>
      <c r="E183" s="237">
        <f t="shared" ref="E183:E193" si="26">D183-C183</f>
        <v>270987</v>
      </c>
      <c r="F183" s="238">
        <f t="shared" ref="F183:F193" si="27">IF(C183=0,0,E183/C183)</f>
        <v>2.5787655589813863</v>
      </c>
    </row>
    <row r="184" spans="1:6" ht="20.25" customHeight="1" x14ac:dyDescent="0.3">
      <c r="A184" s="235">
        <v>2</v>
      </c>
      <c r="B184" s="236" t="s">
        <v>435</v>
      </c>
      <c r="C184" s="237">
        <v>67200</v>
      </c>
      <c r="D184" s="237">
        <v>162140</v>
      </c>
      <c r="E184" s="237">
        <f t="shared" si="26"/>
        <v>94940</v>
      </c>
      <c r="F184" s="238">
        <f t="shared" si="27"/>
        <v>1.412797619047619</v>
      </c>
    </row>
    <row r="185" spans="1:6" ht="20.25" customHeight="1" x14ac:dyDescent="0.3">
      <c r="A185" s="235">
        <v>3</v>
      </c>
      <c r="B185" s="236" t="s">
        <v>436</v>
      </c>
      <c r="C185" s="237">
        <v>184809</v>
      </c>
      <c r="D185" s="237">
        <v>178489</v>
      </c>
      <c r="E185" s="237">
        <f t="shared" si="26"/>
        <v>-6320</v>
      </c>
      <c r="F185" s="238">
        <f t="shared" si="27"/>
        <v>-3.4197468737994362E-2</v>
      </c>
    </row>
    <row r="186" spans="1:6" ht="20.25" customHeight="1" x14ac:dyDescent="0.3">
      <c r="A186" s="235">
        <v>4</v>
      </c>
      <c r="B186" s="236" t="s">
        <v>437</v>
      </c>
      <c r="C186" s="237">
        <v>72680</v>
      </c>
      <c r="D186" s="237">
        <v>43729</v>
      </c>
      <c r="E186" s="237">
        <f t="shared" si="26"/>
        <v>-28951</v>
      </c>
      <c r="F186" s="238">
        <f t="shared" si="27"/>
        <v>-0.39833516785910844</v>
      </c>
    </row>
    <row r="187" spans="1:6" ht="20.25" customHeight="1" x14ac:dyDescent="0.3">
      <c r="A187" s="235">
        <v>5</v>
      </c>
      <c r="B187" s="236" t="s">
        <v>373</v>
      </c>
      <c r="C187" s="239">
        <v>7</v>
      </c>
      <c r="D187" s="239">
        <v>16</v>
      </c>
      <c r="E187" s="239">
        <f t="shared" si="26"/>
        <v>9</v>
      </c>
      <c r="F187" s="238">
        <f t="shared" si="27"/>
        <v>1.2857142857142858</v>
      </c>
    </row>
    <row r="188" spans="1:6" ht="20.25" customHeight="1" x14ac:dyDescent="0.3">
      <c r="A188" s="235">
        <v>6</v>
      </c>
      <c r="B188" s="236" t="s">
        <v>372</v>
      </c>
      <c r="C188" s="239">
        <v>23</v>
      </c>
      <c r="D188" s="239">
        <v>67</v>
      </c>
      <c r="E188" s="239">
        <f t="shared" si="26"/>
        <v>44</v>
      </c>
      <c r="F188" s="238">
        <f t="shared" si="27"/>
        <v>1.9130434782608696</v>
      </c>
    </row>
    <row r="189" spans="1:6" ht="20.25" customHeight="1" x14ac:dyDescent="0.3">
      <c r="A189" s="235">
        <v>7</v>
      </c>
      <c r="B189" s="236" t="s">
        <v>438</v>
      </c>
      <c r="C189" s="239">
        <v>462</v>
      </c>
      <c r="D189" s="239">
        <v>408</v>
      </c>
      <c r="E189" s="239">
        <f t="shared" si="26"/>
        <v>-54</v>
      </c>
      <c r="F189" s="238">
        <f t="shared" si="27"/>
        <v>-0.11688311688311688</v>
      </c>
    </row>
    <row r="190" spans="1:6" ht="20.25" customHeight="1" x14ac:dyDescent="0.3">
      <c r="A190" s="235">
        <v>8</v>
      </c>
      <c r="B190" s="236" t="s">
        <v>439</v>
      </c>
      <c r="C190" s="239">
        <v>22</v>
      </c>
      <c r="D190" s="239">
        <v>18</v>
      </c>
      <c r="E190" s="239">
        <f t="shared" si="26"/>
        <v>-4</v>
      </c>
      <c r="F190" s="238">
        <f t="shared" si="27"/>
        <v>-0.18181818181818182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289893</v>
      </c>
      <c r="D192" s="243">
        <f>+D183+D185</f>
        <v>554560</v>
      </c>
      <c r="E192" s="243">
        <f t="shared" si="26"/>
        <v>264667</v>
      </c>
      <c r="F192" s="244">
        <f t="shared" si="27"/>
        <v>0.91298168634634158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139880</v>
      </c>
      <c r="D193" s="243">
        <f>+D184+D186</f>
        <v>205869</v>
      </c>
      <c r="E193" s="243">
        <f t="shared" si="26"/>
        <v>65989</v>
      </c>
      <c r="F193" s="244">
        <f t="shared" si="27"/>
        <v>0.47175436088075495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554199</v>
      </c>
      <c r="D198" s="243">
        <f t="shared" si="28"/>
        <v>786950</v>
      </c>
      <c r="E198" s="243">
        <f t="shared" ref="E198:E208" si="29">D198-C198</f>
        <v>232751</v>
      </c>
      <c r="F198" s="251">
        <f t="shared" ref="F198:F208" si="30">IF(C198=0,0,E198/C198)</f>
        <v>0.41997730057253801</v>
      </c>
    </row>
    <row r="199" spans="1:9" ht="20.25" customHeight="1" x14ac:dyDescent="0.3">
      <c r="A199" s="249"/>
      <c r="B199" s="250" t="s">
        <v>461</v>
      </c>
      <c r="C199" s="243">
        <f t="shared" si="28"/>
        <v>254349</v>
      </c>
      <c r="D199" s="243">
        <f t="shared" si="28"/>
        <v>364213</v>
      </c>
      <c r="E199" s="243">
        <f t="shared" si="29"/>
        <v>109864</v>
      </c>
      <c r="F199" s="251">
        <f t="shared" si="30"/>
        <v>0.43194193804575604</v>
      </c>
    </row>
    <row r="200" spans="1:9" ht="20.25" customHeight="1" x14ac:dyDescent="0.3">
      <c r="A200" s="249"/>
      <c r="B200" s="250" t="s">
        <v>462</v>
      </c>
      <c r="C200" s="243">
        <f t="shared" si="28"/>
        <v>641501</v>
      </c>
      <c r="D200" s="243">
        <f t="shared" si="28"/>
        <v>957865</v>
      </c>
      <c r="E200" s="243">
        <f t="shared" si="29"/>
        <v>316364</v>
      </c>
      <c r="F200" s="251">
        <f t="shared" si="30"/>
        <v>0.49316213069036524</v>
      </c>
    </row>
    <row r="201" spans="1:9" ht="20.25" customHeight="1" x14ac:dyDescent="0.3">
      <c r="A201" s="249"/>
      <c r="B201" s="250" t="s">
        <v>463</v>
      </c>
      <c r="C201" s="243">
        <f t="shared" si="28"/>
        <v>184754</v>
      </c>
      <c r="D201" s="243">
        <f t="shared" si="28"/>
        <v>216890</v>
      </c>
      <c r="E201" s="243">
        <f t="shared" si="29"/>
        <v>32136</v>
      </c>
      <c r="F201" s="251">
        <f t="shared" si="30"/>
        <v>0.17393940050012449</v>
      </c>
    </row>
    <row r="202" spans="1:9" ht="20.25" customHeight="1" x14ac:dyDescent="0.3">
      <c r="A202" s="249"/>
      <c r="B202" s="250" t="s">
        <v>464</v>
      </c>
      <c r="C202" s="252">
        <f t="shared" si="28"/>
        <v>28</v>
      </c>
      <c r="D202" s="252">
        <f t="shared" si="28"/>
        <v>39</v>
      </c>
      <c r="E202" s="252">
        <f t="shared" si="29"/>
        <v>11</v>
      </c>
      <c r="F202" s="251">
        <f t="shared" si="30"/>
        <v>0.39285714285714285</v>
      </c>
    </row>
    <row r="203" spans="1:9" ht="20.25" customHeight="1" x14ac:dyDescent="0.3">
      <c r="A203" s="249"/>
      <c r="B203" s="250" t="s">
        <v>465</v>
      </c>
      <c r="C203" s="252">
        <f t="shared" si="28"/>
        <v>141</v>
      </c>
      <c r="D203" s="252">
        <f t="shared" si="28"/>
        <v>157</v>
      </c>
      <c r="E203" s="252">
        <f t="shared" si="29"/>
        <v>16</v>
      </c>
      <c r="F203" s="251">
        <f t="shared" si="30"/>
        <v>0.11347517730496454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808</v>
      </c>
      <c r="D204" s="252">
        <f t="shared" si="28"/>
        <v>962</v>
      </c>
      <c r="E204" s="252">
        <f t="shared" si="29"/>
        <v>154</v>
      </c>
      <c r="F204" s="251">
        <f t="shared" si="30"/>
        <v>0.1905940594059406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77</v>
      </c>
      <c r="D205" s="252">
        <f t="shared" si="28"/>
        <v>88</v>
      </c>
      <c r="E205" s="252">
        <f t="shared" si="29"/>
        <v>11</v>
      </c>
      <c r="F205" s="251">
        <f t="shared" si="30"/>
        <v>0.14285714285714285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1195700</v>
      </c>
      <c r="D207" s="243">
        <f>+D198+D200</f>
        <v>1744815</v>
      </c>
      <c r="E207" s="243">
        <f t="shared" si="29"/>
        <v>549115</v>
      </c>
      <c r="F207" s="251">
        <f t="shared" si="30"/>
        <v>0.45924144852387722</v>
      </c>
    </row>
    <row r="208" spans="1:9" ht="20.25" customHeight="1" x14ac:dyDescent="0.3">
      <c r="A208" s="249"/>
      <c r="B208" s="242" t="s">
        <v>470</v>
      </c>
      <c r="C208" s="243">
        <f>+C199+C201</f>
        <v>439103</v>
      </c>
      <c r="D208" s="243">
        <f>+D199+D201</f>
        <v>581103</v>
      </c>
      <c r="E208" s="243">
        <f t="shared" si="29"/>
        <v>142000</v>
      </c>
      <c r="F208" s="251">
        <f t="shared" si="30"/>
        <v>0.32338654028781399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FILING&amp;RESSENT-SHARON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53998</v>
      </c>
      <c r="D14" s="237">
        <v>0</v>
      </c>
      <c r="E14" s="237">
        <f t="shared" ref="E14:E24" si="0">D14-C14</f>
        <v>-53998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23550</v>
      </c>
      <c r="D15" s="237">
        <v>0</v>
      </c>
      <c r="E15" s="237">
        <f t="shared" si="0"/>
        <v>-23550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250275</v>
      </c>
      <c r="D16" s="237">
        <v>0</v>
      </c>
      <c r="E16" s="237">
        <f t="shared" si="0"/>
        <v>-250275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65098</v>
      </c>
      <c r="D17" s="237">
        <v>0</v>
      </c>
      <c r="E17" s="237">
        <f t="shared" si="0"/>
        <v>-65098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9</v>
      </c>
      <c r="D18" s="239">
        <v>0</v>
      </c>
      <c r="E18" s="239">
        <f t="shared" si="0"/>
        <v>-9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16</v>
      </c>
      <c r="D19" s="239">
        <v>0</v>
      </c>
      <c r="E19" s="239">
        <f t="shared" si="0"/>
        <v>-16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146</v>
      </c>
      <c r="D20" s="239">
        <v>0</v>
      </c>
      <c r="E20" s="239">
        <f t="shared" si="0"/>
        <v>-146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126</v>
      </c>
      <c r="D21" s="239">
        <v>0</v>
      </c>
      <c r="E21" s="239">
        <f t="shared" si="0"/>
        <v>-126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304273</v>
      </c>
      <c r="D23" s="243">
        <f>+D14+D16</f>
        <v>0</v>
      </c>
      <c r="E23" s="243">
        <f t="shared" si="0"/>
        <v>-304273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88648</v>
      </c>
      <c r="D24" s="243">
        <f>+D15+D17</f>
        <v>0</v>
      </c>
      <c r="E24" s="243">
        <f t="shared" si="0"/>
        <v>-88648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347367</v>
      </c>
      <c r="D26" s="237">
        <v>551234</v>
      </c>
      <c r="E26" s="237">
        <f t="shared" ref="E26:E36" si="2">D26-C26</f>
        <v>203867</v>
      </c>
      <c r="F26" s="238">
        <f t="shared" ref="F26:F36" si="3">IF(C26=0,0,E26/C26)</f>
        <v>0.58689224940768692</v>
      </c>
    </row>
    <row r="27" spans="1:6" ht="20.25" customHeight="1" x14ac:dyDescent="0.3">
      <c r="A27" s="235">
        <v>2</v>
      </c>
      <c r="B27" s="236" t="s">
        <v>435</v>
      </c>
      <c r="C27" s="237">
        <v>143757</v>
      </c>
      <c r="D27" s="237">
        <v>211834</v>
      </c>
      <c r="E27" s="237">
        <f t="shared" si="2"/>
        <v>68077</v>
      </c>
      <c r="F27" s="238">
        <f t="shared" si="3"/>
        <v>0.47355607031309782</v>
      </c>
    </row>
    <row r="28" spans="1:6" ht="20.25" customHeight="1" x14ac:dyDescent="0.3">
      <c r="A28" s="235">
        <v>3</v>
      </c>
      <c r="B28" s="236" t="s">
        <v>436</v>
      </c>
      <c r="C28" s="237">
        <v>824721</v>
      </c>
      <c r="D28" s="237">
        <v>1244143</v>
      </c>
      <c r="E28" s="237">
        <f t="shared" si="2"/>
        <v>419422</v>
      </c>
      <c r="F28" s="238">
        <f t="shared" si="3"/>
        <v>0.50856228955004179</v>
      </c>
    </row>
    <row r="29" spans="1:6" ht="20.25" customHeight="1" x14ac:dyDescent="0.3">
      <c r="A29" s="235">
        <v>4</v>
      </c>
      <c r="B29" s="236" t="s">
        <v>437</v>
      </c>
      <c r="C29" s="237">
        <v>212935</v>
      </c>
      <c r="D29" s="237">
        <v>339878</v>
      </c>
      <c r="E29" s="237">
        <f t="shared" si="2"/>
        <v>126943</v>
      </c>
      <c r="F29" s="238">
        <f t="shared" si="3"/>
        <v>0.59615845210979879</v>
      </c>
    </row>
    <row r="30" spans="1:6" ht="20.25" customHeight="1" x14ac:dyDescent="0.3">
      <c r="A30" s="235">
        <v>5</v>
      </c>
      <c r="B30" s="236" t="s">
        <v>373</v>
      </c>
      <c r="C30" s="239">
        <v>44</v>
      </c>
      <c r="D30" s="239">
        <v>62</v>
      </c>
      <c r="E30" s="239">
        <f t="shared" si="2"/>
        <v>18</v>
      </c>
      <c r="F30" s="238">
        <f t="shared" si="3"/>
        <v>0.40909090909090912</v>
      </c>
    </row>
    <row r="31" spans="1:6" ht="20.25" customHeight="1" x14ac:dyDescent="0.3">
      <c r="A31" s="235">
        <v>6</v>
      </c>
      <c r="B31" s="236" t="s">
        <v>372</v>
      </c>
      <c r="C31" s="239">
        <v>109</v>
      </c>
      <c r="D31" s="239">
        <v>155</v>
      </c>
      <c r="E31" s="239">
        <f t="shared" si="2"/>
        <v>46</v>
      </c>
      <c r="F31" s="238">
        <f t="shared" si="3"/>
        <v>0.42201834862385323</v>
      </c>
    </row>
    <row r="32" spans="1:6" ht="20.25" customHeight="1" x14ac:dyDescent="0.3">
      <c r="A32" s="235">
        <v>7</v>
      </c>
      <c r="B32" s="236" t="s">
        <v>438</v>
      </c>
      <c r="C32" s="239">
        <v>558</v>
      </c>
      <c r="D32" s="239">
        <v>989</v>
      </c>
      <c r="E32" s="239">
        <f t="shared" si="2"/>
        <v>431</v>
      </c>
      <c r="F32" s="238">
        <f t="shared" si="3"/>
        <v>0.77240143369175629</v>
      </c>
    </row>
    <row r="33" spans="1:6" ht="20.25" customHeight="1" x14ac:dyDescent="0.3">
      <c r="A33" s="235">
        <v>8</v>
      </c>
      <c r="B33" s="236" t="s">
        <v>439</v>
      </c>
      <c r="C33" s="239">
        <v>350</v>
      </c>
      <c r="D33" s="239">
        <v>458</v>
      </c>
      <c r="E33" s="239">
        <f t="shared" si="2"/>
        <v>108</v>
      </c>
      <c r="F33" s="238">
        <f t="shared" si="3"/>
        <v>0.30857142857142855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1172088</v>
      </c>
      <c r="D35" s="243">
        <f>+D26+D28</f>
        <v>1795377</v>
      </c>
      <c r="E35" s="243">
        <f t="shared" si="2"/>
        <v>623289</v>
      </c>
      <c r="F35" s="244">
        <f t="shared" si="3"/>
        <v>0.53177662428077077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356692</v>
      </c>
      <c r="D36" s="243">
        <f>+D27+D29</f>
        <v>551712</v>
      </c>
      <c r="E36" s="243">
        <f t="shared" si="2"/>
        <v>195020</v>
      </c>
      <c r="F36" s="244">
        <f t="shared" si="3"/>
        <v>0.54674621241855714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16898</v>
      </c>
      <c r="D40" s="237">
        <v>9125</v>
      </c>
      <c r="E40" s="237">
        <f t="shared" si="4"/>
        <v>-7773</v>
      </c>
      <c r="F40" s="238">
        <f t="shared" si="5"/>
        <v>-0.45999526571191857</v>
      </c>
    </row>
    <row r="41" spans="1:6" ht="20.25" customHeight="1" x14ac:dyDescent="0.3">
      <c r="A41" s="235">
        <v>4</v>
      </c>
      <c r="B41" s="236" t="s">
        <v>437</v>
      </c>
      <c r="C41" s="237">
        <v>6537</v>
      </c>
      <c r="D41" s="237">
        <v>4974</v>
      </c>
      <c r="E41" s="237">
        <f t="shared" si="4"/>
        <v>-1563</v>
      </c>
      <c r="F41" s="238">
        <f t="shared" si="5"/>
        <v>-0.23910050481872419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27</v>
      </c>
      <c r="D44" s="239">
        <v>4</v>
      </c>
      <c r="E44" s="239">
        <f t="shared" si="4"/>
        <v>-23</v>
      </c>
      <c r="F44" s="238">
        <f t="shared" si="5"/>
        <v>-0.85185185185185186</v>
      </c>
    </row>
    <row r="45" spans="1:6" ht="20.25" customHeight="1" x14ac:dyDescent="0.3">
      <c r="A45" s="235">
        <v>8</v>
      </c>
      <c r="B45" s="236" t="s">
        <v>439</v>
      </c>
      <c r="C45" s="239">
        <v>5</v>
      </c>
      <c r="D45" s="239">
        <v>5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16898</v>
      </c>
      <c r="D47" s="243">
        <f>+D38+D40</f>
        <v>9125</v>
      </c>
      <c r="E47" s="243">
        <f t="shared" si="4"/>
        <v>-7773</v>
      </c>
      <c r="F47" s="244">
        <f t="shared" si="5"/>
        <v>-0.45999526571191857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6537</v>
      </c>
      <c r="D48" s="243">
        <f>+D39+D41</f>
        <v>4974</v>
      </c>
      <c r="E48" s="243">
        <f t="shared" si="4"/>
        <v>-1563</v>
      </c>
      <c r="F48" s="244">
        <f t="shared" si="5"/>
        <v>-0.23910050481872419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208705</v>
      </c>
      <c r="D50" s="237">
        <v>858379</v>
      </c>
      <c r="E50" s="237">
        <f t="shared" ref="E50:E60" si="6">D50-C50</f>
        <v>649674</v>
      </c>
      <c r="F50" s="238">
        <f t="shared" ref="F50:F60" si="7">IF(C50=0,0,E50/C50)</f>
        <v>3.1128818188351981</v>
      </c>
    </row>
    <row r="51" spans="1:6" ht="20.25" customHeight="1" x14ac:dyDescent="0.3">
      <c r="A51" s="235">
        <v>2</v>
      </c>
      <c r="B51" s="236" t="s">
        <v>435</v>
      </c>
      <c r="C51" s="237">
        <v>91869</v>
      </c>
      <c r="D51" s="237">
        <v>312991</v>
      </c>
      <c r="E51" s="237">
        <f t="shared" si="6"/>
        <v>221122</v>
      </c>
      <c r="F51" s="238">
        <f t="shared" si="7"/>
        <v>2.406927255113259</v>
      </c>
    </row>
    <row r="52" spans="1:6" ht="20.25" customHeight="1" x14ac:dyDescent="0.3">
      <c r="A52" s="235">
        <v>3</v>
      </c>
      <c r="B52" s="236" t="s">
        <v>436</v>
      </c>
      <c r="C52" s="237">
        <v>346290</v>
      </c>
      <c r="D52" s="237">
        <v>470810</v>
      </c>
      <c r="E52" s="237">
        <f t="shared" si="6"/>
        <v>124520</v>
      </c>
      <c r="F52" s="238">
        <f t="shared" si="7"/>
        <v>0.3595830084611164</v>
      </c>
    </row>
    <row r="53" spans="1:6" ht="20.25" customHeight="1" x14ac:dyDescent="0.3">
      <c r="A53" s="235">
        <v>4</v>
      </c>
      <c r="B53" s="236" t="s">
        <v>437</v>
      </c>
      <c r="C53" s="237">
        <v>86149</v>
      </c>
      <c r="D53" s="237">
        <v>106542</v>
      </c>
      <c r="E53" s="237">
        <f t="shared" si="6"/>
        <v>20393</v>
      </c>
      <c r="F53" s="238">
        <f t="shared" si="7"/>
        <v>0.23671777966082019</v>
      </c>
    </row>
    <row r="54" spans="1:6" ht="20.25" customHeight="1" x14ac:dyDescent="0.3">
      <c r="A54" s="235">
        <v>5</v>
      </c>
      <c r="B54" s="236" t="s">
        <v>373</v>
      </c>
      <c r="C54" s="239">
        <v>25</v>
      </c>
      <c r="D54" s="239">
        <v>90</v>
      </c>
      <c r="E54" s="239">
        <f t="shared" si="6"/>
        <v>65</v>
      </c>
      <c r="F54" s="238">
        <f t="shared" si="7"/>
        <v>2.6</v>
      </c>
    </row>
    <row r="55" spans="1:6" ht="20.25" customHeight="1" x14ac:dyDescent="0.3">
      <c r="A55" s="235">
        <v>6</v>
      </c>
      <c r="B55" s="236" t="s">
        <v>372</v>
      </c>
      <c r="C55" s="239">
        <v>63</v>
      </c>
      <c r="D55" s="239">
        <v>242</v>
      </c>
      <c r="E55" s="239">
        <f t="shared" si="6"/>
        <v>179</v>
      </c>
      <c r="F55" s="238">
        <f t="shared" si="7"/>
        <v>2.8412698412698414</v>
      </c>
    </row>
    <row r="56" spans="1:6" ht="20.25" customHeight="1" x14ac:dyDescent="0.3">
      <c r="A56" s="235">
        <v>7</v>
      </c>
      <c r="B56" s="236" t="s">
        <v>438</v>
      </c>
      <c r="C56" s="239">
        <v>166</v>
      </c>
      <c r="D56" s="239">
        <v>266</v>
      </c>
      <c r="E56" s="239">
        <f t="shared" si="6"/>
        <v>100</v>
      </c>
      <c r="F56" s="238">
        <f t="shared" si="7"/>
        <v>0.60240963855421692</v>
      </c>
    </row>
    <row r="57" spans="1:6" ht="20.25" customHeight="1" x14ac:dyDescent="0.3">
      <c r="A57" s="235">
        <v>8</v>
      </c>
      <c r="B57" s="236" t="s">
        <v>439</v>
      </c>
      <c r="C57" s="239">
        <v>237</v>
      </c>
      <c r="D57" s="239">
        <v>345</v>
      </c>
      <c r="E57" s="239">
        <f t="shared" si="6"/>
        <v>108</v>
      </c>
      <c r="F57" s="238">
        <f t="shared" si="7"/>
        <v>0.45569620253164556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554995</v>
      </c>
      <c r="D59" s="243">
        <f>+D50+D52</f>
        <v>1329189</v>
      </c>
      <c r="E59" s="243">
        <f t="shared" si="6"/>
        <v>774194</v>
      </c>
      <c r="F59" s="244">
        <f t="shared" si="7"/>
        <v>1.3949567113217236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178018</v>
      </c>
      <c r="D60" s="243">
        <f>+D51+D53</f>
        <v>419533</v>
      </c>
      <c r="E60" s="243">
        <f t="shared" si="6"/>
        <v>241515</v>
      </c>
      <c r="F60" s="244">
        <f t="shared" si="7"/>
        <v>1.356688649462414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503</v>
      </c>
      <c r="D64" s="237">
        <v>0</v>
      </c>
      <c r="E64" s="237">
        <f t="shared" si="8"/>
        <v>-503</v>
      </c>
      <c r="F64" s="238">
        <f t="shared" si="9"/>
        <v>-1</v>
      </c>
    </row>
    <row r="65" spans="1:6" ht="20.25" customHeight="1" x14ac:dyDescent="0.3">
      <c r="A65" s="235">
        <v>4</v>
      </c>
      <c r="B65" s="236" t="s">
        <v>437</v>
      </c>
      <c r="C65" s="237">
        <v>377</v>
      </c>
      <c r="D65" s="237">
        <v>0</v>
      </c>
      <c r="E65" s="237">
        <f t="shared" si="8"/>
        <v>-377</v>
      </c>
      <c r="F65" s="238">
        <f t="shared" si="9"/>
        <v>-1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1</v>
      </c>
      <c r="D68" s="239">
        <v>0</v>
      </c>
      <c r="E68" s="239">
        <f t="shared" si="8"/>
        <v>-1</v>
      </c>
      <c r="F68" s="238">
        <f t="shared" si="9"/>
        <v>-1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503</v>
      </c>
      <c r="D71" s="243">
        <f>+D62+D64</f>
        <v>0</v>
      </c>
      <c r="E71" s="243">
        <f t="shared" si="8"/>
        <v>-503</v>
      </c>
      <c r="F71" s="244">
        <f t="shared" si="9"/>
        <v>-1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377</v>
      </c>
      <c r="D72" s="243">
        <f>+D63+D65</f>
        <v>0</v>
      </c>
      <c r="E72" s="243">
        <f t="shared" si="8"/>
        <v>-377</v>
      </c>
      <c r="F72" s="244">
        <f t="shared" si="9"/>
        <v>-1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36830</v>
      </c>
      <c r="E86" s="237">
        <f t="shared" ref="E86:E96" si="12">D86-C86</f>
        <v>36830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16841</v>
      </c>
      <c r="E87" s="237">
        <f t="shared" si="12"/>
        <v>16841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1335</v>
      </c>
      <c r="D88" s="237">
        <v>78361</v>
      </c>
      <c r="E88" s="237">
        <f t="shared" si="12"/>
        <v>77026</v>
      </c>
      <c r="F88" s="238">
        <f t="shared" si="13"/>
        <v>57.697378277153561</v>
      </c>
    </row>
    <row r="89" spans="1:6" ht="20.25" customHeight="1" x14ac:dyDescent="0.3">
      <c r="A89" s="235">
        <v>4</v>
      </c>
      <c r="B89" s="236" t="s">
        <v>437</v>
      </c>
      <c r="C89" s="237">
        <v>375</v>
      </c>
      <c r="D89" s="237">
        <v>21895</v>
      </c>
      <c r="E89" s="237">
        <f t="shared" si="12"/>
        <v>21520</v>
      </c>
      <c r="F89" s="238">
        <f t="shared" si="13"/>
        <v>57.386666666666663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6</v>
      </c>
      <c r="E90" s="239">
        <f t="shared" si="12"/>
        <v>6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12</v>
      </c>
      <c r="E91" s="239">
        <f t="shared" si="12"/>
        <v>12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3</v>
      </c>
      <c r="D92" s="239">
        <v>55</v>
      </c>
      <c r="E92" s="239">
        <f t="shared" si="12"/>
        <v>52</v>
      </c>
      <c r="F92" s="238">
        <f t="shared" si="13"/>
        <v>17.333333333333332</v>
      </c>
    </row>
    <row r="93" spans="1:6" ht="20.25" customHeight="1" x14ac:dyDescent="0.3">
      <c r="A93" s="235">
        <v>8</v>
      </c>
      <c r="B93" s="236" t="s">
        <v>439</v>
      </c>
      <c r="C93" s="239">
        <v>1</v>
      </c>
      <c r="D93" s="239">
        <v>38</v>
      </c>
      <c r="E93" s="239">
        <f t="shared" si="12"/>
        <v>37</v>
      </c>
      <c r="F93" s="238">
        <f t="shared" si="13"/>
        <v>37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1335</v>
      </c>
      <c r="D95" s="243">
        <f>+D86+D88</f>
        <v>115191</v>
      </c>
      <c r="E95" s="243">
        <f t="shared" si="12"/>
        <v>113856</v>
      </c>
      <c r="F95" s="244">
        <f t="shared" si="13"/>
        <v>85.285393258426964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375</v>
      </c>
      <c r="D96" s="243">
        <f>+D87+D89</f>
        <v>38736</v>
      </c>
      <c r="E96" s="243">
        <f t="shared" si="12"/>
        <v>38361</v>
      </c>
      <c r="F96" s="244">
        <f t="shared" si="13"/>
        <v>102.29600000000001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212013</v>
      </c>
      <c r="D98" s="237">
        <v>141276</v>
      </c>
      <c r="E98" s="237">
        <f t="shared" ref="E98:E108" si="14">D98-C98</f>
        <v>-70737</v>
      </c>
      <c r="F98" s="238">
        <f t="shared" ref="F98:F108" si="15">IF(C98=0,0,E98/C98)</f>
        <v>-0.33364463499879726</v>
      </c>
    </row>
    <row r="99" spans="1:7" ht="20.25" customHeight="1" x14ac:dyDescent="0.3">
      <c r="A99" s="235">
        <v>2</v>
      </c>
      <c r="B99" s="236" t="s">
        <v>435</v>
      </c>
      <c r="C99" s="237">
        <v>73738</v>
      </c>
      <c r="D99" s="237">
        <v>66782</v>
      </c>
      <c r="E99" s="237">
        <f t="shared" si="14"/>
        <v>-6956</v>
      </c>
      <c r="F99" s="238">
        <f t="shared" si="15"/>
        <v>-9.4333993327727905E-2</v>
      </c>
    </row>
    <row r="100" spans="1:7" ht="20.25" customHeight="1" x14ac:dyDescent="0.3">
      <c r="A100" s="235">
        <v>3</v>
      </c>
      <c r="B100" s="236" t="s">
        <v>436</v>
      </c>
      <c r="C100" s="237">
        <v>138038</v>
      </c>
      <c r="D100" s="237">
        <v>277261</v>
      </c>
      <c r="E100" s="237">
        <f t="shared" si="14"/>
        <v>139223</v>
      </c>
      <c r="F100" s="238">
        <f t="shared" si="15"/>
        <v>1.0085845926484012</v>
      </c>
    </row>
    <row r="101" spans="1:7" ht="20.25" customHeight="1" x14ac:dyDescent="0.3">
      <c r="A101" s="235">
        <v>4</v>
      </c>
      <c r="B101" s="236" t="s">
        <v>437</v>
      </c>
      <c r="C101" s="237">
        <v>39802</v>
      </c>
      <c r="D101" s="237">
        <v>75421</v>
      </c>
      <c r="E101" s="237">
        <f t="shared" si="14"/>
        <v>35619</v>
      </c>
      <c r="F101" s="238">
        <f t="shared" si="15"/>
        <v>0.89490477865433893</v>
      </c>
    </row>
    <row r="102" spans="1:7" ht="20.25" customHeight="1" x14ac:dyDescent="0.3">
      <c r="A102" s="235">
        <v>5</v>
      </c>
      <c r="B102" s="236" t="s">
        <v>373</v>
      </c>
      <c r="C102" s="239">
        <v>23</v>
      </c>
      <c r="D102" s="239">
        <v>23</v>
      </c>
      <c r="E102" s="239">
        <f t="shared" si="14"/>
        <v>0</v>
      </c>
      <c r="F102" s="238">
        <f t="shared" si="15"/>
        <v>0</v>
      </c>
    </row>
    <row r="103" spans="1:7" ht="20.25" customHeight="1" x14ac:dyDescent="0.3">
      <c r="A103" s="235">
        <v>6</v>
      </c>
      <c r="B103" s="236" t="s">
        <v>372</v>
      </c>
      <c r="C103" s="239">
        <v>54</v>
      </c>
      <c r="D103" s="239">
        <v>49</v>
      </c>
      <c r="E103" s="239">
        <f t="shared" si="14"/>
        <v>-5</v>
      </c>
      <c r="F103" s="238">
        <f t="shared" si="15"/>
        <v>-9.2592592592592587E-2</v>
      </c>
    </row>
    <row r="104" spans="1:7" ht="20.25" customHeight="1" x14ac:dyDescent="0.3">
      <c r="A104" s="235">
        <v>7</v>
      </c>
      <c r="B104" s="236" t="s">
        <v>438</v>
      </c>
      <c r="C104" s="239">
        <v>84</v>
      </c>
      <c r="D104" s="239">
        <v>166</v>
      </c>
      <c r="E104" s="239">
        <f t="shared" si="14"/>
        <v>82</v>
      </c>
      <c r="F104" s="238">
        <f t="shared" si="15"/>
        <v>0.97619047619047616</v>
      </c>
    </row>
    <row r="105" spans="1:7" ht="20.25" customHeight="1" x14ac:dyDescent="0.3">
      <c r="A105" s="235">
        <v>8</v>
      </c>
      <c r="B105" s="236" t="s">
        <v>439</v>
      </c>
      <c r="C105" s="239">
        <v>54</v>
      </c>
      <c r="D105" s="239">
        <v>93</v>
      </c>
      <c r="E105" s="239">
        <f t="shared" si="14"/>
        <v>39</v>
      </c>
      <c r="F105" s="238">
        <f t="shared" si="15"/>
        <v>0.72222222222222221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350051</v>
      </c>
      <c r="D107" s="243">
        <f>+D98+D100</f>
        <v>418537</v>
      </c>
      <c r="E107" s="243">
        <f t="shared" si="14"/>
        <v>68486</v>
      </c>
      <c r="F107" s="244">
        <f t="shared" si="15"/>
        <v>0.19564577732958913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113540</v>
      </c>
      <c r="D108" s="243">
        <f>+D99+D101</f>
        <v>142203</v>
      </c>
      <c r="E108" s="243">
        <f t="shared" si="14"/>
        <v>28663</v>
      </c>
      <c r="F108" s="244">
        <f t="shared" si="15"/>
        <v>0.25244847630790912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822083</v>
      </c>
      <c r="D112" s="243">
        <f t="shared" si="16"/>
        <v>1587719</v>
      </c>
      <c r="E112" s="243">
        <f t="shared" ref="E112:E122" si="17">D112-C112</f>
        <v>765636</v>
      </c>
      <c r="F112" s="244">
        <f t="shared" ref="F112:F122" si="18">IF(C112=0,0,E112/C112)</f>
        <v>0.93133661686228764</v>
      </c>
    </row>
    <row r="113" spans="1:6" ht="20.25" customHeight="1" x14ac:dyDescent="0.3">
      <c r="A113" s="249"/>
      <c r="B113" s="250" t="s">
        <v>461</v>
      </c>
      <c r="C113" s="243">
        <f t="shared" si="16"/>
        <v>332914</v>
      </c>
      <c r="D113" s="243">
        <f t="shared" si="16"/>
        <v>608448</v>
      </c>
      <c r="E113" s="243">
        <f t="shared" si="17"/>
        <v>275534</v>
      </c>
      <c r="F113" s="244">
        <f t="shared" si="18"/>
        <v>0.82764317511429375</v>
      </c>
    </row>
    <row r="114" spans="1:6" ht="20.25" customHeight="1" x14ac:dyDescent="0.3">
      <c r="A114" s="249"/>
      <c r="B114" s="250" t="s">
        <v>462</v>
      </c>
      <c r="C114" s="243">
        <f t="shared" si="16"/>
        <v>1578060</v>
      </c>
      <c r="D114" s="243">
        <f t="shared" si="16"/>
        <v>2079700</v>
      </c>
      <c r="E114" s="243">
        <f t="shared" si="17"/>
        <v>501640</v>
      </c>
      <c r="F114" s="244">
        <f t="shared" si="18"/>
        <v>0.31788398413241575</v>
      </c>
    </row>
    <row r="115" spans="1:6" ht="20.25" customHeight="1" x14ac:dyDescent="0.3">
      <c r="A115" s="249"/>
      <c r="B115" s="250" t="s">
        <v>463</v>
      </c>
      <c r="C115" s="243">
        <f t="shared" si="16"/>
        <v>411273</v>
      </c>
      <c r="D115" s="243">
        <f t="shared" si="16"/>
        <v>548710</v>
      </c>
      <c r="E115" s="243">
        <f t="shared" si="17"/>
        <v>137437</v>
      </c>
      <c r="F115" s="244">
        <f t="shared" si="18"/>
        <v>0.33417462366846351</v>
      </c>
    </row>
    <row r="116" spans="1:6" ht="20.25" customHeight="1" x14ac:dyDescent="0.3">
      <c r="A116" s="249"/>
      <c r="B116" s="250" t="s">
        <v>464</v>
      </c>
      <c r="C116" s="252">
        <f t="shared" si="16"/>
        <v>101</v>
      </c>
      <c r="D116" s="252">
        <f t="shared" si="16"/>
        <v>181</v>
      </c>
      <c r="E116" s="252">
        <f t="shared" si="17"/>
        <v>80</v>
      </c>
      <c r="F116" s="244">
        <f t="shared" si="18"/>
        <v>0.79207920792079212</v>
      </c>
    </row>
    <row r="117" spans="1:6" ht="20.25" customHeight="1" x14ac:dyDescent="0.3">
      <c r="A117" s="249"/>
      <c r="B117" s="250" t="s">
        <v>465</v>
      </c>
      <c r="C117" s="252">
        <f t="shared" si="16"/>
        <v>242</v>
      </c>
      <c r="D117" s="252">
        <f t="shared" si="16"/>
        <v>458</v>
      </c>
      <c r="E117" s="252">
        <f t="shared" si="17"/>
        <v>216</v>
      </c>
      <c r="F117" s="244">
        <f t="shared" si="18"/>
        <v>0.8925619834710744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985</v>
      </c>
      <c r="D118" s="252">
        <f t="shared" si="16"/>
        <v>1480</v>
      </c>
      <c r="E118" s="252">
        <f t="shared" si="17"/>
        <v>495</v>
      </c>
      <c r="F118" s="244">
        <f t="shared" si="18"/>
        <v>0.5025380710659898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773</v>
      </c>
      <c r="D119" s="252">
        <f t="shared" si="16"/>
        <v>939</v>
      </c>
      <c r="E119" s="252">
        <f t="shared" si="17"/>
        <v>166</v>
      </c>
      <c r="F119" s="244">
        <f t="shared" si="18"/>
        <v>0.2147477360931436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2400143</v>
      </c>
      <c r="D121" s="243">
        <f>+D112+D114</f>
        <v>3667419</v>
      </c>
      <c r="E121" s="243">
        <f t="shared" si="17"/>
        <v>1267276</v>
      </c>
      <c r="F121" s="244">
        <f t="shared" si="18"/>
        <v>0.52800020665435354</v>
      </c>
    </row>
    <row r="122" spans="1:6" ht="39.950000000000003" customHeight="1" x14ac:dyDescent="0.3">
      <c r="A122" s="249"/>
      <c r="B122" s="242" t="s">
        <v>470</v>
      </c>
      <c r="C122" s="243">
        <f>+C113+C115</f>
        <v>744187</v>
      </c>
      <c r="D122" s="243">
        <f>+D113+D115</f>
        <v>1157158</v>
      </c>
      <c r="E122" s="243">
        <f t="shared" si="17"/>
        <v>412971</v>
      </c>
      <c r="F122" s="244">
        <f t="shared" si="18"/>
        <v>0.55492907024712879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FILING&amp;RESSENT-SHARON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6542170</v>
      </c>
      <c r="D15" s="23">
        <v>6242425</v>
      </c>
      <c r="E15" s="23">
        <f t="shared" si="0"/>
        <v>-299745</v>
      </c>
      <c r="F15" s="24">
        <f t="shared" si="1"/>
        <v>-4.581736640900496E-2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1140534</v>
      </c>
      <c r="D19" s="23">
        <v>1162381</v>
      </c>
      <c r="E19" s="23">
        <f t="shared" si="0"/>
        <v>21847</v>
      </c>
      <c r="F19" s="24">
        <f t="shared" si="1"/>
        <v>1.9155062453201747E-2</v>
      </c>
    </row>
    <row r="20" spans="1:11" ht="24" customHeight="1" x14ac:dyDescent="0.2">
      <c r="A20" s="21">
        <v>8</v>
      </c>
      <c r="B20" s="22" t="s">
        <v>23</v>
      </c>
      <c r="C20" s="23">
        <v>1526863</v>
      </c>
      <c r="D20" s="23">
        <v>598277</v>
      </c>
      <c r="E20" s="23">
        <f t="shared" si="0"/>
        <v>-928586</v>
      </c>
      <c r="F20" s="24">
        <f t="shared" si="1"/>
        <v>-0.60816589307619606</v>
      </c>
    </row>
    <row r="21" spans="1:11" ht="24" customHeight="1" x14ac:dyDescent="0.2">
      <c r="A21" s="21">
        <v>9</v>
      </c>
      <c r="B21" s="22" t="s">
        <v>24</v>
      </c>
      <c r="C21" s="23">
        <v>1707366</v>
      </c>
      <c r="D21" s="23">
        <v>1640784</v>
      </c>
      <c r="E21" s="23">
        <f t="shared" si="0"/>
        <v>-66582</v>
      </c>
      <c r="F21" s="24">
        <f t="shared" si="1"/>
        <v>-3.8996911031378159E-2</v>
      </c>
    </row>
    <row r="22" spans="1:11" ht="24" customHeight="1" x14ac:dyDescent="0.25">
      <c r="A22" s="25"/>
      <c r="B22" s="26" t="s">
        <v>25</v>
      </c>
      <c r="C22" s="27">
        <f>SUM(C13:C21)</f>
        <v>10916933</v>
      </c>
      <c r="D22" s="27">
        <f>SUM(D13:D21)</f>
        <v>9643867</v>
      </c>
      <c r="E22" s="27">
        <f t="shared" si="0"/>
        <v>-1273066</v>
      </c>
      <c r="F22" s="28">
        <f t="shared" si="1"/>
        <v>-0.11661388780163806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5731597</v>
      </c>
      <c r="D33" s="23">
        <v>8531815</v>
      </c>
      <c r="E33" s="23">
        <f>D33-C33</f>
        <v>2800218</v>
      </c>
      <c r="F33" s="24">
        <f>IF(C33=0,0,E33/C33)</f>
        <v>0.48855807552415148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57287531</v>
      </c>
      <c r="D36" s="23">
        <v>58690391</v>
      </c>
      <c r="E36" s="23">
        <f>D36-C36</f>
        <v>1402860</v>
      </c>
      <c r="F36" s="24">
        <f>IF(C36=0,0,E36/C36)</f>
        <v>2.4488051335289699E-2</v>
      </c>
    </row>
    <row r="37" spans="1:8" ht="24" customHeight="1" x14ac:dyDescent="0.2">
      <c r="A37" s="21">
        <v>2</v>
      </c>
      <c r="B37" s="22" t="s">
        <v>39</v>
      </c>
      <c r="C37" s="23">
        <v>16518636</v>
      </c>
      <c r="D37" s="23">
        <v>19807940</v>
      </c>
      <c r="E37" s="23">
        <f>D37-C37</f>
        <v>3289304</v>
      </c>
      <c r="F37" s="23">
        <f>IF(C37=0,0,E37/C37)</f>
        <v>0.19912685284668782</v>
      </c>
    </row>
    <row r="38" spans="1:8" ht="24" customHeight="1" x14ac:dyDescent="0.25">
      <c r="A38" s="25"/>
      <c r="B38" s="26" t="s">
        <v>40</v>
      </c>
      <c r="C38" s="27">
        <f>C36-C37</f>
        <v>40768895</v>
      </c>
      <c r="D38" s="27">
        <f>D36-D37</f>
        <v>38882451</v>
      </c>
      <c r="E38" s="27">
        <f>D38-C38</f>
        <v>-1886444</v>
      </c>
      <c r="F38" s="28">
        <f>IF(C38=0,0,E38/C38)</f>
        <v>-4.6271649010845156E-2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235793</v>
      </c>
      <c r="D40" s="23">
        <v>242040</v>
      </c>
      <c r="E40" s="23">
        <f>D40-C40</f>
        <v>6247</v>
      </c>
      <c r="F40" s="24">
        <f>IF(C40=0,0,E40/C40)</f>
        <v>2.6493576993379786E-2</v>
      </c>
    </row>
    <row r="41" spans="1:8" ht="24" customHeight="1" x14ac:dyDescent="0.25">
      <c r="A41" s="25"/>
      <c r="B41" s="26" t="s">
        <v>42</v>
      </c>
      <c r="C41" s="27">
        <f>+C38+C40</f>
        <v>41004688</v>
      </c>
      <c r="D41" s="27">
        <f>+D38+D40</f>
        <v>39124491</v>
      </c>
      <c r="E41" s="27">
        <f>D41-C41</f>
        <v>-1880197</v>
      </c>
      <c r="F41" s="28">
        <f>IF(C41=0,0,E41/C41)</f>
        <v>-4.5853220490301008E-2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57653218</v>
      </c>
      <c r="D43" s="27">
        <f>D22+D29+D31+D32+D33+D41</f>
        <v>57300173</v>
      </c>
      <c r="E43" s="27">
        <f>D43-C43</f>
        <v>-353045</v>
      </c>
      <c r="F43" s="28">
        <f>IF(C43=0,0,E43/C43)</f>
        <v>-6.1235957375354137E-3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1983168</v>
      </c>
      <c r="D49" s="23">
        <v>1370735</v>
      </c>
      <c r="E49" s="23">
        <f t="shared" ref="E49:E56" si="2">D49-C49</f>
        <v>-612433</v>
      </c>
      <c r="F49" s="24">
        <f t="shared" ref="F49:F56" si="3">IF(C49=0,0,E49/C49)</f>
        <v>-0.30881549117371804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3690101</v>
      </c>
      <c r="D50" s="23">
        <v>3596931</v>
      </c>
      <c r="E50" s="23">
        <f t="shared" si="2"/>
        <v>-93170</v>
      </c>
      <c r="F50" s="24">
        <f t="shared" si="3"/>
        <v>-2.5248631406023847E-2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435106</v>
      </c>
      <c r="D51" s="23">
        <v>322546</v>
      </c>
      <c r="E51" s="23">
        <f t="shared" si="2"/>
        <v>-112560</v>
      </c>
      <c r="F51" s="24">
        <f t="shared" si="3"/>
        <v>-0.25869558222594036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956509</v>
      </c>
      <c r="D54" s="23">
        <v>897476</v>
      </c>
      <c r="E54" s="23">
        <f t="shared" si="2"/>
        <v>-59033</v>
      </c>
      <c r="F54" s="24">
        <f t="shared" si="3"/>
        <v>-6.1717140141911889E-2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7064884</v>
      </c>
      <c r="D56" s="27">
        <f>SUM(D49:D55)</f>
        <v>6187688</v>
      </c>
      <c r="E56" s="27">
        <f t="shared" si="2"/>
        <v>-877196</v>
      </c>
      <c r="F56" s="28">
        <f t="shared" si="3"/>
        <v>-0.1241628312651701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34037500</v>
      </c>
      <c r="D60" s="23">
        <v>33687500</v>
      </c>
      <c r="E60" s="23">
        <f>D60-C60</f>
        <v>-350000</v>
      </c>
      <c r="F60" s="24">
        <f>IF(C60=0,0,E60/C60)</f>
        <v>-1.0282776349614395E-2</v>
      </c>
    </row>
    <row r="61" spans="1:6" ht="24" customHeight="1" x14ac:dyDescent="0.25">
      <c r="A61" s="25"/>
      <c r="B61" s="26" t="s">
        <v>58</v>
      </c>
      <c r="C61" s="27">
        <f>SUM(C59:C60)</f>
        <v>34037500</v>
      </c>
      <c r="D61" s="27">
        <f>SUM(D59:D60)</f>
        <v>33687500</v>
      </c>
      <c r="E61" s="27">
        <f>D61-C61</f>
        <v>-350000</v>
      </c>
      <c r="F61" s="28">
        <f>IF(C61=0,0,E61/C61)</f>
        <v>-1.0282776349614395E-2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1407000</v>
      </c>
      <c r="D63" s="23">
        <v>1502000</v>
      </c>
      <c r="E63" s="23">
        <f>D63-C63</f>
        <v>95000</v>
      </c>
      <c r="F63" s="24">
        <f>IF(C63=0,0,E63/C63)</f>
        <v>6.7519545131485434E-2</v>
      </c>
    </row>
    <row r="64" spans="1:6" ht="24" customHeight="1" x14ac:dyDescent="0.2">
      <c r="A64" s="21">
        <v>4</v>
      </c>
      <c r="B64" s="22" t="s">
        <v>60</v>
      </c>
      <c r="C64" s="23">
        <v>2094785</v>
      </c>
      <c r="D64" s="23">
        <v>1404029</v>
      </c>
      <c r="E64" s="23">
        <f>D64-C64</f>
        <v>-690756</v>
      </c>
      <c r="F64" s="24">
        <f>IF(C64=0,0,E64/C64)</f>
        <v>-0.32975030850421405</v>
      </c>
    </row>
    <row r="65" spans="1:6" ht="24" customHeight="1" x14ac:dyDescent="0.25">
      <c r="A65" s="25"/>
      <c r="B65" s="26" t="s">
        <v>61</v>
      </c>
      <c r="C65" s="27">
        <f>SUM(C61:C64)</f>
        <v>37539285</v>
      </c>
      <c r="D65" s="27">
        <f>SUM(D61:D64)</f>
        <v>36593529</v>
      </c>
      <c r="E65" s="27">
        <f>D65-C65</f>
        <v>-945756</v>
      </c>
      <c r="F65" s="28">
        <f>IF(C65=0,0,E65/C65)</f>
        <v>-2.5193767009680658E-2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13049049</v>
      </c>
      <c r="D70" s="23">
        <v>14518956</v>
      </c>
      <c r="E70" s="23">
        <f>D70-C70</f>
        <v>1469907</v>
      </c>
      <c r="F70" s="24">
        <f>IF(C70=0,0,E70/C70)</f>
        <v>0.11264476054921703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13049049</v>
      </c>
      <c r="D73" s="27">
        <f>SUM(D70:D72)</f>
        <v>14518956</v>
      </c>
      <c r="E73" s="27">
        <f>D73-C73</f>
        <v>1469907</v>
      </c>
      <c r="F73" s="28">
        <f>IF(C73=0,0,E73/C73)</f>
        <v>0.11264476054921703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57653218</v>
      </c>
      <c r="D75" s="27">
        <f>D56+D65+D67+D73</f>
        <v>57300173</v>
      </c>
      <c r="E75" s="27">
        <f>D75-C75</f>
        <v>-353045</v>
      </c>
      <c r="F75" s="28">
        <f>IF(C75=0,0,E75/C75)</f>
        <v>-6.1235957375354137E-3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FILING&amp;RSHARON HOSPITAL HOLDING CO,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119040764</v>
      </c>
      <c r="D12" s="51">
        <v>127442155</v>
      </c>
      <c r="E12" s="51">
        <f t="shared" ref="E12:E19" si="0">D12-C12</f>
        <v>8401391</v>
      </c>
      <c r="F12" s="70">
        <f t="shared" ref="F12:F19" si="1">IF(C12=0,0,E12/C12)</f>
        <v>7.0575748320970119E-2</v>
      </c>
    </row>
    <row r="13" spans="1:8" ht="23.1" customHeight="1" x14ac:dyDescent="0.2">
      <c r="A13" s="25">
        <v>2</v>
      </c>
      <c r="B13" s="48" t="s">
        <v>72</v>
      </c>
      <c r="C13" s="51">
        <v>64299694</v>
      </c>
      <c r="D13" s="51">
        <v>72640400</v>
      </c>
      <c r="E13" s="51">
        <f t="shared" si="0"/>
        <v>8340706</v>
      </c>
      <c r="F13" s="70">
        <f t="shared" si="1"/>
        <v>0.12971610720262525</v>
      </c>
    </row>
    <row r="14" spans="1:8" ht="23.1" customHeight="1" x14ac:dyDescent="0.2">
      <c r="A14" s="25">
        <v>3</v>
      </c>
      <c r="B14" s="48" t="s">
        <v>73</v>
      </c>
      <c r="C14" s="51">
        <v>430330</v>
      </c>
      <c r="D14" s="51">
        <v>767288</v>
      </c>
      <c r="E14" s="51">
        <f t="shared" si="0"/>
        <v>336958</v>
      </c>
      <c r="F14" s="70">
        <f t="shared" si="1"/>
        <v>0.78302233169892876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54310740</v>
      </c>
      <c r="D16" s="27">
        <f>D12-D13-D14-D15</f>
        <v>54034467</v>
      </c>
      <c r="E16" s="27">
        <f t="shared" si="0"/>
        <v>-276273</v>
      </c>
      <c r="F16" s="28">
        <f t="shared" si="1"/>
        <v>-5.0868944153587298E-3</v>
      </c>
    </row>
    <row r="17" spans="1:7" ht="23.1" customHeight="1" x14ac:dyDescent="0.2">
      <c r="A17" s="25">
        <v>5</v>
      </c>
      <c r="B17" s="48" t="s">
        <v>76</v>
      </c>
      <c r="C17" s="51">
        <v>543474</v>
      </c>
      <c r="D17" s="51">
        <v>531371</v>
      </c>
      <c r="E17" s="51">
        <f t="shared" si="0"/>
        <v>-12103</v>
      </c>
      <c r="F17" s="70">
        <f t="shared" si="1"/>
        <v>-2.2269694594405622E-2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54854214</v>
      </c>
      <c r="D19" s="27">
        <f>SUM(D16:D18)</f>
        <v>54565838</v>
      </c>
      <c r="E19" s="27">
        <f t="shared" si="0"/>
        <v>-288376</v>
      </c>
      <c r="F19" s="28">
        <f t="shared" si="1"/>
        <v>-5.2571348483819308E-3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17820772</v>
      </c>
      <c r="D22" s="51">
        <v>19009778</v>
      </c>
      <c r="E22" s="51">
        <f t="shared" ref="E22:E31" si="2">D22-C22</f>
        <v>1189006</v>
      </c>
      <c r="F22" s="70">
        <f t="shared" ref="F22:F31" si="3">IF(C22=0,0,E22/C22)</f>
        <v>6.672022962866031E-2</v>
      </c>
    </row>
    <row r="23" spans="1:7" ht="23.1" customHeight="1" x14ac:dyDescent="0.2">
      <c r="A23" s="25">
        <v>2</v>
      </c>
      <c r="B23" s="48" t="s">
        <v>81</v>
      </c>
      <c r="C23" s="51">
        <v>3452342</v>
      </c>
      <c r="D23" s="51">
        <v>4085478</v>
      </c>
      <c r="E23" s="51">
        <f t="shared" si="2"/>
        <v>633136</v>
      </c>
      <c r="F23" s="70">
        <f t="shared" si="3"/>
        <v>0.18339318642243441</v>
      </c>
    </row>
    <row r="24" spans="1:7" ht="23.1" customHeight="1" x14ac:dyDescent="0.2">
      <c r="A24" s="25">
        <v>3</v>
      </c>
      <c r="B24" s="48" t="s">
        <v>82</v>
      </c>
      <c r="C24" s="51">
        <v>1276543</v>
      </c>
      <c r="D24" s="51">
        <v>1379751</v>
      </c>
      <c r="E24" s="51">
        <f t="shared" si="2"/>
        <v>103208</v>
      </c>
      <c r="F24" s="70">
        <f t="shared" si="3"/>
        <v>8.0849607102933471E-2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6139169</v>
      </c>
      <c r="D25" s="51">
        <v>5831745</v>
      </c>
      <c r="E25" s="51">
        <f t="shared" si="2"/>
        <v>-307424</v>
      </c>
      <c r="F25" s="70">
        <f t="shared" si="3"/>
        <v>-5.0075832738926067E-2</v>
      </c>
    </row>
    <row r="26" spans="1:7" ht="23.1" customHeight="1" x14ac:dyDescent="0.2">
      <c r="A26" s="25">
        <v>5</v>
      </c>
      <c r="B26" s="48" t="s">
        <v>84</v>
      </c>
      <c r="C26" s="51">
        <v>3555043</v>
      </c>
      <c r="D26" s="51">
        <v>3287347</v>
      </c>
      <c r="E26" s="51">
        <f t="shared" si="2"/>
        <v>-267696</v>
      </c>
      <c r="F26" s="70">
        <f t="shared" si="3"/>
        <v>-7.5300355016802892E-2</v>
      </c>
    </row>
    <row r="27" spans="1:7" ht="23.1" customHeight="1" x14ac:dyDescent="0.2">
      <c r="A27" s="25">
        <v>6</v>
      </c>
      <c r="B27" s="48" t="s">
        <v>85</v>
      </c>
      <c r="C27" s="51">
        <v>2882152</v>
      </c>
      <c r="D27" s="51">
        <v>2035446</v>
      </c>
      <c r="E27" s="51">
        <f t="shared" si="2"/>
        <v>-846706</v>
      </c>
      <c r="F27" s="70">
        <f t="shared" si="3"/>
        <v>-0.29377562321487555</v>
      </c>
    </row>
    <row r="28" spans="1:7" ht="23.1" customHeight="1" x14ac:dyDescent="0.2">
      <c r="A28" s="25">
        <v>7</v>
      </c>
      <c r="B28" s="48" t="s">
        <v>86</v>
      </c>
      <c r="C28" s="51">
        <v>2032328</v>
      </c>
      <c r="D28" s="51">
        <v>1629083</v>
      </c>
      <c r="E28" s="51">
        <f t="shared" si="2"/>
        <v>-403245</v>
      </c>
      <c r="F28" s="70">
        <f t="shared" si="3"/>
        <v>-0.19841531485075245</v>
      </c>
    </row>
    <row r="29" spans="1:7" ht="23.1" customHeight="1" x14ac:dyDescent="0.2">
      <c r="A29" s="25">
        <v>8</v>
      </c>
      <c r="B29" s="48" t="s">
        <v>87</v>
      </c>
      <c r="C29" s="51">
        <v>687844</v>
      </c>
      <c r="D29" s="51">
        <v>1150400</v>
      </c>
      <c r="E29" s="51">
        <f t="shared" si="2"/>
        <v>462556</v>
      </c>
      <c r="F29" s="70">
        <f t="shared" si="3"/>
        <v>0.6724722466140578</v>
      </c>
    </row>
    <row r="30" spans="1:7" ht="23.1" customHeight="1" x14ac:dyDescent="0.2">
      <c r="A30" s="25">
        <v>9</v>
      </c>
      <c r="B30" s="48" t="s">
        <v>88</v>
      </c>
      <c r="C30" s="51">
        <v>15134438</v>
      </c>
      <c r="D30" s="51">
        <v>14583804</v>
      </c>
      <c r="E30" s="51">
        <f t="shared" si="2"/>
        <v>-550634</v>
      </c>
      <c r="F30" s="70">
        <f t="shared" si="3"/>
        <v>-3.6382850820096527E-2</v>
      </c>
    </row>
    <row r="31" spans="1:7" ht="23.1" customHeight="1" x14ac:dyDescent="0.25">
      <c r="A31" s="29"/>
      <c r="B31" s="71" t="s">
        <v>89</v>
      </c>
      <c r="C31" s="27">
        <f>SUM(C22:C30)</f>
        <v>52980631</v>
      </c>
      <c r="D31" s="27">
        <f>SUM(D22:D30)</f>
        <v>52992832</v>
      </c>
      <c r="E31" s="27">
        <f t="shared" si="2"/>
        <v>12201</v>
      </c>
      <c r="F31" s="28">
        <f t="shared" si="3"/>
        <v>2.3029170792624194E-4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1873583</v>
      </c>
      <c r="D33" s="27">
        <f>+D19-D31</f>
        <v>1573006</v>
      </c>
      <c r="E33" s="27">
        <f>D33-C33</f>
        <v>-300577</v>
      </c>
      <c r="F33" s="28">
        <f>IF(C33=0,0,E33/C33)</f>
        <v>-0.16042897485726546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1873583</v>
      </c>
      <c r="D41" s="27">
        <f>D33+D39</f>
        <v>1573006</v>
      </c>
      <c r="E41" s="27">
        <f>D41-C41</f>
        <v>-300577</v>
      </c>
      <c r="F41" s="28">
        <f>IF(C41=0,0,E41/C41)</f>
        <v>-0.16042897485726546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1873583</v>
      </c>
      <c r="D48" s="27">
        <f>D41+D46</f>
        <v>1573006</v>
      </c>
      <c r="E48" s="27">
        <f>D48-C48</f>
        <v>-300577</v>
      </c>
      <c r="F48" s="28">
        <f>IF(C48=0,0,E48/C48)</f>
        <v>-0.16042897485726546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2011-08-05T18:35:59Z</cp:lastPrinted>
  <dcterms:created xsi:type="dcterms:W3CDTF">2006-08-03T13:49:12Z</dcterms:created>
  <dcterms:modified xsi:type="dcterms:W3CDTF">2011-08-05T18:36:30Z</dcterms:modified>
</cp:coreProperties>
</file>