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C88" i="22" s="1"/>
  <c r="E86" i="22"/>
  <c r="E88" i="22"/>
  <c r="D86" i="22"/>
  <c r="D88" i="22" s="1"/>
  <c r="C86" i="22"/>
  <c r="E83" i="22"/>
  <c r="D83" i="22"/>
  <c r="D102" i="22"/>
  <c r="C83" i="22"/>
  <c r="C101" i="22" s="1"/>
  <c r="E76" i="22"/>
  <c r="D76" i="22"/>
  <c r="C76" i="22"/>
  <c r="C77" i="22" s="1"/>
  <c r="E75" i="22"/>
  <c r="E77" i="22" s="1"/>
  <c r="D75" i="22"/>
  <c r="D77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/>
  <c r="C12" i="22"/>
  <c r="C33" i="22"/>
  <c r="D21" i="21"/>
  <c r="E21" i="21" s="1"/>
  <c r="C21" i="21"/>
  <c r="D19" i="21"/>
  <c r="C19" i="21"/>
  <c r="E17" i="21"/>
  <c r="F17" i="21" s="1"/>
  <c r="F15" i="21"/>
  <c r="E15" i="21"/>
  <c r="D45" i="20"/>
  <c r="C45" i="20"/>
  <c r="D44" i="20"/>
  <c r="D46" i="20" s="1"/>
  <c r="C44" i="20"/>
  <c r="D43" i="20"/>
  <c r="C43" i="20"/>
  <c r="D36" i="20"/>
  <c r="D40" i="20"/>
  <c r="C36" i="20"/>
  <c r="F35" i="20"/>
  <c r="E35" i="20"/>
  <c r="E34" i="20"/>
  <c r="F34" i="20" s="1"/>
  <c r="E33" i="20"/>
  <c r="F33" i="20" s="1"/>
  <c r="E36" i="20"/>
  <c r="F30" i="20"/>
  <c r="E30" i="20"/>
  <c r="F29" i="20"/>
  <c r="E29" i="20"/>
  <c r="E28" i="20"/>
  <c r="F28" i="20" s="1"/>
  <c r="F27" i="20"/>
  <c r="E27" i="20"/>
  <c r="D25" i="20"/>
  <c r="D39" i="20" s="1"/>
  <c r="C25" i="20"/>
  <c r="E24" i="20"/>
  <c r="F24" i="20" s="1"/>
  <c r="F23" i="20"/>
  <c r="E23" i="20"/>
  <c r="F22" i="20"/>
  <c r="E22" i="20"/>
  <c r="E25" i="20"/>
  <c r="D19" i="20"/>
  <c r="D20" i="20"/>
  <c r="E20" i="20"/>
  <c r="C19" i="20"/>
  <c r="C20" i="20"/>
  <c r="E18" i="20"/>
  <c r="F18" i="20" s="1"/>
  <c r="D16" i="20"/>
  <c r="E16" i="20"/>
  <c r="C16" i="20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/>
  <c r="C21" i="19"/>
  <c r="C37" i="19" s="1"/>
  <c r="E328" i="18"/>
  <c r="E325" i="18"/>
  <c r="D324" i="18"/>
  <c r="E324" i="18" s="1"/>
  <c r="D326" i="18"/>
  <c r="C324" i="18"/>
  <c r="C326" i="18"/>
  <c r="C330" i="18" s="1"/>
  <c r="E318" i="18"/>
  <c r="E315" i="18"/>
  <c r="D314" i="18"/>
  <c r="D316" i="18"/>
  <c r="C314" i="18"/>
  <c r="C316" i="18"/>
  <c r="E308" i="18"/>
  <c r="E305" i="18"/>
  <c r="D301" i="18"/>
  <c r="C301" i="18"/>
  <c r="D293" i="18"/>
  <c r="E293" i="18"/>
  <c r="C293" i="18"/>
  <c r="D292" i="18"/>
  <c r="C292" i="18"/>
  <c r="E292" i="18"/>
  <c r="D291" i="18"/>
  <c r="C291" i="18"/>
  <c r="E291" i="18" s="1"/>
  <c r="D290" i="18"/>
  <c r="E290" i="18" s="1"/>
  <c r="C290" i="18"/>
  <c r="D288" i="18"/>
  <c r="C288" i="18"/>
  <c r="E288" i="18"/>
  <c r="D287" i="18"/>
  <c r="C287" i="18"/>
  <c r="E287" i="18" s="1"/>
  <c r="D282" i="18"/>
  <c r="E282" i="18" s="1"/>
  <c r="C282" i="18"/>
  <c r="D281" i="18"/>
  <c r="C281" i="18"/>
  <c r="E281" i="18" s="1"/>
  <c r="D280" i="18"/>
  <c r="E280" i="18" s="1"/>
  <c r="C280" i="18"/>
  <c r="D279" i="18"/>
  <c r="E279" i="18" s="1"/>
  <c r="C279" i="18"/>
  <c r="D278" i="18"/>
  <c r="C278" i="18"/>
  <c r="E278" i="18"/>
  <c r="D277" i="18"/>
  <c r="E277" i="18" s="1"/>
  <c r="C277" i="18"/>
  <c r="D276" i="18"/>
  <c r="C276" i="18"/>
  <c r="E276" i="18"/>
  <c r="E270" i="18"/>
  <c r="D265" i="18"/>
  <c r="D302" i="18"/>
  <c r="C265" i="18"/>
  <c r="C302" i="18" s="1"/>
  <c r="D262" i="18"/>
  <c r="C262" i="18"/>
  <c r="E262" i="18"/>
  <c r="D251" i="18"/>
  <c r="C251" i="18"/>
  <c r="D233" i="18"/>
  <c r="D253" i="18" s="1"/>
  <c r="C233" i="18"/>
  <c r="D232" i="18"/>
  <c r="E232" i="18" s="1"/>
  <c r="C232" i="18"/>
  <c r="D231" i="18"/>
  <c r="E231" i="18" s="1"/>
  <c r="C231" i="18"/>
  <c r="D230" i="18"/>
  <c r="E230" i="18"/>
  <c r="C230" i="18"/>
  <c r="D228" i="18"/>
  <c r="E228" i="18" s="1"/>
  <c r="C228" i="18"/>
  <c r="D227" i="18"/>
  <c r="E227" i="18" s="1"/>
  <c r="C227" i="18"/>
  <c r="D221" i="18"/>
  <c r="D245" i="18" s="1"/>
  <c r="C221" i="18"/>
  <c r="C245" i="18" s="1"/>
  <c r="E245" i="18" s="1"/>
  <c r="D220" i="18"/>
  <c r="D244" i="18"/>
  <c r="C220" i="18"/>
  <c r="C244" i="18" s="1"/>
  <c r="E244" i="18" s="1"/>
  <c r="D219" i="18"/>
  <c r="D243" i="18" s="1"/>
  <c r="C219" i="18"/>
  <c r="C243" i="18" s="1"/>
  <c r="D218" i="18"/>
  <c r="D242" i="18"/>
  <c r="C218" i="18"/>
  <c r="D217" i="18"/>
  <c r="D216" i="18"/>
  <c r="D240" i="18"/>
  <c r="C216" i="18"/>
  <c r="C240" i="18" s="1"/>
  <c r="D215" i="18"/>
  <c r="D239" i="18"/>
  <c r="E239" i="18" s="1"/>
  <c r="C215" i="18"/>
  <c r="C239" i="18"/>
  <c r="E209" i="18"/>
  <c r="E208" i="18"/>
  <c r="E207" i="18"/>
  <c r="E206" i="18"/>
  <c r="D205" i="18"/>
  <c r="D210" i="18" s="1"/>
  <c r="C205" i="18"/>
  <c r="C229" i="18"/>
  <c r="E204" i="18"/>
  <c r="E203" i="18"/>
  <c r="E197" i="18"/>
  <c r="E196" i="18"/>
  <c r="D195" i="18"/>
  <c r="E195" i="18" s="1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C179" i="18"/>
  <c r="E179" i="18" s="1"/>
  <c r="D178" i="18"/>
  <c r="E178" i="18" s="1"/>
  <c r="C178" i="18"/>
  <c r="D177" i="18"/>
  <c r="E177" i="18" s="1"/>
  <c r="C177" i="18"/>
  <c r="D176" i="18"/>
  <c r="E176" i="18"/>
  <c r="C176" i="18"/>
  <c r="D174" i="18"/>
  <c r="C174" i="18"/>
  <c r="D173" i="18"/>
  <c r="C173" i="18"/>
  <c r="D167" i="18"/>
  <c r="E167" i="18" s="1"/>
  <c r="C167" i="18"/>
  <c r="D166" i="18"/>
  <c r="C166" i="18"/>
  <c r="E166" i="18"/>
  <c r="D165" i="18"/>
  <c r="E165" i="18"/>
  <c r="C165" i="18"/>
  <c r="D164" i="18"/>
  <c r="E164" i="18" s="1"/>
  <c r="C164" i="18"/>
  <c r="D162" i="18"/>
  <c r="C162" i="18"/>
  <c r="E162" i="18"/>
  <c r="D161" i="18"/>
  <c r="E161" i="18"/>
  <c r="C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D163" i="18" s="1"/>
  <c r="C139" i="18"/>
  <c r="C175" i="18"/>
  <c r="E138" i="18"/>
  <c r="E137" i="18"/>
  <c r="D75" i="18"/>
  <c r="E75" i="18" s="1"/>
  <c r="C75" i="18"/>
  <c r="D74" i="18"/>
  <c r="E74" i="18"/>
  <c r="C74" i="18"/>
  <c r="D73" i="18"/>
  <c r="E73" i="18" s="1"/>
  <c r="C73" i="18"/>
  <c r="D72" i="18"/>
  <c r="E72" i="18"/>
  <c r="C72" i="18"/>
  <c r="C71" i="18"/>
  <c r="D70" i="18"/>
  <c r="E70" i="18" s="1"/>
  <c r="C70" i="18"/>
  <c r="C76" i="18" s="1"/>
  <c r="D69" i="18"/>
  <c r="C69" i="18"/>
  <c r="E64" i="18"/>
  <c r="E63" i="18"/>
  <c r="E62" i="18"/>
  <c r="E61" i="18"/>
  <c r="D60" i="18"/>
  <c r="C60" i="18"/>
  <c r="C65" i="18" s="1"/>
  <c r="C66" i="18" s="1"/>
  <c r="E59" i="18"/>
  <c r="E58" i="18"/>
  <c r="C55" i="18"/>
  <c r="D54" i="18"/>
  <c r="D55" i="18"/>
  <c r="C54" i="18"/>
  <c r="E53" i="18"/>
  <c r="E52" i="18"/>
  <c r="E51" i="18"/>
  <c r="E50" i="18"/>
  <c r="E49" i="18"/>
  <c r="E48" i="18"/>
  <c r="E47" i="18"/>
  <c r="D42" i="18"/>
  <c r="C42" i="18"/>
  <c r="D41" i="18"/>
  <c r="C41" i="18"/>
  <c r="E41" i="18" s="1"/>
  <c r="D40" i="18"/>
  <c r="E40" i="18" s="1"/>
  <c r="C40" i="18"/>
  <c r="D39" i="18"/>
  <c r="C39" i="18"/>
  <c r="E39" i="18" s="1"/>
  <c r="D38" i="18"/>
  <c r="D43" i="18" s="1"/>
  <c r="E38" i="18"/>
  <c r="C38" i="18"/>
  <c r="D37" i="18"/>
  <c r="C37" i="18"/>
  <c r="C43" i="18"/>
  <c r="D36" i="18"/>
  <c r="D44" i="18" s="1"/>
  <c r="C36" i="18"/>
  <c r="D32" i="18"/>
  <c r="D33" i="18"/>
  <c r="C32" i="18"/>
  <c r="C294" i="18"/>
  <c r="E31" i="18"/>
  <c r="E30" i="18"/>
  <c r="E29" i="18"/>
  <c r="E28" i="18"/>
  <c r="E27" i="18"/>
  <c r="E26" i="18"/>
  <c r="E25" i="18"/>
  <c r="D22" i="18"/>
  <c r="D21" i="18"/>
  <c r="D283" i="18"/>
  <c r="C21" i="18"/>
  <c r="C283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/>
  <c r="F332" i="17"/>
  <c r="E332" i="17"/>
  <c r="E331" i="17"/>
  <c r="F331" i="17" s="1"/>
  <c r="F330" i="17"/>
  <c r="E330" i="17"/>
  <c r="F329" i="17"/>
  <c r="E329" i="17"/>
  <c r="F316" i="17"/>
  <c r="E316" i="17"/>
  <c r="D311" i="17"/>
  <c r="C311" i="17"/>
  <c r="F311" i="17"/>
  <c r="F308" i="17"/>
  <c r="E308" i="17"/>
  <c r="D307" i="17"/>
  <c r="C307" i="17"/>
  <c r="D299" i="17"/>
  <c r="C299" i="17"/>
  <c r="D298" i="17"/>
  <c r="C298" i="17"/>
  <c r="D297" i="17"/>
  <c r="E297" i="17" s="1"/>
  <c r="C297" i="17"/>
  <c r="D296" i="17"/>
  <c r="E296" i="17" s="1"/>
  <c r="F296" i="17" s="1"/>
  <c r="C296" i="17"/>
  <c r="D295" i="17"/>
  <c r="C295" i="17"/>
  <c r="D294" i="17"/>
  <c r="E294" i="17"/>
  <c r="F294" i="17"/>
  <c r="C294" i="17"/>
  <c r="D250" i="17"/>
  <c r="D306" i="17"/>
  <c r="C250" i="17"/>
  <c r="E249" i="17"/>
  <c r="F249" i="17"/>
  <c r="E248" i="17"/>
  <c r="F248" i="17" s="1"/>
  <c r="F245" i="17"/>
  <c r="E245" i="17"/>
  <c r="E244" i="17"/>
  <c r="F244" i="17"/>
  <c r="E243" i="17"/>
  <c r="F243" i="17"/>
  <c r="D238" i="17"/>
  <c r="C238" i="17"/>
  <c r="D237" i="17"/>
  <c r="D239" i="17" s="1"/>
  <c r="E239" i="17" s="1"/>
  <c r="F239" i="17" s="1"/>
  <c r="C237" i="17"/>
  <c r="C239" i="17" s="1"/>
  <c r="E234" i="17"/>
  <c r="F234" i="17"/>
  <c r="E233" i="17"/>
  <c r="F233" i="17"/>
  <c r="D230" i="17"/>
  <c r="C230" i="17"/>
  <c r="D229" i="17"/>
  <c r="C229" i="17"/>
  <c r="E229" i="17" s="1"/>
  <c r="E228" i="17"/>
  <c r="F228" i="17"/>
  <c r="C227" i="17"/>
  <c r="D226" i="17"/>
  <c r="D227" i="17" s="1"/>
  <c r="E227" i="17" s="1"/>
  <c r="C226" i="17"/>
  <c r="E225" i="17"/>
  <c r="F225" i="17"/>
  <c r="E224" i="17"/>
  <c r="F224" i="17" s="1"/>
  <c r="D223" i="17"/>
  <c r="C223" i="17"/>
  <c r="E222" i="17"/>
  <c r="F222" i="17" s="1"/>
  <c r="E221" i="17"/>
  <c r="F221" i="17"/>
  <c r="C215" i="17"/>
  <c r="D204" i="17"/>
  <c r="C204" i="17"/>
  <c r="D203" i="17"/>
  <c r="D267" i="17" s="1"/>
  <c r="C203" i="17"/>
  <c r="D198" i="17"/>
  <c r="C198" i="17"/>
  <c r="D191" i="17"/>
  <c r="D264" i="17"/>
  <c r="C191" i="17"/>
  <c r="D189" i="17"/>
  <c r="D262" i="17"/>
  <c r="C189" i="17"/>
  <c r="D188" i="17"/>
  <c r="C188" i="17"/>
  <c r="D180" i="17"/>
  <c r="C180" i="17"/>
  <c r="D179" i="17"/>
  <c r="D181" i="17"/>
  <c r="C179" i="17"/>
  <c r="D171" i="17"/>
  <c r="D172" i="17" s="1"/>
  <c r="D173" i="17"/>
  <c r="C171" i="17"/>
  <c r="C172" i="17" s="1"/>
  <c r="D170" i="17"/>
  <c r="C170" i="17"/>
  <c r="E169" i="17"/>
  <c r="F169" i="17" s="1"/>
  <c r="E168" i="17"/>
  <c r="F168" i="17" s="1"/>
  <c r="D165" i="17"/>
  <c r="C165" i="17"/>
  <c r="E165" i="17" s="1"/>
  <c r="D164" i="17"/>
  <c r="C164" i="17"/>
  <c r="E163" i="17"/>
  <c r="F163" i="17" s="1"/>
  <c r="D158" i="17"/>
  <c r="D159" i="17" s="1"/>
  <c r="C158" i="17"/>
  <c r="E157" i="17"/>
  <c r="F157" i="17" s="1"/>
  <c r="E156" i="17"/>
  <c r="F156" i="17" s="1"/>
  <c r="D155" i="17"/>
  <c r="C155" i="17"/>
  <c r="E154" i="17"/>
  <c r="F154" i="17"/>
  <c r="E153" i="17"/>
  <c r="F153" i="17" s="1"/>
  <c r="D145" i="17"/>
  <c r="C145" i="17"/>
  <c r="D144" i="17"/>
  <c r="F144" i="17"/>
  <c r="C144" i="17"/>
  <c r="E144" i="17" s="1"/>
  <c r="C146" i="17"/>
  <c r="D136" i="17"/>
  <c r="E136" i="17" s="1"/>
  <c r="C136" i="17"/>
  <c r="F136" i="17" s="1"/>
  <c r="C137" i="17"/>
  <c r="D135" i="17"/>
  <c r="C135" i="17"/>
  <c r="E134" i="17"/>
  <c r="F134" i="17" s="1"/>
  <c r="E133" i="17"/>
  <c r="F133" i="17" s="1"/>
  <c r="D130" i="17"/>
  <c r="E130" i="17" s="1"/>
  <c r="F130" i="17" s="1"/>
  <c r="C130" i="17"/>
  <c r="D129" i="17"/>
  <c r="E129" i="17" s="1"/>
  <c r="C129" i="17"/>
  <c r="E128" i="17"/>
  <c r="F128" i="17" s="1"/>
  <c r="D123" i="17"/>
  <c r="D192" i="17" s="1"/>
  <c r="C123" i="17"/>
  <c r="E122" i="17"/>
  <c r="F122" i="17" s="1"/>
  <c r="E121" i="17"/>
  <c r="F121" i="17" s="1"/>
  <c r="D120" i="17"/>
  <c r="E120" i="17"/>
  <c r="C120" i="17"/>
  <c r="F120" i="17" s="1"/>
  <c r="E119" i="17"/>
  <c r="F119" i="17" s="1"/>
  <c r="F118" i="17"/>
  <c r="E118" i="17"/>
  <c r="D110" i="17"/>
  <c r="E110" i="17"/>
  <c r="C110" i="17"/>
  <c r="D109" i="17"/>
  <c r="E109" i="17"/>
  <c r="C109" i="17"/>
  <c r="D101" i="17"/>
  <c r="E101" i="17" s="1"/>
  <c r="C101" i="17"/>
  <c r="C102" i="17"/>
  <c r="C103" i="17" s="1"/>
  <c r="D100" i="17"/>
  <c r="E100" i="17" s="1"/>
  <c r="C100" i="17"/>
  <c r="E99" i="17"/>
  <c r="F99" i="17" s="1"/>
  <c r="E98" i="17"/>
  <c r="F98" i="17" s="1"/>
  <c r="D95" i="17"/>
  <c r="E95" i="17" s="1"/>
  <c r="C95" i="17"/>
  <c r="F95" i="17" s="1"/>
  <c r="D94" i="17"/>
  <c r="C94" i="17"/>
  <c r="E93" i="17"/>
  <c r="F93" i="17" s="1"/>
  <c r="D88" i="17"/>
  <c r="E88" i="17"/>
  <c r="C88" i="17"/>
  <c r="F87" i="17"/>
  <c r="E87" i="17"/>
  <c r="F86" i="17"/>
  <c r="E86" i="17"/>
  <c r="D85" i="17"/>
  <c r="E85" i="17" s="1"/>
  <c r="F85" i="17" s="1"/>
  <c r="C85" i="17"/>
  <c r="F84" i="17"/>
  <c r="E84" i="17"/>
  <c r="F83" i="17"/>
  <c r="E83" i="17"/>
  <c r="D76" i="17"/>
  <c r="D77" i="17" s="1"/>
  <c r="C76" i="17"/>
  <c r="C77" i="17"/>
  <c r="E74" i="17"/>
  <c r="F74" i="17"/>
  <c r="E73" i="17"/>
  <c r="F73" i="17"/>
  <c r="D67" i="17"/>
  <c r="C67" i="17"/>
  <c r="D66" i="17"/>
  <c r="D68" i="17"/>
  <c r="C66" i="17"/>
  <c r="D59" i="17"/>
  <c r="D60" i="17" s="1"/>
  <c r="C59" i="17"/>
  <c r="C60" i="17" s="1"/>
  <c r="D58" i="17"/>
  <c r="C58" i="17"/>
  <c r="E57" i="17"/>
  <c r="F57" i="17"/>
  <c r="E56" i="17"/>
  <c r="F56" i="17"/>
  <c r="D53" i="17"/>
  <c r="C53" i="17"/>
  <c r="E53" i="17" s="1"/>
  <c r="D52" i="17"/>
  <c r="C52" i="17"/>
  <c r="E51" i="17"/>
  <c r="F51" i="17"/>
  <c r="D47" i="17"/>
  <c r="D48" i="17"/>
  <c r="C47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D37" i="17"/>
  <c r="C35" i="17"/>
  <c r="D30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C21" i="17"/>
  <c r="D20" i="17"/>
  <c r="C20" i="17"/>
  <c r="E19" i="17"/>
  <c r="F19" i="17" s="1"/>
  <c r="E18" i="17"/>
  <c r="F18" i="17"/>
  <c r="D17" i="17"/>
  <c r="C17" i="17"/>
  <c r="E16" i="17"/>
  <c r="F16" i="17" s="1"/>
  <c r="E15" i="17"/>
  <c r="F15" i="17" s="1"/>
  <c r="D21" i="16"/>
  <c r="C21" i="16"/>
  <c r="F20" i="16"/>
  <c r="E20" i="16"/>
  <c r="D17" i="16"/>
  <c r="C17" i="16"/>
  <c r="F16" i="16"/>
  <c r="E16" i="16"/>
  <c r="D13" i="16"/>
  <c r="E13" i="16" s="1"/>
  <c r="F13" i="16" s="1"/>
  <c r="C13" i="16"/>
  <c r="F12" i="16"/>
  <c r="E12" i="16"/>
  <c r="D107" i="15"/>
  <c r="E107" i="15" s="1"/>
  <c r="F107" i="15" s="1"/>
  <c r="C107" i="15"/>
  <c r="F106" i="15"/>
  <c r="E106" i="15"/>
  <c r="F105" i="15"/>
  <c r="E105" i="15"/>
  <c r="F104" i="15"/>
  <c r="E104" i="15"/>
  <c r="D100" i="15"/>
  <c r="E100" i="15" s="1"/>
  <c r="F100" i="15" s="1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 s="1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5" i="15" s="1"/>
  <c r="F73" i="15"/>
  <c r="E73" i="15"/>
  <c r="D70" i="15"/>
  <c r="E70" i="15"/>
  <c r="F70" i="15" s="1"/>
  <c r="C70" i="15"/>
  <c r="F69" i="15"/>
  <c r="E69" i="15"/>
  <c r="F68" i="15"/>
  <c r="E68" i="15"/>
  <c r="D65" i="15"/>
  <c r="E65" i="15"/>
  <c r="F65" i="15" s="1"/>
  <c r="C65" i="15"/>
  <c r="F64" i="15"/>
  <c r="E64" i="15"/>
  <c r="F63" i="15"/>
  <c r="E63" i="15"/>
  <c r="D60" i="15"/>
  <c r="C60" i="15"/>
  <c r="F60" i="15" s="1"/>
  <c r="F59" i="15"/>
  <c r="E59" i="15"/>
  <c r="E60" i="15" s="1"/>
  <c r="F58" i="15"/>
  <c r="E58" i="15"/>
  <c r="D55" i="15"/>
  <c r="E55" i="15" s="1"/>
  <c r="C55" i="15"/>
  <c r="F54" i="15"/>
  <c r="E54" i="15"/>
  <c r="F53" i="15"/>
  <c r="E53" i="15"/>
  <c r="D50" i="15"/>
  <c r="E50" i="15"/>
  <c r="C50" i="15"/>
  <c r="F49" i="15"/>
  <c r="E49" i="15"/>
  <c r="F48" i="15"/>
  <c r="E48" i="15"/>
  <c r="F45" i="15"/>
  <c r="D45" i="15"/>
  <c r="E45" i="15" s="1"/>
  <c r="C45" i="15"/>
  <c r="F44" i="15"/>
  <c r="E44" i="15"/>
  <c r="F43" i="15"/>
  <c r="E43" i="15"/>
  <c r="D37" i="15"/>
  <c r="E37" i="15"/>
  <c r="C37" i="15"/>
  <c r="F36" i="15"/>
  <c r="E36" i="15"/>
  <c r="F35" i="15"/>
  <c r="E35" i="15"/>
  <c r="E34" i="15"/>
  <c r="F34" i="15" s="1"/>
  <c r="E33" i="15"/>
  <c r="F33" i="15" s="1"/>
  <c r="D30" i="15"/>
  <c r="E30" i="15" s="1"/>
  <c r="F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F20" i="15"/>
  <c r="E20" i="15"/>
  <c r="E19" i="15"/>
  <c r="F19" i="15" s="1"/>
  <c r="D16" i="15"/>
  <c r="E16" i="15" s="1"/>
  <c r="F16" i="15" s="1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1" i="14" s="1"/>
  <c r="D17" i="14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 s="1"/>
  <c r="D78" i="13"/>
  <c r="D80" i="13" s="1"/>
  <c r="D77" i="13" s="1"/>
  <c r="C78" i="13"/>
  <c r="C80" i="13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E50" i="13" s="1"/>
  <c r="D55" i="13"/>
  <c r="D50" i="13" s="1"/>
  <c r="C55" i="13"/>
  <c r="E54" i="13"/>
  <c r="D54" i="13"/>
  <c r="C54" i="13"/>
  <c r="C50" i="13" s="1"/>
  <c r="E46" i="13"/>
  <c r="D46" i="13"/>
  <c r="D59" i="13"/>
  <c r="D61" i="13"/>
  <c r="D57" i="13" s="1"/>
  <c r="C46" i="13"/>
  <c r="C59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25" i="13"/>
  <c r="E27" i="13" s="1"/>
  <c r="E21" i="13" s="1"/>
  <c r="E24" i="13"/>
  <c r="C15" i="13"/>
  <c r="C24" i="13" s="1"/>
  <c r="E13" i="13"/>
  <c r="E15" i="13" s="1"/>
  <c r="D13" i="13"/>
  <c r="D25" i="13" s="1"/>
  <c r="D27" i="13" s="1"/>
  <c r="C13" i="13"/>
  <c r="C25" i="13" s="1"/>
  <c r="D47" i="12"/>
  <c r="C47" i="12"/>
  <c r="F47" i="12" s="1"/>
  <c r="F46" i="12"/>
  <c r="E46" i="12"/>
  <c r="F45" i="12"/>
  <c r="E45" i="12"/>
  <c r="D40" i="12"/>
  <c r="C40" i="12"/>
  <c r="E39" i="12"/>
  <c r="F39" i="12" s="1"/>
  <c r="E38" i="12"/>
  <c r="F38" i="12" s="1"/>
  <c r="E37" i="12"/>
  <c r="F37" i="12"/>
  <c r="D32" i="12"/>
  <c r="C32" i="12"/>
  <c r="E31" i="12"/>
  <c r="F31" i="12"/>
  <c r="E30" i="12"/>
  <c r="F30" i="12" s="1"/>
  <c r="F29" i="12"/>
  <c r="E29" i="12"/>
  <c r="E28" i="12"/>
  <c r="F28" i="12"/>
  <c r="E27" i="12"/>
  <c r="F27" i="12"/>
  <c r="E26" i="12"/>
  <c r="F26" i="12" s="1"/>
  <c r="E25" i="12"/>
  <c r="F25" i="12"/>
  <c r="E24" i="12"/>
  <c r="F24" i="12"/>
  <c r="E23" i="12"/>
  <c r="F23" i="12"/>
  <c r="F19" i="12"/>
  <c r="E19" i="12"/>
  <c r="E18" i="12"/>
  <c r="F18" i="12"/>
  <c r="F16" i="12"/>
  <c r="E16" i="12"/>
  <c r="D15" i="12"/>
  <c r="D17" i="12"/>
  <c r="C15" i="12"/>
  <c r="E14" i="12"/>
  <c r="F14" i="12" s="1"/>
  <c r="E13" i="12"/>
  <c r="F13" i="12" s="1"/>
  <c r="E12" i="12"/>
  <c r="F12" i="12"/>
  <c r="E11" i="12"/>
  <c r="F11" i="12" s="1"/>
  <c r="D73" i="11"/>
  <c r="E73" i="11" s="1"/>
  <c r="C73" i="11"/>
  <c r="E72" i="11"/>
  <c r="F72" i="11" s="1"/>
  <c r="E71" i="11"/>
  <c r="F71" i="11" s="1"/>
  <c r="F70" i="11"/>
  <c r="E70" i="11"/>
  <c r="F67" i="11"/>
  <c r="E67" i="11"/>
  <c r="E64" i="11"/>
  <c r="F64" i="11" s="1"/>
  <c r="F63" i="11"/>
  <c r="E63" i="11"/>
  <c r="D61" i="11"/>
  <c r="C61" i="11"/>
  <c r="C65" i="11"/>
  <c r="F60" i="11"/>
  <c r="E60" i="11"/>
  <c r="F59" i="11"/>
  <c r="E59" i="11"/>
  <c r="D56" i="11"/>
  <c r="C56" i="11"/>
  <c r="E55" i="11"/>
  <c r="F55" i="11" s="1"/>
  <c r="F54" i="11"/>
  <c r="E54" i="11"/>
  <c r="E53" i="11"/>
  <c r="F53" i="11" s="1"/>
  <c r="F52" i="11"/>
  <c r="E52" i="11"/>
  <c r="F51" i="11"/>
  <c r="E51" i="11"/>
  <c r="E50" i="11"/>
  <c r="F50" i="11" s="1"/>
  <c r="A50" i="11"/>
  <c r="A51" i="11" s="1"/>
  <c r="A52" i="11" s="1"/>
  <c r="A53" i="11" s="1"/>
  <c r="A54" i="11" s="1"/>
  <c r="A55" i="11" s="1"/>
  <c r="F49" i="11"/>
  <c r="E49" i="11"/>
  <c r="F40" i="11"/>
  <c r="E40" i="11"/>
  <c r="D38" i="11"/>
  <c r="D41" i="11"/>
  <c r="C38" i="11"/>
  <c r="C41" i="11"/>
  <c r="E41" i="11" s="1"/>
  <c r="F37" i="11"/>
  <c r="E37" i="11"/>
  <c r="F36" i="11"/>
  <c r="E36" i="11"/>
  <c r="E33" i="11"/>
  <c r="F33" i="11" s="1"/>
  <c r="F32" i="11"/>
  <c r="E32" i="11"/>
  <c r="F31" i="11"/>
  <c r="E31" i="11"/>
  <c r="D29" i="11"/>
  <c r="E29" i="11" s="1"/>
  <c r="F29" i="11" s="1"/>
  <c r="C29" i="11"/>
  <c r="F28" i="11"/>
  <c r="E28" i="11"/>
  <c r="F27" i="11"/>
  <c r="E27" i="11"/>
  <c r="F26" i="11"/>
  <c r="E26" i="11"/>
  <c r="F25" i="11"/>
  <c r="E25" i="11"/>
  <c r="D22" i="11"/>
  <c r="D43" i="11" s="1"/>
  <c r="C22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E120" i="10"/>
  <c r="C120" i="10"/>
  <c r="D119" i="10"/>
  <c r="E119" i="10" s="1"/>
  <c r="C119" i="10"/>
  <c r="F119" i="10" s="1"/>
  <c r="D118" i="10"/>
  <c r="E118" i="10" s="1"/>
  <c r="F118" i="10" s="1"/>
  <c r="C118" i="10"/>
  <c r="D117" i="10"/>
  <c r="E117" i="10" s="1"/>
  <c r="C117" i="10"/>
  <c r="F117" i="10" s="1"/>
  <c r="D116" i="10"/>
  <c r="E116" i="10"/>
  <c r="F116" i="10"/>
  <c r="C116" i="10"/>
  <c r="D115" i="10"/>
  <c r="E115" i="10" s="1"/>
  <c r="C115" i="10"/>
  <c r="D114" i="10"/>
  <c r="C114" i="10"/>
  <c r="D113" i="10"/>
  <c r="C113" i="10"/>
  <c r="C122" i="10"/>
  <c r="D112" i="10"/>
  <c r="D121" i="10" s="1"/>
  <c r="C112" i="10"/>
  <c r="D108" i="10"/>
  <c r="C108" i="10"/>
  <c r="D107" i="10"/>
  <c r="E107" i="10"/>
  <c r="F107" i="10" s="1"/>
  <c r="C107" i="10"/>
  <c r="E106" i="10"/>
  <c r="F106" i="10" s="1"/>
  <c r="F105" i="10"/>
  <c r="E105" i="10"/>
  <c r="E104" i="10"/>
  <c r="F104" i="10" s="1"/>
  <c r="F103" i="10"/>
  <c r="E103" i="10"/>
  <c r="E102" i="10"/>
  <c r="F102" i="10" s="1"/>
  <c r="E101" i="10"/>
  <c r="F101" i="10" s="1"/>
  <c r="F100" i="10"/>
  <c r="E100" i="10"/>
  <c r="F99" i="10"/>
  <c r="E99" i="10"/>
  <c r="E98" i="10"/>
  <c r="F98" i="10" s="1"/>
  <c r="D96" i="10"/>
  <c r="E96" i="10" s="1"/>
  <c r="F96" i="10"/>
  <c r="C96" i="10"/>
  <c r="D95" i="10"/>
  <c r="E95" i="10" s="1"/>
  <c r="C95" i="10"/>
  <c r="F94" i="10"/>
  <c r="E94" i="10"/>
  <c r="F93" i="10"/>
  <c r="E93" i="10"/>
  <c r="F92" i="10"/>
  <c r="E92" i="10"/>
  <c r="E91" i="10"/>
  <c r="F91" i="10" s="1"/>
  <c r="E90" i="10"/>
  <c r="F90" i="10" s="1"/>
  <c r="E89" i="10"/>
  <c r="F89" i="10" s="1"/>
  <c r="F88" i="10"/>
  <c r="E88" i="10"/>
  <c r="E87" i="10"/>
  <c r="F87" i="10" s="1"/>
  <c r="E86" i="10"/>
  <c r="F86" i="10" s="1"/>
  <c r="F84" i="10"/>
  <c r="D84" i="10"/>
  <c r="E84" i="10"/>
  <c r="C84" i="10"/>
  <c r="D83" i="10"/>
  <c r="E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 s="1"/>
  <c r="C36" i="10"/>
  <c r="D35" i="10"/>
  <c r="C35" i="10"/>
  <c r="E34" i="10"/>
  <c r="F34" i="10" s="1"/>
  <c r="F33" i="10"/>
  <c r="E33" i="10"/>
  <c r="F32" i="10"/>
  <c r="E32" i="10"/>
  <c r="E31" i="10"/>
  <c r="F31" i="10" s="1"/>
  <c r="E30" i="10"/>
  <c r="F30" i="10" s="1"/>
  <c r="F29" i="10"/>
  <c r="E29" i="10"/>
  <c r="F28" i="10"/>
  <c r="E28" i="10"/>
  <c r="E27" i="10"/>
  <c r="F27" i="10" s="1"/>
  <c r="F26" i="10"/>
  <c r="E26" i="10"/>
  <c r="F24" i="10"/>
  <c r="D24" i="10"/>
  <c r="E24" i="10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 s="1"/>
  <c r="C205" i="9"/>
  <c r="D204" i="9"/>
  <c r="E204" i="9" s="1"/>
  <c r="C204" i="9"/>
  <c r="D203" i="9"/>
  <c r="E203" i="9"/>
  <c r="F203" i="9"/>
  <c r="C203" i="9"/>
  <c r="D202" i="9"/>
  <c r="E202" i="9" s="1"/>
  <c r="F202" i="9"/>
  <c r="C202" i="9"/>
  <c r="D201" i="9"/>
  <c r="E201" i="9" s="1"/>
  <c r="F201" i="9"/>
  <c r="C201" i="9"/>
  <c r="D200" i="9"/>
  <c r="C200" i="9"/>
  <c r="D199" i="9"/>
  <c r="D208" i="9"/>
  <c r="E208" i="9" s="1"/>
  <c r="F208" i="9" s="1"/>
  <c r="C199" i="9"/>
  <c r="C208" i="9"/>
  <c r="D198" i="9"/>
  <c r="D207" i="9"/>
  <c r="C198" i="9"/>
  <c r="D193" i="9"/>
  <c r="E193" i="9" s="1"/>
  <c r="F193" i="9" s="1"/>
  <c r="C193" i="9"/>
  <c r="D192" i="9"/>
  <c r="E192" i="9"/>
  <c r="C192" i="9"/>
  <c r="F191" i="9"/>
  <c r="E191" i="9"/>
  <c r="F190" i="9"/>
  <c r="E190" i="9"/>
  <c r="E189" i="9"/>
  <c r="F189" i="9" s="1"/>
  <c r="E188" i="9"/>
  <c r="F188" i="9" s="1"/>
  <c r="F187" i="9"/>
  <c r="E187" i="9"/>
  <c r="F186" i="9"/>
  <c r="E186" i="9"/>
  <c r="F185" i="9"/>
  <c r="E185" i="9"/>
  <c r="E184" i="9"/>
  <c r="F184" i="9" s="1"/>
  <c r="F183" i="9"/>
  <c r="E183" i="9"/>
  <c r="D180" i="9"/>
  <c r="E180" i="9"/>
  <c r="C180" i="9"/>
  <c r="F180" i="9" s="1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F141" i="9" s="1"/>
  <c r="C141" i="9"/>
  <c r="D140" i="9"/>
  <c r="C140" i="9"/>
  <c r="F139" i="9"/>
  <c r="E139" i="9"/>
  <c r="F138" i="9"/>
  <c r="E138" i="9"/>
  <c r="E137" i="9"/>
  <c r="F137" i="9" s="1"/>
  <c r="E136" i="9"/>
  <c r="F136" i="9" s="1"/>
  <c r="F135" i="9"/>
  <c r="E135" i="9"/>
  <c r="F134" i="9"/>
  <c r="E134" i="9"/>
  <c r="E133" i="9"/>
  <c r="F133" i="9" s="1"/>
  <c r="E132" i="9"/>
  <c r="F132" i="9" s="1"/>
  <c r="F131" i="9"/>
  <c r="E131" i="9"/>
  <c r="D128" i="9"/>
  <c r="E128" i="9" s="1"/>
  <c r="F128" i="9" s="1"/>
  <c r="C128" i="9"/>
  <c r="D127" i="9"/>
  <c r="E127" i="9" s="1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 s="1"/>
  <c r="F115" i="9" s="1"/>
  <c r="C115" i="9"/>
  <c r="D114" i="9"/>
  <c r="E114" i="9" s="1"/>
  <c r="F114" i="9" s="1"/>
  <c r="C114" i="9"/>
  <c r="E113" i="9"/>
  <c r="F113" i="9" s="1"/>
  <c r="F112" i="9"/>
  <c r="E112" i="9"/>
  <c r="F111" i="9"/>
  <c r="E111" i="9"/>
  <c r="F110" i="9"/>
  <c r="E110" i="9"/>
  <c r="E109" i="9"/>
  <c r="F109" i="9" s="1"/>
  <c r="F108" i="9"/>
  <c r="E108" i="9"/>
  <c r="F107" i="9"/>
  <c r="E107" i="9"/>
  <c r="F106" i="9"/>
  <c r="E106" i="9"/>
  <c r="E105" i="9"/>
  <c r="F105" i="9" s="1"/>
  <c r="D102" i="9"/>
  <c r="E102" i="9" s="1"/>
  <c r="F102" i="9" s="1"/>
  <c r="C102" i="9"/>
  <c r="D101" i="9"/>
  <c r="C101" i="9"/>
  <c r="F100" i="9"/>
  <c r="E100" i="9"/>
  <c r="F99" i="9"/>
  <c r="E99" i="9"/>
  <c r="F98" i="9"/>
  <c r="E98" i="9"/>
  <c r="E97" i="9"/>
  <c r="F97" i="9" s="1"/>
  <c r="E96" i="9"/>
  <c r="F96" i="9" s="1"/>
  <c r="F95" i="9"/>
  <c r="E95" i="9"/>
  <c r="F94" i="9"/>
  <c r="E94" i="9"/>
  <c r="E93" i="9"/>
  <c r="F93" i="9" s="1"/>
  <c r="E92" i="9"/>
  <c r="F92" i="9" s="1"/>
  <c r="D89" i="9"/>
  <c r="E89" i="9" s="1"/>
  <c r="F89" i="9" s="1"/>
  <c r="C89" i="9"/>
  <c r="D88" i="9"/>
  <c r="C88" i="9"/>
  <c r="F87" i="9"/>
  <c r="E87" i="9"/>
  <c r="F86" i="9"/>
  <c r="E86" i="9"/>
  <c r="E85" i="9"/>
  <c r="F85" i="9" s="1"/>
  <c r="F84" i="9"/>
  <c r="E84" i="9"/>
  <c r="F83" i="9"/>
  <c r="E83" i="9"/>
  <c r="F82" i="9"/>
  <c r="E82" i="9"/>
  <c r="E81" i="9"/>
  <c r="F81" i="9" s="1"/>
  <c r="F80" i="9"/>
  <c r="E80" i="9"/>
  <c r="F79" i="9"/>
  <c r="E79" i="9"/>
  <c r="D76" i="9"/>
  <c r="C76" i="9"/>
  <c r="D75" i="9"/>
  <c r="E75" i="9"/>
  <c r="F75" i="9" s="1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 s="1"/>
  <c r="C49" i="9"/>
  <c r="E48" i="9"/>
  <c r="F48" i="9" s="1"/>
  <c r="F47" i="9"/>
  <c r="E47" i="9"/>
  <c r="F46" i="9"/>
  <c r="E46" i="9"/>
  <c r="E45" i="9"/>
  <c r="F45" i="9" s="1"/>
  <c r="E44" i="9"/>
  <c r="F44" i="9" s="1"/>
  <c r="F43" i="9"/>
  <c r="E43" i="9"/>
  <c r="F42" i="9"/>
  <c r="E42" i="9"/>
  <c r="E41" i="9"/>
  <c r="F41" i="9" s="1"/>
  <c r="E40" i="9"/>
  <c r="F40" i="9" s="1"/>
  <c r="F37" i="9"/>
  <c r="D37" i="9"/>
  <c r="E37" i="9"/>
  <c r="C37" i="9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/>
  <c r="C24" i="9"/>
  <c r="D23" i="9"/>
  <c r="E23" i="9" s="1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C164" i="8"/>
  <c r="C160" i="8" s="1"/>
  <c r="E162" i="8"/>
  <c r="D162" i="8"/>
  <c r="C162" i="8"/>
  <c r="E161" i="8"/>
  <c r="D161" i="8"/>
  <c r="C161" i="8"/>
  <c r="E160" i="8"/>
  <c r="E166" i="8"/>
  <c r="E147" i="8"/>
  <c r="D147" i="8"/>
  <c r="D143" i="8" s="1"/>
  <c r="D149" i="8"/>
  <c r="C147" i="8"/>
  <c r="C143" i="8" s="1"/>
  <c r="E145" i="8"/>
  <c r="D145" i="8"/>
  <c r="C145" i="8"/>
  <c r="E144" i="8"/>
  <c r="D144" i="8"/>
  <c r="C144" i="8"/>
  <c r="E143" i="8"/>
  <c r="E149" i="8" s="1"/>
  <c r="C149" i="8"/>
  <c r="E126" i="8"/>
  <c r="D126" i="8"/>
  <c r="C126" i="8"/>
  <c r="E119" i="8"/>
  <c r="D119" i="8"/>
  <c r="C119" i="8"/>
  <c r="E108" i="8"/>
  <c r="E109" i="8" s="1"/>
  <c r="E106" i="8" s="1"/>
  <c r="D108" i="8"/>
  <c r="D109" i="8" s="1"/>
  <c r="D106" i="8" s="1"/>
  <c r="C108" i="8"/>
  <c r="E107" i="8"/>
  <c r="D107" i="8"/>
  <c r="C107" i="8"/>
  <c r="C109" i="8" s="1"/>
  <c r="C106" i="8" s="1"/>
  <c r="E102" i="8"/>
  <c r="E104" i="8" s="1"/>
  <c r="D102" i="8"/>
  <c r="D104" i="8"/>
  <c r="C102" i="8"/>
  <c r="C104" i="8" s="1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 s="1"/>
  <c r="E86" i="8"/>
  <c r="E87" i="8"/>
  <c r="D87" i="8"/>
  <c r="C87" i="8"/>
  <c r="E84" i="8"/>
  <c r="E79" i="8" s="1"/>
  <c r="D84" i="8"/>
  <c r="D79" i="8" s="1"/>
  <c r="C84" i="8"/>
  <c r="E83" i="8"/>
  <c r="D83" i="8"/>
  <c r="C83" i="8"/>
  <c r="C79" i="8"/>
  <c r="E77" i="8"/>
  <c r="E71" i="8" s="1"/>
  <c r="C77" i="8"/>
  <c r="C71" i="8" s="1"/>
  <c r="E75" i="8"/>
  <c r="D75" i="8"/>
  <c r="D88" i="8"/>
  <c r="D90" i="8"/>
  <c r="D86" i="8" s="1"/>
  <c r="C75" i="8"/>
  <c r="C88" i="8" s="1"/>
  <c r="C90" i="8" s="1"/>
  <c r="C86" i="8" s="1"/>
  <c r="E74" i="8"/>
  <c r="D74" i="8"/>
  <c r="C74" i="8"/>
  <c r="E67" i="8"/>
  <c r="D67" i="8"/>
  <c r="C67" i="8"/>
  <c r="D53" i="8"/>
  <c r="D43" i="8"/>
  <c r="E38" i="8"/>
  <c r="E57" i="8" s="1"/>
  <c r="E62" i="8" s="1"/>
  <c r="D38" i="8"/>
  <c r="D57" i="8"/>
  <c r="D62" i="8"/>
  <c r="C38" i="8"/>
  <c r="E33" i="8"/>
  <c r="E34" i="8"/>
  <c r="D33" i="8"/>
  <c r="D34" i="8"/>
  <c r="E26" i="8"/>
  <c r="D26" i="8"/>
  <c r="C26" i="8"/>
  <c r="C15" i="8"/>
  <c r="C24" i="8" s="1"/>
  <c r="E13" i="8"/>
  <c r="D13" i="8"/>
  <c r="D25" i="8"/>
  <c r="D27" i="8" s="1"/>
  <c r="D21" i="8" s="1"/>
  <c r="C13" i="8"/>
  <c r="C25" i="8" s="1"/>
  <c r="F186" i="7"/>
  <c r="E186" i="7"/>
  <c r="D183" i="7"/>
  <c r="D188" i="7" s="1"/>
  <c r="C183" i="7"/>
  <c r="C188" i="7" s="1"/>
  <c r="F182" i="7"/>
  <c r="E182" i="7"/>
  <c r="E181" i="7"/>
  <c r="F181" i="7" s="1"/>
  <c r="F180" i="7"/>
  <c r="E180" i="7"/>
  <c r="F179" i="7"/>
  <c r="E179" i="7"/>
  <c r="F178" i="7"/>
  <c r="E178" i="7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F171" i="7"/>
  <c r="E171" i="7"/>
  <c r="F170" i="7"/>
  <c r="E170" i="7"/>
  <c r="D167" i="7"/>
  <c r="E167" i="7"/>
  <c r="F167" i="7" s="1"/>
  <c r="C167" i="7"/>
  <c r="F166" i="7"/>
  <c r="E166" i="7"/>
  <c r="E165" i="7"/>
  <c r="F165" i="7" s="1"/>
  <c r="F164" i="7"/>
  <c r="E164" i="7"/>
  <c r="F163" i="7"/>
  <c r="E163" i="7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E156" i="7"/>
  <c r="F156" i="7" s="1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E140" i="7"/>
  <c r="F140" i="7" s="1"/>
  <c r="F139" i="7"/>
  <c r="E139" i="7"/>
  <c r="F138" i="7"/>
  <c r="E138" i="7"/>
  <c r="F137" i="7"/>
  <c r="E137" i="7"/>
  <c r="E136" i="7"/>
  <c r="F136" i="7" s="1"/>
  <c r="F135" i="7"/>
  <c r="E135" i="7"/>
  <c r="F134" i="7"/>
  <c r="E134" i="7"/>
  <c r="E133" i="7"/>
  <c r="F133" i="7" s="1"/>
  <c r="D130" i="7"/>
  <c r="E130" i="7"/>
  <c r="F130" i="7" s="1"/>
  <c r="C130" i="7"/>
  <c r="F129" i="7"/>
  <c r="E129" i="7"/>
  <c r="E128" i="7"/>
  <c r="F128" i="7" s="1"/>
  <c r="E127" i="7"/>
  <c r="F127" i="7" s="1"/>
  <c r="F126" i="7"/>
  <c r="E126" i="7"/>
  <c r="F125" i="7"/>
  <c r="E125" i="7"/>
  <c r="F124" i="7"/>
  <c r="E124" i="7"/>
  <c r="D121" i="7"/>
  <c r="E121" i="7"/>
  <c r="F121" i="7" s="1"/>
  <c r="C121" i="7"/>
  <c r="F120" i="7"/>
  <c r="E120" i="7"/>
  <c r="E119" i="7"/>
  <c r="F119" i="7" s="1"/>
  <c r="E118" i="7"/>
  <c r="F118" i="7" s="1"/>
  <c r="F117" i="7"/>
  <c r="E117" i="7"/>
  <c r="F116" i="7"/>
  <c r="E116" i="7"/>
  <c r="F115" i="7"/>
  <c r="E115" i="7"/>
  <c r="E114" i="7"/>
  <c r="F114" i="7" s="1"/>
  <c r="F113" i="7"/>
  <c r="E113" i="7"/>
  <c r="F112" i="7"/>
  <c r="E112" i="7"/>
  <c r="F111" i="7"/>
  <c r="E111" i="7"/>
  <c r="E110" i="7"/>
  <c r="F110" i="7" s="1"/>
  <c r="F109" i="7"/>
  <c r="E109" i="7"/>
  <c r="F108" i="7"/>
  <c r="E108" i="7"/>
  <c r="F107" i="7"/>
  <c r="E107" i="7"/>
  <c r="E106" i="7"/>
  <c r="F106" i="7" s="1"/>
  <c r="F105" i="7"/>
  <c r="E105" i="7"/>
  <c r="F104" i="7"/>
  <c r="E104" i="7"/>
  <c r="E103" i="7"/>
  <c r="F103" i="7" s="1"/>
  <c r="E93" i="7"/>
  <c r="F93" i="7" s="1"/>
  <c r="D90" i="7"/>
  <c r="C90" i="7"/>
  <c r="F89" i="7"/>
  <c r="E89" i="7"/>
  <c r="F88" i="7"/>
  <c r="E88" i="7"/>
  <c r="E87" i="7"/>
  <c r="F87" i="7" s="1"/>
  <c r="E86" i="7"/>
  <c r="F86" i="7" s="1"/>
  <c r="E85" i="7"/>
  <c r="F85" i="7" s="1"/>
  <c r="F84" i="7"/>
  <c r="E84" i="7"/>
  <c r="F83" i="7"/>
  <c r="E83" i="7"/>
  <c r="E82" i="7"/>
  <c r="F82" i="7" s="1"/>
  <c r="E81" i="7"/>
  <c r="F81" i="7" s="1"/>
  <c r="E80" i="7"/>
  <c r="F80" i="7" s="1"/>
  <c r="E79" i="7"/>
  <c r="F79" i="7" s="1"/>
  <c r="E78" i="7"/>
  <c r="F78" i="7" s="1"/>
  <c r="F77" i="7"/>
  <c r="E77" i="7"/>
  <c r="E76" i="7"/>
  <c r="F76" i="7" s="1"/>
  <c r="E75" i="7"/>
  <c r="F75" i="7" s="1"/>
  <c r="E74" i="7"/>
  <c r="F74" i="7" s="1"/>
  <c r="F73" i="7"/>
  <c r="E73" i="7"/>
  <c r="F72" i="7"/>
  <c r="E72" i="7"/>
  <c r="F71" i="7"/>
  <c r="E71" i="7"/>
  <c r="E70" i="7"/>
  <c r="F70" i="7" s="1"/>
  <c r="E69" i="7"/>
  <c r="F69" i="7" s="1"/>
  <c r="E68" i="7"/>
  <c r="F68" i="7" s="1"/>
  <c r="F67" i="7"/>
  <c r="E67" i="7"/>
  <c r="E66" i="7"/>
  <c r="F66" i="7" s="1"/>
  <c r="E65" i="7"/>
  <c r="F65" i="7" s="1"/>
  <c r="F64" i="7"/>
  <c r="E64" i="7"/>
  <c r="E63" i="7"/>
  <c r="F63" i="7" s="1"/>
  <c r="E62" i="7"/>
  <c r="F62" i="7" s="1"/>
  <c r="D59" i="7"/>
  <c r="E59" i="7" s="1"/>
  <c r="F59" i="7"/>
  <c r="C59" i="7"/>
  <c r="E58" i="7"/>
  <c r="F58" i="7" s="1"/>
  <c r="E57" i="7"/>
  <c r="F57" i="7" s="1"/>
  <c r="F56" i="7"/>
  <c r="E56" i="7"/>
  <c r="F55" i="7"/>
  <c r="E55" i="7"/>
  <c r="E54" i="7"/>
  <c r="F54" i="7" s="1"/>
  <c r="E53" i="7"/>
  <c r="F53" i="7" s="1"/>
  <c r="F50" i="7"/>
  <c r="E50" i="7"/>
  <c r="F47" i="7"/>
  <c r="E47" i="7"/>
  <c r="E44" i="7"/>
  <c r="F44" i="7" s="1"/>
  <c r="D41" i="7"/>
  <c r="C41" i="7"/>
  <c r="F40" i="7"/>
  <c r="E40" i="7"/>
  <c r="E39" i="7"/>
  <c r="F39" i="7" s="1"/>
  <c r="E38" i="7"/>
  <c r="F38" i="7" s="1"/>
  <c r="D35" i="7"/>
  <c r="C35" i="7"/>
  <c r="E35" i="7" s="1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3" i="7"/>
  <c r="F23" i="7" s="1"/>
  <c r="F22" i="7"/>
  <c r="E22" i="7"/>
  <c r="E21" i="7"/>
  <c r="F21" i="7" s="1"/>
  <c r="D18" i="7"/>
  <c r="E18" i="7"/>
  <c r="C18" i="7"/>
  <c r="F18" i="7" s="1"/>
  <c r="E17" i="7"/>
  <c r="F17" i="7" s="1"/>
  <c r="E16" i="7"/>
  <c r="F16" i="7" s="1"/>
  <c r="E15" i="7"/>
  <c r="F15" i="7" s="1"/>
  <c r="D179" i="6"/>
  <c r="E179" i="6"/>
  <c r="C179" i="6"/>
  <c r="F179" i="6" s="1"/>
  <c r="E178" i="6"/>
  <c r="F178" i="6" s="1"/>
  <c r="F177" i="6"/>
  <c r="E177" i="6"/>
  <c r="F176" i="6"/>
  <c r="E176" i="6"/>
  <c r="F175" i="6"/>
  <c r="E175" i="6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F168" i="6"/>
  <c r="E168" i="6"/>
  <c r="D166" i="6"/>
  <c r="E166" i="6"/>
  <c r="C166" i="6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C153" i="6"/>
  <c r="E153" i="6" s="1"/>
  <c r="F152" i="6"/>
  <c r="E152" i="6"/>
  <c r="F151" i="6"/>
  <c r="E151" i="6"/>
  <c r="E150" i="6"/>
  <c r="F150" i="6" s="1"/>
  <c r="E149" i="6"/>
  <c r="F149" i="6" s="1"/>
  <c r="F148" i="6"/>
  <c r="E148" i="6"/>
  <c r="E147" i="6"/>
  <c r="F147" i="6" s="1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E136" i="6"/>
  <c r="F136" i="6" s="1"/>
  <c r="F135" i="6"/>
  <c r="E135" i="6"/>
  <c r="E134" i="6"/>
  <c r="F134" i="6" s="1"/>
  <c r="F133" i="6"/>
  <c r="E133" i="6"/>
  <c r="E132" i="6"/>
  <c r="F132" i="6" s="1"/>
  <c r="E131" i="6"/>
  <c r="F131" i="6" s="1"/>
  <c r="F130" i="6"/>
  <c r="E130" i="6"/>
  <c r="E129" i="6"/>
  <c r="F129" i="6" s="1"/>
  <c r="E128" i="6"/>
  <c r="F128" i="6" s="1"/>
  <c r="F127" i="6"/>
  <c r="E127" i="6"/>
  <c r="F126" i="6"/>
  <c r="E126" i="6"/>
  <c r="D124" i="6"/>
  <c r="C124" i="6"/>
  <c r="F123" i="6"/>
  <c r="E123" i="6"/>
  <c r="F122" i="6"/>
  <c r="E122" i="6"/>
  <c r="E121" i="6"/>
  <c r="F121" i="6" s="1"/>
  <c r="E120" i="6"/>
  <c r="F120" i="6" s="1"/>
  <c r="F119" i="6"/>
  <c r="E119" i="6"/>
  <c r="F118" i="6"/>
  <c r="E118" i="6"/>
  <c r="E117" i="6"/>
  <c r="F117" i="6" s="1"/>
  <c r="E116" i="6"/>
  <c r="F116" i="6" s="1"/>
  <c r="F115" i="6"/>
  <c r="E115" i="6"/>
  <c r="F114" i="6"/>
  <c r="E114" i="6"/>
  <c r="E113" i="6"/>
  <c r="F113" i="6" s="1"/>
  <c r="D111" i="6"/>
  <c r="E111" i="6"/>
  <c r="F111" i="6"/>
  <c r="C111" i="6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F103" i="6"/>
  <c r="E103" i="6"/>
  <c r="F102" i="6"/>
  <c r="E102" i="6"/>
  <c r="E101" i="6"/>
  <c r="F101" i="6" s="1"/>
  <c r="E100" i="6"/>
  <c r="F100" i="6" s="1"/>
  <c r="D94" i="6"/>
  <c r="E94" i="6" s="1"/>
  <c r="F94" i="6" s="1"/>
  <c r="C94" i="6"/>
  <c r="F93" i="6"/>
  <c r="D93" i="6"/>
  <c r="C93" i="6"/>
  <c r="E93" i="6" s="1"/>
  <c r="D92" i="6"/>
  <c r="E92" i="6" s="1"/>
  <c r="F92" i="6" s="1"/>
  <c r="C92" i="6"/>
  <c r="D91" i="6"/>
  <c r="E91" i="6" s="1"/>
  <c r="F91" i="6" s="1"/>
  <c r="C91" i="6"/>
  <c r="D90" i="6"/>
  <c r="E90" i="6" s="1"/>
  <c r="F90" i="6" s="1"/>
  <c r="C90" i="6"/>
  <c r="D89" i="6"/>
  <c r="E89" i="6"/>
  <c r="F89" i="6"/>
  <c r="C89" i="6"/>
  <c r="D88" i="6"/>
  <c r="E88" i="6" s="1"/>
  <c r="F88" i="6" s="1"/>
  <c r="C88" i="6"/>
  <c r="D87" i="6"/>
  <c r="C87" i="6"/>
  <c r="D86" i="6"/>
  <c r="E86" i="6" s="1"/>
  <c r="F86" i="6" s="1"/>
  <c r="C86" i="6"/>
  <c r="D85" i="6"/>
  <c r="C85" i="6"/>
  <c r="D84" i="6"/>
  <c r="C84" i="6"/>
  <c r="D81" i="6"/>
  <c r="E81" i="6"/>
  <c r="F81" i="6"/>
  <c r="C81" i="6"/>
  <c r="F80" i="6"/>
  <c r="E80" i="6"/>
  <c r="F79" i="6"/>
  <c r="E79" i="6"/>
  <c r="E78" i="6"/>
  <c r="F78" i="6" s="1"/>
  <c r="F77" i="6"/>
  <c r="E77" i="6"/>
  <c r="F76" i="6"/>
  <c r="E76" i="6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E68" i="6" s="1"/>
  <c r="F68" i="6" s="1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 s="1"/>
  <c r="F51" i="6" s="1"/>
  <c r="C51" i="6"/>
  <c r="D50" i="6"/>
  <c r="C50" i="6"/>
  <c r="F50" i="6" s="1"/>
  <c r="D49" i="6"/>
  <c r="E49" i="6" s="1"/>
  <c r="F49" i="6" s="1"/>
  <c r="C49" i="6"/>
  <c r="D48" i="6"/>
  <c r="C48" i="6"/>
  <c r="D47" i="6"/>
  <c r="E47" i="6" s="1"/>
  <c r="F47" i="6" s="1"/>
  <c r="C47" i="6"/>
  <c r="D46" i="6"/>
  <c r="E46" i="6" s="1"/>
  <c r="C46" i="6"/>
  <c r="D45" i="6"/>
  <c r="E45" i="6" s="1"/>
  <c r="F45" i="6" s="1"/>
  <c r="C45" i="6"/>
  <c r="D44" i="6"/>
  <c r="E44" i="6"/>
  <c r="F44" i="6" s="1"/>
  <c r="C44" i="6"/>
  <c r="D43" i="6"/>
  <c r="E43" i="6" s="1"/>
  <c r="F43" i="6" s="1"/>
  <c r="C43" i="6"/>
  <c r="D42" i="6"/>
  <c r="C42" i="6"/>
  <c r="D41" i="6"/>
  <c r="C41" i="6"/>
  <c r="D38" i="6"/>
  <c r="E38" i="6" s="1"/>
  <c r="C38" i="6"/>
  <c r="F38" i="6" s="1"/>
  <c r="E37" i="6"/>
  <c r="F37" i="6" s="1"/>
  <c r="F36" i="6"/>
  <c r="E36" i="6"/>
  <c r="E35" i="6"/>
  <c r="F35" i="6" s="1"/>
  <c r="E34" i="6"/>
  <c r="F34" i="6" s="1"/>
  <c r="E33" i="6"/>
  <c r="F33" i="6" s="1"/>
  <c r="E32" i="6"/>
  <c r="F32" i="6" s="1"/>
  <c r="F31" i="6"/>
  <c r="E31" i="6"/>
  <c r="E30" i="6"/>
  <c r="F30" i="6" s="1"/>
  <c r="E29" i="6"/>
  <c r="F29" i="6" s="1"/>
  <c r="E28" i="6"/>
  <c r="F28" i="6" s="1"/>
  <c r="E27" i="6"/>
  <c r="F27" i="6" s="1"/>
  <c r="D25" i="6"/>
  <c r="E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F15" i="6"/>
  <c r="E15" i="6"/>
  <c r="E14" i="6"/>
  <c r="F14" i="6" s="1"/>
  <c r="E51" i="5"/>
  <c r="F51" i="5" s="1"/>
  <c r="D48" i="5"/>
  <c r="C48" i="5"/>
  <c r="E48" i="5" s="1"/>
  <c r="E47" i="5"/>
  <c r="F47" i="5" s="1"/>
  <c r="F46" i="5"/>
  <c r="E46" i="5"/>
  <c r="D41" i="5"/>
  <c r="C41" i="5"/>
  <c r="F40" i="5"/>
  <c r="E40" i="5"/>
  <c r="E39" i="5"/>
  <c r="F39" i="5" s="1"/>
  <c r="F38" i="5"/>
  <c r="E38" i="5"/>
  <c r="D33" i="5"/>
  <c r="E33" i="5"/>
  <c r="F33" i="5"/>
  <c r="C33" i="5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F20" i="5"/>
  <c r="E20" i="5"/>
  <c r="E19" i="5"/>
  <c r="F19" i="5" s="1"/>
  <c r="F17" i="5"/>
  <c r="E17" i="5"/>
  <c r="D16" i="5"/>
  <c r="D18" i="5"/>
  <c r="C16" i="5"/>
  <c r="C18" i="5"/>
  <c r="F15" i="5"/>
  <c r="E15" i="5"/>
  <c r="F14" i="5"/>
  <c r="E14" i="5"/>
  <c r="E13" i="5"/>
  <c r="F13" i="5" s="1"/>
  <c r="E12" i="5"/>
  <c r="F12" i="5" s="1"/>
  <c r="D73" i="4"/>
  <c r="E73" i="4"/>
  <c r="F73" i="4" s="1"/>
  <c r="C73" i="4"/>
  <c r="F72" i="4"/>
  <c r="E72" i="4"/>
  <c r="F71" i="4"/>
  <c r="E71" i="4"/>
  <c r="E70" i="4"/>
  <c r="F70" i="4" s="1"/>
  <c r="F67" i="4"/>
  <c r="E67" i="4"/>
  <c r="F64" i="4"/>
  <c r="E64" i="4"/>
  <c r="F63" i="4"/>
  <c r="E63" i="4"/>
  <c r="F61" i="4"/>
  <c r="D61" i="4"/>
  <c r="E61" i="4" s="1"/>
  <c r="D65" i="4"/>
  <c r="D75" i="4" s="1"/>
  <c r="E75" i="4" s="1"/>
  <c r="F75" i="4" s="1"/>
  <c r="C61" i="4"/>
  <c r="C65" i="4"/>
  <c r="F60" i="4"/>
  <c r="E60" i="4"/>
  <c r="F59" i="4"/>
  <c r="E59" i="4"/>
  <c r="D56" i="4"/>
  <c r="E56" i="4" s="1"/>
  <c r="C56" i="4"/>
  <c r="C75" i="4"/>
  <c r="E55" i="4"/>
  <c r="F55" i="4" s="1"/>
  <c r="F54" i="4"/>
  <c r="E54" i="4"/>
  <c r="E53" i="4"/>
  <c r="F53" i="4" s="1"/>
  <c r="F52" i="4"/>
  <c r="E52" i="4"/>
  <c r="E51" i="4"/>
  <c r="F51" i="4" s="1"/>
  <c r="A52" i="4"/>
  <c r="A53" i="4" s="1"/>
  <c r="A54" i="4"/>
  <c r="A55" i="4"/>
  <c r="E50" i="4"/>
  <c r="F50" i="4" s="1"/>
  <c r="A50" i="4"/>
  <c r="A51" i="4" s="1"/>
  <c r="E49" i="4"/>
  <c r="F49" i="4" s="1"/>
  <c r="E40" i="4"/>
  <c r="F40" i="4" s="1"/>
  <c r="D38" i="4"/>
  <c r="D41" i="4"/>
  <c r="C38" i="4"/>
  <c r="C41" i="4" s="1"/>
  <c r="F37" i="4"/>
  <c r="E37" i="4"/>
  <c r="E36" i="4"/>
  <c r="F36" i="4" s="1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C22" i="4"/>
  <c r="C43" i="4"/>
  <c r="F21" i="4"/>
  <c r="E21" i="4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D108" i="22"/>
  <c r="D109" i="22"/>
  <c r="D22" i="22"/>
  <c r="D110" i="22" s="1"/>
  <c r="C23" i="22"/>
  <c r="E23" i="22"/>
  <c r="E46" i="22" s="1"/>
  <c r="D33" i="22"/>
  <c r="E34" i="22"/>
  <c r="D101" i="22"/>
  <c r="D103" i="22"/>
  <c r="E22" i="22"/>
  <c r="E39" i="22" s="1"/>
  <c r="D23" i="22"/>
  <c r="F21" i="21"/>
  <c r="F20" i="20"/>
  <c r="E19" i="20"/>
  <c r="F19" i="20"/>
  <c r="E43" i="20"/>
  <c r="F43" i="20" s="1"/>
  <c r="C38" i="19"/>
  <c r="C127" i="19" s="1"/>
  <c r="C129" i="19" s="1"/>
  <c r="C133" i="19" s="1"/>
  <c r="C22" i="19"/>
  <c r="D258" i="18"/>
  <c r="D100" i="18"/>
  <c r="D98" i="18"/>
  <c r="D96" i="18"/>
  <c r="D89" i="18"/>
  <c r="D87" i="18"/>
  <c r="D85" i="18"/>
  <c r="D83" i="18"/>
  <c r="D101" i="18"/>
  <c r="D99" i="18"/>
  <c r="D97" i="18"/>
  <c r="D95" i="18"/>
  <c r="D88" i="18"/>
  <c r="D86" i="18"/>
  <c r="D84" i="18"/>
  <c r="E43" i="18"/>
  <c r="D277" i="17"/>
  <c r="D280" i="17"/>
  <c r="E283" i="18"/>
  <c r="C22" i="18"/>
  <c r="C284" i="18" s="1"/>
  <c r="E36" i="18"/>
  <c r="E54" i="18"/>
  <c r="E69" i="18"/>
  <c r="D278" i="17"/>
  <c r="D283" i="17"/>
  <c r="D290" i="17"/>
  <c r="E21" i="18"/>
  <c r="D284" i="18"/>
  <c r="E37" i="18"/>
  <c r="D144" i="18"/>
  <c r="C156" i="18"/>
  <c r="C157" i="18" s="1"/>
  <c r="E243" i="18"/>
  <c r="D252" i="18"/>
  <c r="D254" i="18"/>
  <c r="C303" i="18"/>
  <c r="C306" i="18"/>
  <c r="C310" i="18" s="1"/>
  <c r="D320" i="18"/>
  <c r="C189" i="18"/>
  <c r="C210" i="18"/>
  <c r="E215" i="18"/>
  <c r="E219" i="18"/>
  <c r="E221" i="18"/>
  <c r="D222" i="18"/>
  <c r="C252" i="18"/>
  <c r="C261" i="18"/>
  <c r="E265" i="18"/>
  <c r="E314" i="18"/>
  <c r="D189" i="18"/>
  <c r="E189" i="18"/>
  <c r="E216" i="18"/>
  <c r="C222" i="18"/>
  <c r="C246" i="18" s="1"/>
  <c r="E251" i="18"/>
  <c r="E301" i="18"/>
  <c r="E17" i="17"/>
  <c r="F17" i="17"/>
  <c r="C126" i="17"/>
  <c r="E24" i="17"/>
  <c r="F24" i="17" s="1"/>
  <c r="E36" i="17"/>
  <c r="F36" i="17" s="1"/>
  <c r="C48" i="17"/>
  <c r="E47" i="17"/>
  <c r="F47" i="17"/>
  <c r="E23" i="17"/>
  <c r="F23" i="17"/>
  <c r="C31" i="17"/>
  <c r="E35" i="17"/>
  <c r="F35" i="17"/>
  <c r="C37" i="17"/>
  <c r="E37" i="17" s="1"/>
  <c r="F37" i="17" s="1"/>
  <c r="E44" i="17"/>
  <c r="F44" i="17"/>
  <c r="D160" i="17"/>
  <c r="E48" i="17"/>
  <c r="C138" i="17"/>
  <c r="C207" i="17"/>
  <c r="E52" i="17"/>
  <c r="F52" i="17"/>
  <c r="E58" i="17"/>
  <c r="F58" i="17"/>
  <c r="E59" i="17"/>
  <c r="F59" i="17"/>
  <c r="E66" i="17"/>
  <c r="F66" i="17" s="1"/>
  <c r="E67" i="17"/>
  <c r="F67" i="17"/>
  <c r="C68" i="17"/>
  <c r="E76" i="17"/>
  <c r="F76" i="17"/>
  <c r="D89" i="17"/>
  <c r="D102" i="17"/>
  <c r="D103" i="17" s="1"/>
  <c r="D111" i="17"/>
  <c r="D124" i="17"/>
  <c r="D137" i="17"/>
  <c r="E158" i="17"/>
  <c r="F158" i="17"/>
  <c r="E164" i="17"/>
  <c r="F164" i="17" s="1"/>
  <c r="E170" i="17"/>
  <c r="F170" i="17" s="1"/>
  <c r="C173" i="17"/>
  <c r="E179" i="17"/>
  <c r="F179" i="17"/>
  <c r="C181" i="17"/>
  <c r="C277" i="17"/>
  <c r="C280" i="17"/>
  <c r="E191" i="17"/>
  <c r="F191" i="17"/>
  <c r="C283" i="17"/>
  <c r="E203" i="17"/>
  <c r="F203" i="17" s="1"/>
  <c r="C205" i="17"/>
  <c r="C206" i="17"/>
  <c r="C214" i="17"/>
  <c r="E223" i="17"/>
  <c r="F223" i="17"/>
  <c r="F227" i="17"/>
  <c r="E230" i="17"/>
  <c r="F230" i="17" s="1"/>
  <c r="E238" i="17"/>
  <c r="F238" i="17" s="1"/>
  <c r="C254" i="17"/>
  <c r="C261" i="17"/>
  <c r="C264" i="17"/>
  <c r="C267" i="17"/>
  <c r="E267" i="17" s="1"/>
  <c r="E123" i="17"/>
  <c r="F123" i="17" s="1"/>
  <c r="C124" i="17"/>
  <c r="E155" i="17"/>
  <c r="F155" i="17" s="1"/>
  <c r="C159" i="17"/>
  <c r="F165" i="17"/>
  <c r="E171" i="17"/>
  <c r="F171" i="17"/>
  <c r="E172" i="17"/>
  <c r="F172" i="17" s="1"/>
  <c r="E180" i="17"/>
  <c r="F180" i="17"/>
  <c r="C278" i="17"/>
  <c r="E189" i="17"/>
  <c r="F189" i="17" s="1"/>
  <c r="C192" i="17"/>
  <c r="E192" i="17" s="1"/>
  <c r="C285" i="17"/>
  <c r="C286" i="17" s="1"/>
  <c r="C269" i="17"/>
  <c r="E226" i="17"/>
  <c r="F226" i="17"/>
  <c r="F229" i="17"/>
  <c r="E237" i="17"/>
  <c r="F237" i="17" s="1"/>
  <c r="C306" i="17"/>
  <c r="E250" i="17"/>
  <c r="F250" i="17"/>
  <c r="E264" i="17"/>
  <c r="D279" i="17"/>
  <c r="E311" i="17"/>
  <c r="D190" i="17"/>
  <c r="D193" i="17"/>
  <c r="D206" i="17"/>
  <c r="E206" i="17" s="1"/>
  <c r="D214" i="17"/>
  <c r="D254" i="17" s="1"/>
  <c r="F36" i="14"/>
  <c r="F38" i="14"/>
  <c r="F40" i="14"/>
  <c r="D31" i="14"/>
  <c r="F31" i="14"/>
  <c r="E33" i="14"/>
  <c r="E36" i="14"/>
  <c r="E38" i="14" s="1"/>
  <c r="E40" i="14" s="1"/>
  <c r="G33" i="14"/>
  <c r="H17" i="14"/>
  <c r="E20" i="13"/>
  <c r="D21" i="13"/>
  <c r="D15" i="13"/>
  <c r="C17" i="13"/>
  <c r="C28" i="13" s="1"/>
  <c r="C70" i="13"/>
  <c r="C72" i="13"/>
  <c r="C69" i="13" s="1"/>
  <c r="E17" i="13"/>
  <c r="E28" i="13"/>
  <c r="D48" i="13"/>
  <c r="D42" i="13" s="1"/>
  <c r="D20" i="12"/>
  <c r="E20" i="12" s="1"/>
  <c r="F20" i="12" s="1"/>
  <c r="E15" i="12"/>
  <c r="C17" i="12"/>
  <c r="C20" i="12" s="1"/>
  <c r="E17" i="12"/>
  <c r="F17" i="12" s="1"/>
  <c r="E32" i="12"/>
  <c r="E40" i="12"/>
  <c r="F40" i="12"/>
  <c r="F41" i="11"/>
  <c r="E22" i="11"/>
  <c r="F22" i="11" s="1"/>
  <c r="E38" i="11"/>
  <c r="F38" i="11" s="1"/>
  <c r="E56" i="11"/>
  <c r="E112" i="10"/>
  <c r="F112" i="10" s="1"/>
  <c r="E198" i="9"/>
  <c r="F198" i="9" s="1"/>
  <c r="E199" i="9"/>
  <c r="F199" i="9" s="1"/>
  <c r="E157" i="8"/>
  <c r="E155" i="8"/>
  <c r="E153" i="8"/>
  <c r="E156" i="8"/>
  <c r="E154" i="8"/>
  <c r="E152" i="8"/>
  <c r="E138" i="8"/>
  <c r="E135" i="8"/>
  <c r="D140" i="8"/>
  <c r="D138" i="8"/>
  <c r="D136" i="8"/>
  <c r="D15" i="8"/>
  <c r="C17" i="8"/>
  <c r="E43" i="8"/>
  <c r="D49" i="8"/>
  <c r="C53" i="8"/>
  <c r="E53" i="8"/>
  <c r="D77" i="8"/>
  <c r="D71" i="8"/>
  <c r="C49" i="8"/>
  <c r="E49" i="8"/>
  <c r="E90" i="7"/>
  <c r="F90" i="7"/>
  <c r="E183" i="7"/>
  <c r="F183" i="7" s="1"/>
  <c r="E84" i="6"/>
  <c r="F84" i="6" s="1"/>
  <c r="D21" i="5"/>
  <c r="E18" i="5"/>
  <c r="E16" i="5"/>
  <c r="F16" i="5"/>
  <c r="E22" i="4"/>
  <c r="F22" i="4" s="1"/>
  <c r="E38" i="4"/>
  <c r="F38" i="4" s="1"/>
  <c r="D54" i="22"/>
  <c r="D46" i="22"/>
  <c r="D40" i="22"/>
  <c r="D36" i="22"/>
  <c r="D30" i="22"/>
  <c r="D111" i="22"/>
  <c r="C54" i="22"/>
  <c r="C36" i="22"/>
  <c r="E53" i="22"/>
  <c r="E45" i="22"/>
  <c r="E35" i="22"/>
  <c r="D53" i="22"/>
  <c r="D45" i="22"/>
  <c r="D39" i="22"/>
  <c r="D35" i="22"/>
  <c r="D29" i="22"/>
  <c r="D90" i="17"/>
  <c r="C211" i="18"/>
  <c r="C235" i="18" s="1"/>
  <c r="C234" i="18"/>
  <c r="E252" i="18"/>
  <c r="D145" i="18"/>
  <c r="D90" i="18"/>
  <c r="D102" i="18"/>
  <c r="E214" i="17"/>
  <c r="F214" i="17" s="1"/>
  <c r="D194" i="17"/>
  <c r="E159" i="17"/>
  <c r="F159" i="17" s="1"/>
  <c r="C270" i="17"/>
  <c r="C271" i="17"/>
  <c r="C268" i="17"/>
  <c r="C216" i="17"/>
  <c r="C287" i="17"/>
  <c r="C61" i="17"/>
  <c r="C32" i="17"/>
  <c r="F192" i="17"/>
  <c r="E306" i="17"/>
  <c r="E277" i="17"/>
  <c r="F264" i="17"/>
  <c r="F206" i="17"/>
  <c r="D207" i="17"/>
  <c r="E137" i="17"/>
  <c r="F137" i="17" s="1"/>
  <c r="D138" i="17"/>
  <c r="F267" i="17"/>
  <c r="D125" i="17"/>
  <c r="C304" i="17"/>
  <c r="E68" i="17"/>
  <c r="C160" i="17"/>
  <c r="F48" i="17"/>
  <c r="C161" i="17"/>
  <c r="G36" i="14"/>
  <c r="G38" i="14" s="1"/>
  <c r="G40" i="14" s="1"/>
  <c r="D34" i="12"/>
  <c r="D24" i="8"/>
  <c r="D17" i="8"/>
  <c r="D55" i="22"/>
  <c r="D47" i="22"/>
  <c r="D56" i="22"/>
  <c r="D48" i="22"/>
  <c r="D38" i="22"/>
  <c r="D113" i="22"/>
  <c r="D103" i="18"/>
  <c r="E160" i="17"/>
  <c r="F160" i="17"/>
  <c r="C139" i="17"/>
  <c r="D195" i="17"/>
  <c r="C140" i="17"/>
  <c r="C105" i="17"/>
  <c r="C175" i="17"/>
  <c r="C176" i="17" s="1"/>
  <c r="E254" i="17"/>
  <c r="F254" i="17"/>
  <c r="D42" i="12"/>
  <c r="C34" i="12"/>
  <c r="D49" i="12"/>
  <c r="C42" i="12"/>
  <c r="E34" i="12"/>
  <c r="F34" i="12"/>
  <c r="C46" i="20" l="1"/>
  <c r="E44" i="20"/>
  <c r="F44" i="20"/>
  <c r="C291" i="17"/>
  <c r="D91" i="18"/>
  <c r="D303" i="18"/>
  <c r="E302" i="18"/>
  <c r="C49" i="12"/>
  <c r="E42" i="12"/>
  <c r="F42" i="12" s="1"/>
  <c r="C127" i="17"/>
  <c r="D122" i="10"/>
  <c r="E122" i="10" s="1"/>
  <c r="E113" i="10"/>
  <c r="F113" i="10" s="1"/>
  <c r="E114" i="10"/>
  <c r="F114" i="10"/>
  <c r="E22" i="18"/>
  <c r="E70" i="13"/>
  <c r="E72" i="13" s="1"/>
  <c r="E22" i="13"/>
  <c r="F48" i="5"/>
  <c r="E69" i="13"/>
  <c r="F297" i="17"/>
  <c r="E33" i="18"/>
  <c r="D65" i="18"/>
  <c r="D241" i="18"/>
  <c r="E60" i="18"/>
  <c r="D289" i="18"/>
  <c r="D71" i="18"/>
  <c r="E163" i="18"/>
  <c r="D156" i="18"/>
  <c r="E151" i="18"/>
  <c r="E101" i="22"/>
  <c r="E102" i="22"/>
  <c r="C141" i="17"/>
  <c r="F63" i="9"/>
  <c r="E63" i="9"/>
  <c r="D65" i="11"/>
  <c r="E65" i="11" s="1"/>
  <c r="F65" i="11" s="1"/>
  <c r="E61" i="11"/>
  <c r="F61" i="11" s="1"/>
  <c r="D208" i="17"/>
  <c r="E207" i="17"/>
  <c r="F207" i="17" s="1"/>
  <c r="C288" i="17"/>
  <c r="C289" i="17" s="1"/>
  <c r="E278" i="17"/>
  <c r="F278" i="17"/>
  <c r="C208" i="17"/>
  <c r="E222" i="18"/>
  <c r="D223" i="18"/>
  <c r="F153" i="6"/>
  <c r="F103" i="17"/>
  <c r="E233" i="18"/>
  <c r="C253" i="18"/>
  <c r="E253" i="18" s="1"/>
  <c r="E109" i="22"/>
  <c r="E110" i="22"/>
  <c r="E108" i="22"/>
  <c r="C104" i="17"/>
  <c r="C223" i="18"/>
  <c r="C247" i="18" s="1"/>
  <c r="F48" i="6"/>
  <c r="E41" i="5"/>
  <c r="F41" i="5" s="1"/>
  <c r="E48" i="6"/>
  <c r="C95" i="7"/>
  <c r="E41" i="7"/>
  <c r="F41" i="7" s="1"/>
  <c r="C106" i="17"/>
  <c r="F56" i="11"/>
  <c r="C75" i="11"/>
  <c r="E283" i="17"/>
  <c r="F283" i="17" s="1"/>
  <c r="D287" i="17"/>
  <c r="D146" i="17"/>
  <c r="E146" i="17" s="1"/>
  <c r="F146" i="17" s="1"/>
  <c r="E145" i="17"/>
  <c r="D269" i="17"/>
  <c r="D215" i="17"/>
  <c r="D205" i="17"/>
  <c r="E205" i="17" s="1"/>
  <c r="F205" i="17" s="1"/>
  <c r="D285" i="17"/>
  <c r="E204" i="17"/>
  <c r="F204" i="17" s="1"/>
  <c r="C162" i="17"/>
  <c r="C52" i="6"/>
  <c r="E42" i="6"/>
  <c r="F42" i="6" s="1"/>
  <c r="F166" i="6"/>
  <c r="D180" i="18"/>
  <c r="D234" i="18"/>
  <c r="E234" i="18" s="1"/>
  <c r="D211" i="18"/>
  <c r="E210" i="18"/>
  <c r="E103" i="17"/>
  <c r="F87" i="6"/>
  <c r="C136" i="8"/>
  <c r="C137" i="8"/>
  <c r="C139" i="8"/>
  <c r="E108" i="10"/>
  <c r="F108" i="10"/>
  <c r="D31" i="17"/>
  <c r="E30" i="17"/>
  <c r="F30" i="17" s="1"/>
  <c r="C109" i="22"/>
  <c r="C108" i="22"/>
  <c r="D112" i="8"/>
  <c r="D111" i="8" s="1"/>
  <c r="D28" i="8"/>
  <c r="D99" i="8" s="1"/>
  <c r="D101" i="8" s="1"/>
  <c r="D98" i="8" s="1"/>
  <c r="C210" i="17"/>
  <c r="C62" i="17"/>
  <c r="E30" i="22"/>
  <c r="E21" i="5"/>
  <c r="D35" i="5"/>
  <c r="C135" i="8"/>
  <c r="F277" i="17"/>
  <c r="C284" i="17"/>
  <c r="E280" i="17"/>
  <c r="C111" i="22"/>
  <c r="C46" i="22"/>
  <c r="C30" i="22"/>
  <c r="E87" i="6"/>
  <c r="E140" i="8"/>
  <c r="E139" i="8"/>
  <c r="D139" i="8"/>
  <c r="D135" i="8"/>
  <c r="D137" i="8"/>
  <c r="E23" i="10"/>
  <c r="E60" i="10"/>
  <c r="D282" i="17"/>
  <c r="D266" i="17"/>
  <c r="C290" i="17"/>
  <c r="C274" i="17"/>
  <c r="C199" i="17"/>
  <c r="C200" i="17"/>
  <c r="C217" i="18"/>
  <c r="C241" i="18" s="1"/>
  <c r="E218" i="18"/>
  <c r="C242" i="18"/>
  <c r="E242" i="18" s="1"/>
  <c r="D22" i="8"/>
  <c r="D20" i="8"/>
  <c r="C125" i="17"/>
  <c r="E125" i="17"/>
  <c r="C40" i="22"/>
  <c r="E65" i="4"/>
  <c r="F65" i="4" s="1"/>
  <c r="C138" i="8"/>
  <c r="E181" i="17"/>
  <c r="F181" i="17" s="1"/>
  <c r="F46" i="6"/>
  <c r="C95" i="6"/>
  <c r="E137" i="6"/>
  <c r="F137" i="6" s="1"/>
  <c r="F37" i="15"/>
  <c r="D260" i="18"/>
  <c r="E36" i="22"/>
  <c r="E40" i="22"/>
  <c r="E54" i="22"/>
  <c r="E158" i="8"/>
  <c r="C140" i="8"/>
  <c r="D24" i="13"/>
  <c r="D20" i="13" s="1"/>
  <c r="D17" i="13"/>
  <c r="D28" i="13" s="1"/>
  <c r="F18" i="5"/>
  <c r="C21" i="5"/>
  <c r="D21" i="17"/>
  <c r="F68" i="17"/>
  <c r="F53" i="17"/>
  <c r="E284" i="18"/>
  <c r="E50" i="6"/>
  <c r="F188" i="7"/>
  <c r="C57" i="8"/>
  <c r="C62" i="8" s="1"/>
  <c r="C43" i="8"/>
  <c r="C166" i="8"/>
  <c r="F122" i="10"/>
  <c r="E48" i="13"/>
  <c r="E42" i="13" s="1"/>
  <c r="E59" i="13"/>
  <c r="E61" i="13" s="1"/>
  <c r="E57" i="13" s="1"/>
  <c r="F307" i="17"/>
  <c r="E173" i="18"/>
  <c r="C320" i="18"/>
  <c r="E320" i="18" s="1"/>
  <c r="E316" i="18"/>
  <c r="E326" i="18"/>
  <c r="D330" i="18"/>
  <c r="E330" i="18" s="1"/>
  <c r="C64" i="19"/>
  <c r="C65" i="19" s="1"/>
  <c r="C114" i="19" s="1"/>
  <c r="C116" i="19" s="1"/>
  <c r="C119" i="19" s="1"/>
  <c r="C123" i="19" s="1"/>
  <c r="C49" i="19"/>
  <c r="F280" i="17"/>
  <c r="E41" i="4"/>
  <c r="F41" i="4" s="1"/>
  <c r="F35" i="7"/>
  <c r="E88" i="9"/>
  <c r="F88" i="9" s="1"/>
  <c r="F102" i="17"/>
  <c r="C209" i="17"/>
  <c r="C28" i="8"/>
  <c r="C99" i="8" s="1"/>
  <c r="C101" i="8" s="1"/>
  <c r="C98" i="8" s="1"/>
  <c r="C112" i="8"/>
  <c r="C111" i="8" s="1"/>
  <c r="C102" i="22"/>
  <c r="C103" i="22" s="1"/>
  <c r="C207" i="9"/>
  <c r="C31" i="14"/>
  <c r="H31" i="14" s="1"/>
  <c r="C33" i="14"/>
  <c r="I17" i="14"/>
  <c r="F60" i="17"/>
  <c r="D261" i="18"/>
  <c r="E261" i="18" s="1"/>
  <c r="E188" i="18"/>
  <c r="D175" i="18"/>
  <c r="E175" i="18" s="1"/>
  <c r="D229" i="18"/>
  <c r="E229" i="18" s="1"/>
  <c r="E205" i="18"/>
  <c r="C39" i="20"/>
  <c r="F25" i="20"/>
  <c r="E102" i="17"/>
  <c r="D37" i="22"/>
  <c r="D112" i="22"/>
  <c r="E111" i="22"/>
  <c r="D43" i="4"/>
  <c r="E43" i="4" s="1"/>
  <c r="F43" i="4" s="1"/>
  <c r="E137" i="8"/>
  <c r="D281" i="17"/>
  <c r="C174" i="17"/>
  <c r="E138" i="17"/>
  <c r="F138" i="17" s="1"/>
  <c r="C279" i="17"/>
  <c r="E136" i="8"/>
  <c r="E141" i="8" s="1"/>
  <c r="E124" i="17"/>
  <c r="F124" i="17" s="1"/>
  <c r="E20" i="17"/>
  <c r="F20" i="17" s="1"/>
  <c r="D52" i="6"/>
  <c r="E41" i="6"/>
  <c r="F41" i="6" s="1"/>
  <c r="E85" i="6"/>
  <c r="F85" i="6" s="1"/>
  <c r="E124" i="6"/>
  <c r="F124" i="6" s="1"/>
  <c r="E207" i="9"/>
  <c r="F120" i="10"/>
  <c r="E29" i="17"/>
  <c r="F29" i="17" s="1"/>
  <c r="E307" i="17"/>
  <c r="C33" i="18"/>
  <c r="C295" i="18" s="1"/>
  <c r="E32" i="18"/>
  <c r="C259" i="18"/>
  <c r="C263" i="18" s="1"/>
  <c r="C77" i="18"/>
  <c r="C144" i="18"/>
  <c r="C163" i="18"/>
  <c r="E139" i="18"/>
  <c r="C49" i="17"/>
  <c r="D95" i="6"/>
  <c r="E25" i="8"/>
  <c r="E27" i="8" s="1"/>
  <c r="E15" i="8"/>
  <c r="D61" i="17"/>
  <c r="E60" i="17"/>
  <c r="E298" i="17"/>
  <c r="F298" i="17"/>
  <c r="E40" i="20"/>
  <c r="C22" i="22"/>
  <c r="C34" i="22"/>
  <c r="F25" i="6"/>
  <c r="E188" i="7"/>
  <c r="F153" i="9"/>
  <c r="E153" i="9"/>
  <c r="D75" i="11"/>
  <c r="E75" i="11" s="1"/>
  <c r="F15" i="12"/>
  <c r="E47" i="12"/>
  <c r="F55" i="15"/>
  <c r="F100" i="17"/>
  <c r="E173" i="17"/>
  <c r="F173" i="17" s="1"/>
  <c r="D261" i="17"/>
  <c r="E188" i="17"/>
  <c r="F188" i="17" s="1"/>
  <c r="D199" i="17"/>
  <c r="E199" i="17" s="1"/>
  <c r="D274" i="17"/>
  <c r="E198" i="17"/>
  <c r="F198" i="17" s="1"/>
  <c r="D200" i="17"/>
  <c r="D41" i="20"/>
  <c r="D284" i="17"/>
  <c r="E284" i="17" s="1"/>
  <c r="F56" i="4"/>
  <c r="E30" i="7"/>
  <c r="F30" i="7" s="1"/>
  <c r="F192" i="9"/>
  <c r="F204" i="9"/>
  <c r="F35" i="10"/>
  <c r="F73" i="11"/>
  <c r="F32" i="12"/>
  <c r="C27" i="13"/>
  <c r="E23" i="15"/>
  <c r="F23" i="15" s="1"/>
  <c r="F50" i="15"/>
  <c r="E21" i="16"/>
  <c r="F21" i="16"/>
  <c r="F110" i="17"/>
  <c r="F129" i="17"/>
  <c r="E135" i="17"/>
  <c r="F135" i="17" s="1"/>
  <c r="C262" i="17"/>
  <c r="C255" i="17"/>
  <c r="C190" i="17"/>
  <c r="E220" i="18"/>
  <c r="F19" i="21"/>
  <c r="E29" i="22"/>
  <c r="F49" i="9"/>
  <c r="E140" i="9"/>
  <c r="F140" i="9"/>
  <c r="F95" i="10"/>
  <c r="F115" i="10"/>
  <c r="F88" i="17"/>
  <c r="F101" i="17"/>
  <c r="F295" i="17"/>
  <c r="E42" i="18"/>
  <c r="E174" i="18"/>
  <c r="E101" i="9"/>
  <c r="F101" i="9" s="1"/>
  <c r="E200" i="9"/>
  <c r="F200" i="9" s="1"/>
  <c r="C43" i="11"/>
  <c r="E55" i="18"/>
  <c r="C40" i="20"/>
  <c r="F36" i="20"/>
  <c r="E24" i="7"/>
  <c r="F24" i="7" s="1"/>
  <c r="D166" i="8"/>
  <c r="F109" i="17"/>
  <c r="E299" i="17"/>
  <c r="F299" i="17" s="1"/>
  <c r="F16" i="20"/>
  <c r="D95" i="7"/>
  <c r="C121" i="10"/>
  <c r="E17" i="16"/>
  <c r="F17" i="16" s="1"/>
  <c r="C111" i="17"/>
  <c r="E111" i="17" s="1"/>
  <c r="E295" i="17"/>
  <c r="E19" i="21"/>
  <c r="E35" i="10"/>
  <c r="E77" i="17"/>
  <c r="C193" i="17"/>
  <c r="C44" i="18"/>
  <c r="E45" i="20"/>
  <c r="F45" i="20" s="1"/>
  <c r="C27" i="8"/>
  <c r="E76" i="9"/>
  <c r="F76" i="9" s="1"/>
  <c r="E206" i="9"/>
  <c r="F206" i="9" s="1"/>
  <c r="C61" i="13"/>
  <c r="C57" i="13" s="1"/>
  <c r="F75" i="15"/>
  <c r="E94" i="17"/>
  <c r="F94" i="17" s="1"/>
  <c r="F145" i="17"/>
  <c r="E240" i="18"/>
  <c r="C89" i="17"/>
  <c r="C289" i="18"/>
  <c r="C48" i="13"/>
  <c r="C42" i="13" s="1"/>
  <c r="D156" i="8" l="1"/>
  <c r="D154" i="8"/>
  <c r="D155" i="8"/>
  <c r="D152" i="8"/>
  <c r="D157" i="8"/>
  <c r="D153" i="8"/>
  <c r="E24" i="8"/>
  <c r="E17" i="8"/>
  <c r="C305" i="17"/>
  <c r="C22" i="13"/>
  <c r="C20" i="13"/>
  <c r="C21" i="13"/>
  <c r="C53" i="22"/>
  <c r="C45" i="22"/>
  <c r="C29" i="22"/>
  <c r="C35" i="22"/>
  <c r="C110" i="22"/>
  <c r="C39" i="22"/>
  <c r="C115" i="18"/>
  <c r="C121" i="18"/>
  <c r="C111" i="18"/>
  <c r="C114" i="18"/>
  <c r="C122" i="18"/>
  <c r="C109" i="18"/>
  <c r="C124" i="18"/>
  <c r="C110" i="18"/>
  <c r="C116" i="18" s="1"/>
  <c r="C113" i="18"/>
  <c r="C127" i="18"/>
  <c r="C112" i="18"/>
  <c r="C125" i="18"/>
  <c r="C123" i="18"/>
  <c r="C126" i="18"/>
  <c r="F39" i="20"/>
  <c r="C41" i="20"/>
  <c r="F41" i="20" s="1"/>
  <c r="F49" i="12"/>
  <c r="E95" i="6"/>
  <c r="I33" i="14"/>
  <c r="I36" i="14" s="1"/>
  <c r="I38" i="14" s="1"/>
  <c r="I40" i="14" s="1"/>
  <c r="C36" i="14"/>
  <c r="C38" i="14" s="1"/>
  <c r="C40" i="14" s="1"/>
  <c r="H33" i="14"/>
  <c r="H36" i="14" s="1"/>
  <c r="H38" i="14" s="1"/>
  <c r="H40" i="14" s="1"/>
  <c r="E56" i="22"/>
  <c r="E38" i="22"/>
  <c r="E48" i="22"/>
  <c r="E113" i="22"/>
  <c r="F40" i="20"/>
  <c r="C300" i="17"/>
  <c r="C63" i="17"/>
  <c r="E71" i="18"/>
  <c r="D76" i="18"/>
  <c r="E89" i="17"/>
  <c r="F89" i="17"/>
  <c r="C91" i="17"/>
  <c r="C20" i="8"/>
  <c r="C22" i="8"/>
  <c r="C21" i="8"/>
  <c r="E121" i="10"/>
  <c r="F121" i="10" s="1"/>
  <c r="E200" i="17"/>
  <c r="I31" i="14"/>
  <c r="C254" i="18"/>
  <c r="E254" i="18" s="1"/>
  <c r="C141" i="8"/>
  <c r="E285" i="17"/>
  <c r="F285" i="17" s="1"/>
  <c r="D288" i="17"/>
  <c r="E288" i="17" s="1"/>
  <c r="D286" i="17"/>
  <c r="E286" i="17" s="1"/>
  <c r="F286" i="17" s="1"/>
  <c r="E65" i="18"/>
  <c r="D294" i="18"/>
  <c r="E294" i="18" s="1"/>
  <c r="D66" i="18"/>
  <c r="D247" i="18" s="1"/>
  <c r="E247" i="18" s="1"/>
  <c r="D246" i="18"/>
  <c r="E246" i="18" s="1"/>
  <c r="C180" i="18"/>
  <c r="E180" i="18" s="1"/>
  <c r="E144" i="18"/>
  <c r="C145" i="18"/>
  <c r="C168" i="18"/>
  <c r="C155" i="8"/>
  <c r="C156" i="8"/>
  <c r="C157" i="8"/>
  <c r="C152" i="8"/>
  <c r="C154" i="8"/>
  <c r="C153" i="8"/>
  <c r="D43" i="5"/>
  <c r="F199" i="17"/>
  <c r="D270" i="17"/>
  <c r="E270" i="17" s="1"/>
  <c r="F270" i="17" s="1"/>
  <c r="D272" i="17"/>
  <c r="E269" i="17"/>
  <c r="F269" i="17" s="1"/>
  <c r="F288" i="17"/>
  <c r="D32" i="17"/>
  <c r="E31" i="17"/>
  <c r="F31" i="17" s="1"/>
  <c r="E39" i="20"/>
  <c r="E41" i="20" s="1"/>
  <c r="C50" i="17"/>
  <c r="E279" i="17"/>
  <c r="F279" i="17" s="1"/>
  <c r="F290" i="17"/>
  <c r="F284" i="17"/>
  <c r="E223" i="18"/>
  <c r="E208" i="17"/>
  <c r="F208" i="17" s="1"/>
  <c r="C211" i="17"/>
  <c r="C322" i="17"/>
  <c r="E289" i="18"/>
  <c r="C38" i="22"/>
  <c r="C48" i="22"/>
  <c r="C56" i="22"/>
  <c r="C113" i="22"/>
  <c r="C263" i="17"/>
  <c r="C272" i="17"/>
  <c r="E215" i="17"/>
  <c r="F215" i="17" s="1"/>
  <c r="D216" i="17"/>
  <c r="E216" i="17" s="1"/>
  <c r="F216" i="17" s="1"/>
  <c r="D255" i="17"/>
  <c r="E255" i="17" s="1"/>
  <c r="F255" i="17" s="1"/>
  <c r="F104" i="17"/>
  <c r="E262" i="17"/>
  <c r="F262" i="17" s="1"/>
  <c r="E47" i="22"/>
  <c r="E55" i="22"/>
  <c r="E37" i="22"/>
  <c r="E112" i="22"/>
  <c r="C90" i="17"/>
  <c r="E52" i="6"/>
  <c r="F52" i="6" s="1"/>
  <c r="F207" i="9"/>
  <c r="D70" i="13"/>
  <c r="D72" i="13" s="1"/>
  <c r="D69" i="13" s="1"/>
  <c r="D22" i="13"/>
  <c r="E260" i="18"/>
  <c r="D265" i="17"/>
  <c r="D235" i="18"/>
  <c r="E235" i="18" s="1"/>
  <c r="E211" i="18"/>
  <c r="D181" i="18"/>
  <c r="C323" i="17"/>
  <c r="C183" i="17"/>
  <c r="D291" i="17"/>
  <c r="D289" i="17"/>
  <c r="E289" i="17" s="1"/>
  <c r="F289" i="17" s="1"/>
  <c r="E287" i="17"/>
  <c r="F287" i="17" s="1"/>
  <c r="E49" i="12"/>
  <c r="E290" i="17"/>
  <c r="D105" i="18"/>
  <c r="E190" i="17"/>
  <c r="F190" i="17" s="1"/>
  <c r="F111" i="17"/>
  <c r="F95" i="6"/>
  <c r="C95" i="18"/>
  <c r="C87" i="18"/>
  <c r="E87" i="18" s="1"/>
  <c r="C88" i="18"/>
  <c r="E88" i="18" s="1"/>
  <c r="C85" i="18"/>
  <c r="E85" i="18" s="1"/>
  <c r="C86" i="18"/>
  <c r="E86" i="18" s="1"/>
  <c r="C83" i="18"/>
  <c r="C101" i="18"/>
  <c r="E101" i="18" s="1"/>
  <c r="E44" i="18"/>
  <c r="C84" i="18"/>
  <c r="C98" i="18"/>
  <c r="E98" i="18" s="1"/>
  <c r="C89" i="18"/>
  <c r="E89" i="18" s="1"/>
  <c r="C99" i="18"/>
  <c r="E99" i="18" s="1"/>
  <c r="C96" i="18"/>
  <c r="C258" i="18"/>
  <c r="C97" i="18"/>
  <c r="E97" i="18" s="1"/>
  <c r="C100" i="18"/>
  <c r="E100" i="18" s="1"/>
  <c r="E274" i="17"/>
  <c r="F274" i="17" s="1"/>
  <c r="D300" i="17"/>
  <c r="E300" i="17" s="1"/>
  <c r="E20" i="8"/>
  <c r="E21" i="8"/>
  <c r="F200" i="17"/>
  <c r="D157" i="18"/>
  <c r="E156" i="18"/>
  <c r="D168" i="18"/>
  <c r="E168" i="18" s="1"/>
  <c r="C282" i="17"/>
  <c r="C194" i="17"/>
  <c r="F193" i="17"/>
  <c r="C266" i="17"/>
  <c r="E193" i="17"/>
  <c r="E46" i="20"/>
  <c r="F46" i="20" s="1"/>
  <c r="E21" i="17"/>
  <c r="F21" i="17" s="1"/>
  <c r="D126" i="17"/>
  <c r="D91" i="17"/>
  <c r="D161" i="17"/>
  <c r="D196" i="17"/>
  <c r="D49" i="17"/>
  <c r="D141" i="8"/>
  <c r="F75" i="11"/>
  <c r="E95" i="7"/>
  <c r="F95" i="7" s="1"/>
  <c r="F21" i="5"/>
  <c r="C35" i="5"/>
  <c r="E35" i="5" s="1"/>
  <c r="F125" i="17"/>
  <c r="D306" i="18"/>
  <c r="E303" i="18"/>
  <c r="D268" i="17"/>
  <c r="E268" i="17" s="1"/>
  <c r="F268" i="17" s="1"/>
  <c r="D263" i="17"/>
  <c r="D271" i="17"/>
  <c r="E261" i="17"/>
  <c r="F261" i="17" s="1"/>
  <c r="E43" i="11"/>
  <c r="F43" i="11"/>
  <c r="E217" i="18"/>
  <c r="D104" i="17"/>
  <c r="E104" i="17" s="1"/>
  <c r="E61" i="17"/>
  <c r="F61" i="17" s="1"/>
  <c r="D139" i="17"/>
  <c r="E139" i="17" s="1"/>
  <c r="F139" i="17" s="1"/>
  <c r="D174" i="17"/>
  <c r="E174" i="17" s="1"/>
  <c r="D209" i="17"/>
  <c r="E209" i="17" s="1"/>
  <c r="F209" i="17" s="1"/>
  <c r="F174" i="17"/>
  <c r="E282" i="17"/>
  <c r="E103" i="22"/>
  <c r="E241" i="18"/>
  <c r="C197" i="17"/>
  <c r="C148" i="17"/>
  <c r="D197" i="17" l="1"/>
  <c r="E197" i="17" s="1"/>
  <c r="C129" i="18"/>
  <c r="E161" i="17"/>
  <c r="F161" i="17" s="1"/>
  <c r="D162" i="17"/>
  <c r="E181" i="18"/>
  <c r="C158" i="8"/>
  <c r="E91" i="17"/>
  <c r="D92" i="17"/>
  <c r="E272" i="17"/>
  <c r="F300" i="17"/>
  <c r="D50" i="17"/>
  <c r="E49" i="17"/>
  <c r="F49" i="17" s="1"/>
  <c r="C265" i="17"/>
  <c r="C102" i="18"/>
  <c r="E102" i="18" s="1"/>
  <c r="E96" i="18"/>
  <c r="D175" i="17"/>
  <c r="D62" i="17"/>
  <c r="E32" i="17"/>
  <c r="F32" i="17" s="1"/>
  <c r="D105" i="17"/>
  <c r="D140" i="17"/>
  <c r="D210" i="17"/>
  <c r="E76" i="18"/>
  <c r="D259" i="18"/>
  <c r="D77" i="18"/>
  <c r="F272" i="17"/>
  <c r="C273" i="17"/>
  <c r="C281" i="17"/>
  <c r="F282" i="17"/>
  <c r="D158" i="8"/>
  <c r="E84" i="18"/>
  <c r="C90" i="18"/>
  <c r="E90" i="18" s="1"/>
  <c r="E266" i="17"/>
  <c r="F266" i="17" s="1"/>
  <c r="E90" i="17"/>
  <c r="F90" i="17" s="1"/>
  <c r="C70" i="17"/>
  <c r="C92" i="17"/>
  <c r="F91" i="17"/>
  <c r="C117" i="18"/>
  <c r="C131" i="18" s="1"/>
  <c r="D310" i="18"/>
  <c r="E310" i="18" s="1"/>
  <c r="E306" i="18"/>
  <c r="C195" i="17"/>
  <c r="E194" i="17"/>
  <c r="F194" i="17" s="1"/>
  <c r="C196" i="17"/>
  <c r="E126" i="17"/>
  <c r="F126" i="17" s="1"/>
  <c r="D127" i="17"/>
  <c r="E95" i="18"/>
  <c r="C103" i="18"/>
  <c r="E103" i="18" s="1"/>
  <c r="C309" i="17"/>
  <c r="E265" i="17"/>
  <c r="C128" i="18"/>
  <c r="C112" i="22"/>
  <c r="C47" i="22"/>
  <c r="C55" i="22"/>
  <c r="C37" i="22"/>
  <c r="E112" i="8"/>
  <c r="E111" i="8" s="1"/>
  <c r="E28" i="8"/>
  <c r="F35" i="5"/>
  <c r="C43" i="5"/>
  <c r="E66" i="18"/>
  <c r="D295" i="18"/>
  <c r="E295" i="18" s="1"/>
  <c r="E271" i="17"/>
  <c r="F271" i="17" s="1"/>
  <c r="D304" i="17"/>
  <c r="D273" i="17"/>
  <c r="F197" i="17"/>
  <c r="E263" i="17"/>
  <c r="F263" i="17" s="1"/>
  <c r="E157" i="18"/>
  <c r="D169" i="18"/>
  <c r="E169" i="18" s="1"/>
  <c r="E291" i="17"/>
  <c r="F291" i="17" s="1"/>
  <c r="D305" i="17"/>
  <c r="C264" i="18"/>
  <c r="C266" i="18" s="1"/>
  <c r="C267" i="18" s="1"/>
  <c r="E258" i="18"/>
  <c r="C91" i="18"/>
  <c r="E83" i="18"/>
  <c r="D50" i="5"/>
  <c r="C169" i="18"/>
  <c r="E145" i="18"/>
  <c r="C181" i="18"/>
  <c r="C269" i="18" l="1"/>
  <c r="C268" i="18"/>
  <c r="C271" i="18" s="1"/>
  <c r="E50" i="17"/>
  <c r="F50" i="17" s="1"/>
  <c r="C50" i="5"/>
  <c r="E50" i="5"/>
  <c r="C310" i="17"/>
  <c r="E105" i="17"/>
  <c r="F105" i="17" s="1"/>
  <c r="D106" i="17"/>
  <c r="E106" i="17" s="1"/>
  <c r="F106" i="17" s="1"/>
  <c r="E273" i="17"/>
  <c r="F196" i="17"/>
  <c r="C113" i="17"/>
  <c r="C324" i="17"/>
  <c r="F92" i="17"/>
  <c r="E92" i="17"/>
  <c r="F273" i="17"/>
  <c r="E162" i="17"/>
  <c r="F162" i="17" s="1"/>
  <c r="D125" i="18"/>
  <c r="E125" i="18" s="1"/>
  <c r="D123" i="18"/>
  <c r="E123" i="18" s="1"/>
  <c r="D126" i="18"/>
  <c r="E126" i="18" s="1"/>
  <c r="D121" i="18"/>
  <c r="D124" i="18"/>
  <c r="E124" i="18" s="1"/>
  <c r="D109" i="18"/>
  <c r="D114" i="18"/>
  <c r="E114" i="18" s="1"/>
  <c r="D122" i="18"/>
  <c r="D112" i="18"/>
  <c r="E112" i="18" s="1"/>
  <c r="D115" i="18"/>
  <c r="E115" i="18" s="1"/>
  <c r="E77" i="18"/>
  <c r="D113" i="18"/>
  <c r="E113" i="18" s="1"/>
  <c r="D110" i="18"/>
  <c r="D111" i="18"/>
  <c r="E111" i="18" s="1"/>
  <c r="D127" i="18"/>
  <c r="E127" i="18" s="1"/>
  <c r="D211" i="17"/>
  <c r="E211" i="17" s="1"/>
  <c r="F211" i="17" s="1"/>
  <c r="E210" i="17"/>
  <c r="F210" i="17" s="1"/>
  <c r="E62" i="17"/>
  <c r="F62" i="17" s="1"/>
  <c r="D63" i="17"/>
  <c r="E63" i="17" s="1"/>
  <c r="F63" i="17" s="1"/>
  <c r="C105" i="18"/>
  <c r="E105" i="18" s="1"/>
  <c r="E91" i="18"/>
  <c r="E127" i="17"/>
  <c r="F127" i="17" s="1"/>
  <c r="D176" i="17"/>
  <c r="E176" i="17" s="1"/>
  <c r="F176" i="17" s="1"/>
  <c r="E175" i="17"/>
  <c r="F175" i="17" s="1"/>
  <c r="D263" i="18"/>
  <c r="E259" i="18"/>
  <c r="E304" i="17"/>
  <c r="F304" i="17" s="1"/>
  <c r="E43" i="5"/>
  <c r="F43" i="5" s="1"/>
  <c r="D309" i="17"/>
  <c r="E309" i="17" s="1"/>
  <c r="F309" i="17" s="1"/>
  <c r="E305" i="17"/>
  <c r="F305" i="17" s="1"/>
  <c r="E99" i="8"/>
  <c r="E101" i="8" s="1"/>
  <c r="E98" i="8" s="1"/>
  <c r="E22" i="8"/>
  <c r="E195" i="17"/>
  <c r="F195" i="17"/>
  <c r="E281" i="17"/>
  <c r="F281" i="17" s="1"/>
  <c r="D141" i="17"/>
  <c r="E140" i="17"/>
  <c r="F140" i="17" s="1"/>
  <c r="F265" i="17"/>
  <c r="E196" i="17"/>
  <c r="E141" i="17" l="1"/>
  <c r="F141" i="17" s="1"/>
  <c r="D322" i="17"/>
  <c r="E322" i="17" s="1"/>
  <c r="F322" i="17" s="1"/>
  <c r="D183" i="17"/>
  <c r="E183" i="17" s="1"/>
  <c r="F183" i="17" s="1"/>
  <c r="D116" i="18"/>
  <c r="E116" i="18" s="1"/>
  <c r="E110" i="18"/>
  <c r="C325" i="17"/>
  <c r="D117" i="18"/>
  <c r="E109" i="18"/>
  <c r="D310" i="17"/>
  <c r="E121" i="18"/>
  <c r="D70" i="17"/>
  <c r="E70" i="17" s="1"/>
  <c r="F70" i="17" s="1"/>
  <c r="E122" i="18"/>
  <c r="D128" i="18"/>
  <c r="E128" i="18" s="1"/>
  <c r="D148" i="17"/>
  <c r="E148" i="17" s="1"/>
  <c r="F148" i="17" s="1"/>
  <c r="D323" i="17"/>
  <c r="E323" i="17" s="1"/>
  <c r="F323" i="17" s="1"/>
  <c r="D324" i="17"/>
  <c r="F50" i="5"/>
  <c r="E263" i="18"/>
  <c r="D264" i="18"/>
  <c r="D113" i="17"/>
  <c r="E113" i="17" s="1"/>
  <c r="F113" i="17" s="1"/>
  <c r="C312" i="17"/>
  <c r="E117" i="18" l="1"/>
  <c r="D129" i="18"/>
  <c r="E129" i="18" s="1"/>
  <c r="E264" i="18"/>
  <c r="D266" i="18"/>
  <c r="D325" i="17"/>
  <c r="E325" i="17" s="1"/>
  <c r="F325" i="17" s="1"/>
  <c r="E324" i="17"/>
  <c r="F324" i="17" s="1"/>
  <c r="D312" i="17"/>
  <c r="E310" i="17"/>
  <c r="F310" i="17" s="1"/>
  <c r="C313" i="17"/>
  <c r="D267" i="18" l="1"/>
  <c r="E266" i="18"/>
  <c r="C251" i="17"/>
  <c r="C314" i="17"/>
  <c r="C315" i="17"/>
  <c r="C256" i="17"/>
  <c r="E312" i="17"/>
  <c r="F312" i="17" s="1"/>
  <c r="D313" i="17"/>
  <c r="D131" i="18"/>
  <c r="E131" i="18" s="1"/>
  <c r="C318" i="17" l="1"/>
  <c r="C257" i="17"/>
  <c r="F315" i="17"/>
  <c r="D251" i="17"/>
  <c r="E251" i="17" s="1"/>
  <c r="F251" i="17" s="1"/>
  <c r="D256" i="17"/>
  <c r="D315" i="17"/>
  <c r="E315" i="17" s="1"/>
  <c r="D314" i="17"/>
  <c r="E313" i="17"/>
  <c r="F313" i="17" s="1"/>
  <c r="E267" i="18"/>
  <c r="D269" i="18"/>
  <c r="E269" i="18" s="1"/>
  <c r="D268" i="18"/>
  <c r="E256" i="17" l="1"/>
  <c r="F256" i="17" s="1"/>
  <c r="D257" i="17"/>
  <c r="E257" i="17" s="1"/>
  <c r="F257" i="17" s="1"/>
  <c r="D271" i="18"/>
  <c r="E271" i="18" s="1"/>
  <c r="E268" i="18"/>
  <c r="E314" i="17"/>
  <c r="F314" i="17" s="1"/>
  <c r="D318" i="17"/>
  <c r="E318" i="17" s="1"/>
  <c r="F318" i="17" s="1"/>
</calcChain>
</file>

<file path=xl/sharedStrings.xml><?xml version="1.0" encoding="utf-8"?>
<sst xmlns="http://schemas.openxmlformats.org/spreadsheetml/2006/main" count="2333" uniqueCount="1008">
  <si>
    <t>JOHN DEMPSEY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</si>
  <si>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</si>
  <si>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</si>
  <si>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</si>
  <si>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</si>
  <si>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</si>
  <si>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</si>
  <si>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</si>
  <si>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</si>
  <si>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</si>
  <si>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</si>
  <si>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</si>
  <si>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</si>
  <si>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</si>
  <si>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</si>
  <si>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</si>
  <si>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</si>
  <si>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</si>
  <si>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</si>
  <si>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</si>
  <si>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</si>
  <si>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</si>
  <si>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</si>
  <si>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</si>
  <si>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</si>
  <si>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</si>
  <si>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</si>
  <si>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</si>
  <si>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</si>
  <si>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</si>
  <si>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</si>
  <si>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</si>
  <si>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</si>
  <si>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</si>
  <si>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</si>
  <si>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</si>
  <si>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</si>
  <si>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</si>
  <si>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</si>
  <si>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</si>
  <si>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</si>
  <si>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</si>
  <si>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</si>
  <si>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</si>
  <si>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</si>
  <si>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</si>
  <si>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</si>
  <si>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</si>
  <si>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</si>
  <si>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</si>
  <si>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</si>
  <si>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</si>
  <si>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</si>
  <si>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</si>
  <si>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</si>
  <si>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</si>
  <si>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</si>
  <si>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</si>
  <si>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</si>
  <si>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</si>
  <si>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</si>
  <si>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</si>
  <si>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</si>
  <si>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</si>
  <si>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</si>
  <si>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</si>
  <si>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</si>
  <si>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</si>
  <si>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</si>
  <si>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</si>
  <si>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</si>
  <si>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</si>
  <si>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</si>
  <si>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</si>
  <si>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</si>
  <si>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</si>
  <si>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</si>
  <si>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</si>
  <si>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</si>
  <si>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</si>
  <si>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</si>
  <si>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</si>
  <si>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</si>
  <si>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</si>
  <si>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</si>
  <si>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</si>
  <si>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</si>
  <si>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</si>
  <si>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</si>
  <si>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</si>
  <si>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</si>
  <si>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</si>
  <si>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</si>
  <si>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</si>
  <si>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</si>
  <si>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</si>
  <si>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</si>
  <si>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</si>
  <si>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</si>
  <si>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</si>
  <si>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</si>
  <si>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</si>
  <si>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</si>
  <si>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</si>
  <si>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</si>
  <si>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</si>
  <si>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</si>
  <si>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</si>
  <si>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</si>
  <si>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</si>
  <si>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</si>
  <si>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</si>
  <si>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</si>
  <si>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</si>
  <si>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</si>
  <si>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</si>
  <si>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</si>
  <si>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</si>
  <si>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</si>
  <si>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</si>
  <si>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</si>
  <si>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</si>
  <si>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</si>
  <si>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</si>
  <si>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</si>
  <si>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</si>
  <si>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</si>
  <si>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</si>
  <si>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</si>
  <si>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</si>
  <si>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</si>
  <si>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</si>
  <si>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</si>
  <si>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</si>
  <si>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</si>
  <si>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</si>
  <si>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</si>
  <si>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</si>
  <si>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</si>
  <si>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</si>
  <si>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</si>
  <si>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</si>
  <si>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</si>
  <si>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</si>
  <si>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</si>
  <si>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</si>
  <si>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</si>
  <si>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</si>
  <si>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</si>
  <si>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</si>
  <si>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</si>
  <si>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</si>
  <si>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</si>
  <si>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</si>
  <si>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</si>
  <si>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</si>
  <si>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</si>
  <si>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</si>
  <si>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</si>
  <si>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</si>
  <si>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</si>
  <si>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</si>
  <si>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</si>
  <si>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</si>
  <si>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</si>
  <si>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</si>
  <si>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</si>
  <si>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</si>
  <si>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</si>
  <si>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</si>
  <si>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</si>
  <si>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</si>
  <si>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</si>
  <si>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</si>
  <si>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</si>
  <si>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</si>
  <si>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</si>
  <si>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</si>
  <si>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</si>
  <si>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</si>
  <si>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</si>
  <si>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</si>
  <si>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</si>
  <si>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</si>
  <si>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</si>
  <si>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</si>
  <si>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</si>
  <si>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</si>
  <si>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</si>
  <si>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</si>
  <si>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</si>
  <si>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</si>
  <si>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</si>
  <si>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</si>
  <si>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</si>
  <si>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</si>
  <si>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</si>
  <si>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</si>
  <si>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</si>
  <si>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</si>
  <si>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</si>
  <si>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</si>
  <si>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</si>
  <si>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</si>
  <si>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</si>
  <si>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</si>
  <si>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</si>
  <si>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</si>
  <si>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</si>
  <si>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</si>
  <si>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</si>
  <si>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</si>
  <si>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</si>
  <si>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</si>
  <si>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</si>
  <si>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</si>
  <si>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</si>
  <si>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</si>
  <si>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</si>
  <si>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</si>
  <si>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</si>
  <si>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</si>
  <si>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</si>
  <si>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</si>
  <si>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</si>
  <si>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</si>
  <si>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</si>
  <si>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</si>
  <si>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</si>
  <si>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</si>
  <si>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</si>
  <si>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</si>
  <si>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</si>
  <si>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</si>
  <si>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</si>
  <si>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</si>
  <si>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</si>
  <si>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</si>
  <si>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</si>
  <si>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</si>
  <si>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</si>
  <si>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</si>
  <si>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</si>
  <si>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</si>
  <si>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</si>
  <si>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</si>
  <si>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</si>
  <si>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</si>
  <si>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</si>
  <si>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</si>
  <si>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</si>
  <si>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</si>
  <si>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</si>
  <si>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</si>
  <si>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</si>
  <si>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</si>
  <si>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</si>
  <si>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</si>
  <si>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</si>
  <si>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</si>
  <si>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</si>
  <si>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</si>
  <si>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</si>
  <si>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</si>
  <si>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</si>
  <si>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</si>
  <si>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</si>
  <si>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</si>
  <si>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</si>
  <si>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</si>
  <si>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</si>
  <si>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</si>
  <si>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</si>
  <si>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</si>
  <si>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</si>
  <si>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</si>
  <si>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</si>
  <si>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</si>
  <si>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</si>
  <si>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</si>
  <si>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</si>
  <si>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</si>
  <si>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</si>
  <si>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</si>
  <si>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</si>
  <si>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</si>
  <si>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</si>
  <si>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</si>
  <si>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</si>
  <si>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</si>
  <si>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</si>
  <si>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</si>
  <si>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</si>
  <si>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</si>
  <si>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</si>
  <si>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</si>
  <si>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</si>
  <si>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</si>
  <si>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</si>
  <si>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</si>
  <si>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</si>
  <si>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</si>
  <si>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</si>
  <si>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</si>
  <si>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</si>
  <si>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</si>
  <si>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</si>
  <si>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</si>
  <si>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</si>
  <si>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</si>
  <si>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</si>
  <si>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</si>
  <si>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</si>
  <si>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</si>
  <si>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</si>
  <si>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</si>
  <si>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</si>
  <si>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</si>
  <si>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</si>
  <si>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</si>
  <si>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</si>
  <si>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</si>
  <si>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</si>
  <si>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</si>
  <si>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</si>
  <si>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</si>
  <si>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</si>
  <si>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</si>
  <si>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</si>
  <si>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</si>
  <si>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</si>
  <si>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</si>
  <si>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</si>
  <si>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</si>
  <si>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</si>
  <si>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</si>
  <si>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</si>
  <si>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</si>
  <si>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</si>
  <si>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</si>
  <si>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</si>
  <si>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</si>
  <si>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</si>
  <si>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</si>
  <si>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</si>
  <si>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</si>
  <si>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</si>
  <si>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</si>
  <si>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</si>
  <si>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</si>
  <si>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</si>
  <si>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</si>
  <si>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</si>
  <si>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</si>
  <si>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</si>
  <si>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</si>
  <si>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</si>
  <si>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</si>
  <si>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</si>
  <si>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</si>
  <si>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</si>
  <si>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</si>
  <si>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</si>
  <si>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</si>
  <si>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</si>
  <si>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</si>
  <si>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</si>
  <si>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</si>
  <si>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</si>
  <si>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</si>
  <si>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</si>
  <si>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</si>
  <si>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</si>
  <si>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</si>
  <si>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</si>
  <si>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</si>
  <si>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</si>
  <si>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</si>
  <si>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</si>
  <si>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</si>
  <si>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</si>
  <si>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</si>
  <si>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</si>
  <si>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</si>
  <si>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</si>
  <si>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</si>
  <si>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</si>
  <si>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</si>
  <si>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</si>
  <si>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</si>
  <si>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</si>
  <si>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</si>
  <si>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</si>
  <si>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</si>
  <si>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</si>
  <si>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</si>
  <si>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</si>
  <si>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</si>
  <si>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</si>
  <si>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</si>
  <si>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</si>
  <si>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</si>
  <si>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</si>
  <si>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</si>
  <si>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</si>
  <si>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</si>
  <si>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</si>
  <si>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</si>
  <si>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</si>
  <si>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</si>
  <si>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</si>
  <si>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</si>
  <si>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</si>
  <si>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</si>
  <si>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</si>
  <si>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</si>
  <si>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</si>
  <si>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</si>
  <si>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</si>
  <si>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</si>
  <si>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</si>
  <si>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</si>
  <si>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</si>
  <si>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</si>
  <si>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</si>
  <si>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</si>
  <si>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</si>
  <si>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</si>
  <si>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</si>
  <si>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</si>
  <si>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</si>
  <si>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</si>
  <si>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</si>
  <si>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</si>
  <si>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</si>
  <si>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</si>
  <si>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</si>
  <si>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</si>
  <si>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</si>
  <si>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</si>
  <si>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</si>
  <si>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</si>
  <si>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</si>
  <si>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</si>
  <si>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</si>
  <si>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</si>
  <si>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</si>
  <si>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</si>
  <si>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</si>
  <si>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</si>
  <si>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</si>
  <si>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</si>
  <si>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</si>
  <si>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</si>
  <si>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</si>
  <si>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</si>
  <si>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</si>
  <si>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</si>
  <si>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</si>
  <si>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</si>
  <si>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</si>
  <si>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</si>
  <si>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</si>
  <si>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</si>
  <si>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</si>
  <si>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</si>
  <si>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</si>
  <si>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</si>
  <si>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</si>
  <si>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</si>
  <si>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</si>
  <si>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</si>
  <si>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</si>
  <si>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</si>
  <si>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</si>
  <si>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</si>
  <si>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</si>
  <si>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</si>
  <si>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</si>
  <si>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</si>
  <si>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</si>
  <si>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</si>
  <si>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</si>
  <si>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</si>
  <si>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</si>
  <si>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</si>
  <si>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</si>
  <si>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</si>
  <si>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</si>
  <si>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</si>
  <si>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</si>
  <si>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</si>
  <si>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</si>
  <si>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</si>
  <si>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</si>
  <si>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</si>
  <si>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</si>
  <si>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</si>
  <si>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</si>
  <si>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</si>
  <si>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UNIVERSITY OF CONNECTICUT HEALTH CENTER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</si>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</sst>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0</v>
      </c>
      <c r="E13" s="22">
        <f t="shared" ref="E13:E22" si="0">D13-C13</f>
        <v>0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31531470</v>
      </c>
      <c r="D15" s="22">
        <v>37017707</v>
      </c>
      <c r="E15" s="22">
        <f t="shared" si="0"/>
        <v>5486237</v>
      </c>
      <c r="F15" s="23">
        <f t="shared" si="1"/>
        <v>0.17399242724807945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7586687</v>
      </c>
      <c r="D19" s="22">
        <v>8234194</v>
      </c>
      <c r="E19" s="22">
        <f t="shared" si="0"/>
        <v>647507</v>
      </c>
      <c r="F19" s="23">
        <f t="shared" si="1"/>
        <v>8.5347794103012284E-2</v>
      </c>
    </row>
    <row r="20" spans="1:11" ht="24" customHeight="1" x14ac:dyDescent="0.2">
      <c r="A20" s="20">
        <v>8</v>
      </c>
      <c r="B20" s="21" t="s">
        <v>23</v>
      </c>
      <c r="C20" s="22">
        <v>3522933</v>
      </c>
      <c r="D20" s="22">
        <v>3296041</v>
      </c>
      <c r="E20" s="22">
        <f t="shared" si="0"/>
        <v>-226892</v>
      </c>
      <c r="F20" s="23">
        <f t="shared" si="1"/>
        <v>-6.4404290402343731E-2</v>
      </c>
    </row>
    <row r="21" spans="1:11" ht="24" customHeight="1" x14ac:dyDescent="0.2">
      <c r="A21" s="20">
        <v>9</v>
      </c>
      <c r="B21" s="21" t="s">
        <v>24</v>
      </c>
      <c r="C21" s="22">
        <v>5570790</v>
      </c>
      <c r="D21" s="22">
        <v>5986596</v>
      </c>
      <c r="E21" s="22">
        <f t="shared" si="0"/>
        <v>415806</v>
      </c>
      <c r="F21" s="23">
        <f t="shared" si="1"/>
        <v>7.4640401092125178E-2</v>
      </c>
    </row>
    <row r="22" spans="1:11" ht="24" customHeight="1" x14ac:dyDescent="0.25">
      <c r="A22" s="24"/>
      <c r="B22" s="25" t="s">
        <v>25</v>
      </c>
      <c r="C22" s="26">
        <f>SUM(C13:C21)</f>
        <v>48211880</v>
      </c>
      <c r="D22" s="26">
        <f>SUM(D13:D21)</f>
        <v>54534538</v>
      </c>
      <c r="E22" s="26">
        <f t="shared" si="0"/>
        <v>6322658</v>
      </c>
      <c r="F22" s="27">
        <f t="shared" si="1"/>
        <v>0.13114315392803599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9619354</v>
      </c>
      <c r="D33" s="22">
        <v>17341455</v>
      </c>
      <c r="E33" s="22">
        <f>D33-C33</f>
        <v>7722101</v>
      </c>
      <c r="F33" s="23">
        <f>IF(C33=0,0,E33/C33)</f>
        <v>0.80276710889317515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193913543</v>
      </c>
      <c r="D36" s="22">
        <v>196639038</v>
      </c>
      <c r="E36" s="22">
        <f>D36-C36</f>
        <v>2725495</v>
      </c>
      <c r="F36" s="23">
        <f>IF(C36=0,0,E36/C36)</f>
        <v>1.4055207067203141E-2</v>
      </c>
    </row>
    <row r="37" spans="1:8" ht="24" customHeight="1" x14ac:dyDescent="0.2">
      <c r="A37" s="20">
        <v>2</v>
      </c>
      <c r="B37" s="21" t="s">
        <v>39</v>
      </c>
      <c r="C37" s="22">
        <v>147249097</v>
      </c>
      <c r="D37" s="22">
        <v>153753524</v>
      </c>
      <c r="E37" s="22">
        <f>D37-C37</f>
        <v>6504427</v>
      </c>
      <c r="F37" s="23">
        <f>IF(C37=0,0,E37/C37)</f>
        <v>4.4172950004576259E-2</v>
      </c>
    </row>
    <row r="38" spans="1:8" ht="24" customHeight="1" x14ac:dyDescent="0.25">
      <c r="A38" s="24"/>
      <c r="B38" s="25" t="s">
        <v>40</v>
      </c>
      <c r="C38" s="26">
        <f>C36-C37</f>
        <v>46664446</v>
      </c>
      <c r="D38" s="26">
        <f>D36-D37</f>
        <v>42885514</v>
      </c>
      <c r="E38" s="26">
        <f>D38-C38</f>
        <v>-3778932</v>
      </c>
      <c r="F38" s="27">
        <f>IF(C38=0,0,E38/C38)</f>
        <v>-8.0980967822911684E-2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11253841</v>
      </c>
      <c r="D40" s="22">
        <v>12904730</v>
      </c>
      <c r="E40" s="22">
        <f>D40-C40</f>
        <v>1650889</v>
      </c>
      <c r="F40" s="23">
        <f>IF(C40=0,0,E40/C40)</f>
        <v>0.14669560374986637</v>
      </c>
    </row>
    <row r="41" spans="1:8" ht="24" customHeight="1" x14ac:dyDescent="0.25">
      <c r="A41" s="24"/>
      <c r="B41" s="25" t="s">
        <v>42</v>
      </c>
      <c r="C41" s="26">
        <f>+C38+C40</f>
        <v>57918287</v>
      </c>
      <c r="D41" s="26">
        <f>+D38+D40</f>
        <v>55790244</v>
      </c>
      <c r="E41" s="26">
        <f>D41-C41</f>
        <v>-2128043</v>
      </c>
      <c r="F41" s="27">
        <f>IF(C41=0,0,E41/C41)</f>
        <v>-3.6742160554575791E-2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115749521</v>
      </c>
      <c r="D43" s="26">
        <f>D22+D29+D31+D32+D33+D41</f>
        <v>127666237</v>
      </c>
      <c r="E43" s="26">
        <f>D43-C43</f>
        <v>11916716</v>
      </c>
      <c r="F43" s="27">
        <f>IF(C43=0,0,E43/C43)</f>
        <v>0.1029526161062904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12369091</v>
      </c>
      <c r="D49" s="22">
        <v>9877274</v>
      </c>
      <c r="E49" s="22">
        <f t="shared" ref="E49:E56" si="2">D49-C49</f>
        <v>-2491817</v>
      </c>
      <c r="F49" s="23">
        <f t="shared" ref="F49:F56" si="3">IF(C49=0,0,E49/C49)</f>
        <v>-0.20145514330842906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4562702</v>
      </c>
      <c r="D50" s="22">
        <v>4917699</v>
      </c>
      <c r="E50" s="22">
        <f t="shared" si="2"/>
        <v>354997</v>
      </c>
      <c r="F50" s="23">
        <f t="shared" si="3"/>
        <v>7.7804116946493543E-2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6740571</v>
      </c>
      <c r="D51" s="22">
        <v>2713960</v>
      </c>
      <c r="E51" s="22">
        <f t="shared" si="2"/>
        <v>-4026611</v>
      </c>
      <c r="F51" s="23">
        <f t="shared" si="3"/>
        <v>-0.59736942167065665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887080</v>
      </c>
      <c r="D53" s="22">
        <v>0</v>
      </c>
      <c r="E53" s="22">
        <f t="shared" si="2"/>
        <v>-887080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14907280</v>
      </c>
      <c r="D55" s="22">
        <v>21762592</v>
      </c>
      <c r="E55" s="22">
        <f t="shared" si="2"/>
        <v>6855312</v>
      </c>
      <c r="F55" s="23">
        <f t="shared" si="3"/>
        <v>0.45986336877015793</v>
      </c>
    </row>
    <row r="56" spans="1:6" ht="24" customHeight="1" x14ac:dyDescent="0.25">
      <c r="A56" s="24"/>
      <c r="B56" s="25" t="s">
        <v>54</v>
      </c>
      <c r="C56" s="26">
        <f>SUM(C49:C55)</f>
        <v>39466724</v>
      </c>
      <c r="D56" s="26">
        <f>SUM(D49:D55)</f>
        <v>39271525</v>
      </c>
      <c r="E56" s="26">
        <f t="shared" si="2"/>
        <v>-195199</v>
      </c>
      <c r="F56" s="27">
        <f t="shared" si="3"/>
        <v>-4.9459134231663107E-3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8241392</v>
      </c>
      <c r="D63" s="22">
        <v>8720114</v>
      </c>
      <c r="E63" s="22">
        <f>D63-C63</f>
        <v>478722</v>
      </c>
      <c r="F63" s="23">
        <f>IF(C63=0,0,E63/C63)</f>
        <v>5.8087517254366741E-2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8241392</v>
      </c>
      <c r="D65" s="26">
        <f>SUM(D61:D64)</f>
        <v>8720114</v>
      </c>
      <c r="E65" s="26">
        <f>D65-C65</f>
        <v>478722</v>
      </c>
      <c r="F65" s="27">
        <f>IF(C65=0,0,E65/C65)</f>
        <v>5.8087517254366741E-2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68041405</v>
      </c>
      <c r="D70" s="22">
        <v>79674598</v>
      </c>
      <c r="E70" s="22">
        <f>D70-C70</f>
        <v>11633193</v>
      </c>
      <c r="F70" s="23">
        <f>IF(C70=0,0,E70/C70)</f>
        <v>0.17097226313889316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68041405</v>
      </c>
      <c r="D73" s="26">
        <f>SUM(D70:D72)</f>
        <v>79674598</v>
      </c>
      <c r="E73" s="26">
        <f>D73-C73</f>
        <v>11633193</v>
      </c>
      <c r="F73" s="27">
        <f>IF(C73=0,0,E73/C73)</f>
        <v>0.17097226313889316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115749521</v>
      </c>
      <c r="D75" s="26">
        <f>D56+D65+D67+D73</f>
        <v>127666237</v>
      </c>
      <c r="E75" s="26">
        <f>D75-C75</f>
        <v>11916716</v>
      </c>
      <c r="F75" s="27">
        <f>IF(C75=0,0,E75/C75)</f>
        <v>0.1029526161062904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427311134</v>
      </c>
      <c r="D11" s="76">
        <v>436437254</v>
      </c>
      <c r="E11" s="76">
        <v>432031821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170801000</v>
      </c>
      <c r="D12" s="185">
        <v>192070000</v>
      </c>
      <c r="E12" s="185">
        <v>204630000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598112134</v>
      </c>
      <c r="D13" s="76">
        <f>+D11+D12</f>
        <v>628507254</v>
      </c>
      <c r="E13" s="76">
        <f>+E11+E12</f>
        <v>636661821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820092537</v>
      </c>
      <c r="D14" s="185">
        <v>838245254</v>
      </c>
      <c r="E14" s="185">
        <v>864156821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-221980403</v>
      </c>
      <c r="D15" s="76">
        <f>+D13-D14</f>
        <v>-209738000</v>
      </c>
      <c r="E15" s="76">
        <f>+E13-E14</f>
        <v>-227495000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215749000</v>
      </c>
      <c r="D16" s="185">
        <v>273250000</v>
      </c>
      <c r="E16" s="185">
        <v>222103000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-6231403</v>
      </c>
      <c r="D17" s="76">
        <f>D15+D16</f>
        <v>63512000</v>
      </c>
      <c r="E17" s="76">
        <f>E15+E16</f>
        <v>-5392000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-0.27274972808813353</v>
      </c>
      <c r="D20" s="189">
        <f>IF(+D27=0,0,+D24/+D27)</f>
        <v>-0.2325880929370378</v>
      </c>
      <c r="E20" s="189">
        <f>IF(+E27=0,0,+E24/+E27)</f>
        <v>-0.264909547336942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0.26509313565525294</v>
      </c>
      <c r="D21" s="189">
        <f>IF(+D27=0,0,+D26/+D27)</f>
        <v>0.3030194642603895</v>
      </c>
      <c r="E21" s="189">
        <f>IF(+E27=0,0,+E26/+E27)</f>
        <v>0.25863076196038076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-7.6565924328805702E-3</v>
      </c>
      <c r="D22" s="189">
        <f>IF(+D27=0,0,+D28/+D27)</f>
        <v>7.0431371323351727E-2</v>
      </c>
      <c r="E22" s="189">
        <f>IF(+E27=0,0,+E28/+E27)</f>
        <v>-6.2787853765612044E-3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-221980403</v>
      </c>
      <c r="D24" s="76">
        <f>+D15</f>
        <v>-209738000</v>
      </c>
      <c r="E24" s="76">
        <f>+E15</f>
        <v>-227495000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598112134</v>
      </c>
      <c r="D25" s="76">
        <f>+D13</f>
        <v>628507254</v>
      </c>
      <c r="E25" s="76">
        <f>+E13</f>
        <v>636661821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215749000</v>
      </c>
      <c r="D26" s="76">
        <f>+D16</f>
        <v>273250000</v>
      </c>
      <c r="E26" s="76">
        <f>+E16</f>
        <v>222103000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813861134</v>
      </c>
      <c r="D27" s="76">
        <f>SUM(D25:D26)</f>
        <v>901757254</v>
      </c>
      <c r="E27" s="76">
        <f>SUM(E25:E26)</f>
        <v>858764821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-6231403</v>
      </c>
      <c r="D28" s="76">
        <f>+D17</f>
        <v>63512000</v>
      </c>
      <c r="E28" s="76">
        <f>+E17</f>
        <v>-5392000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51005000</v>
      </c>
      <c r="D31" s="76">
        <v>45288000</v>
      </c>
      <c r="E31" s="76">
        <v>29049000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339610000</v>
      </c>
      <c r="D32" s="76">
        <v>403122181</v>
      </c>
      <c r="E32" s="76">
        <v>397730000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-6230555</v>
      </c>
      <c r="D33" s="76">
        <f>+D32-C32</f>
        <v>63512181</v>
      </c>
      <c r="E33" s="76">
        <f>+E32-D32</f>
        <v>-5392181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0.9819</v>
      </c>
      <c r="D34" s="193">
        <f>IF(C32=0,0,+D33/C32)</f>
        <v>0.1870150496157357</v>
      </c>
      <c r="E34" s="193">
        <f>IF(D32=0,0,+E33/D32)</f>
        <v>-1.337604640514683E-2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1.8290504171328394</v>
      </c>
      <c r="D38" s="338">
        <f>IF(+D40=0,0,+D39/+D40)</f>
        <v>2.3911824334547069</v>
      </c>
      <c r="E38" s="338">
        <f>IF(+E40=0,0,+E39/+E40)</f>
        <v>2.0544777706870878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207621000</v>
      </c>
      <c r="D39" s="341">
        <v>237069000</v>
      </c>
      <c r="E39" s="341">
        <v>193162000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113513000</v>
      </c>
      <c r="D40" s="341">
        <v>99143000</v>
      </c>
      <c r="E40" s="341">
        <v>94020000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44.41908792386873</v>
      </c>
      <c r="D42" s="343">
        <f>IF((D48/365)=0,0,+D45/(D48/365))</f>
        <v>38.122533347774976</v>
      </c>
      <c r="E42" s="343">
        <f>IF((E48/365)=0,0,+E45/(E48/365))</f>
        <v>20.270540988492563</v>
      </c>
    </row>
    <row r="43" spans="1:14" ht="24" customHeight="1" x14ac:dyDescent="0.2">
      <c r="A43" s="339">
        <v>5</v>
      </c>
      <c r="B43" s="344" t="s">
        <v>16</v>
      </c>
      <c r="C43" s="345">
        <v>96175000</v>
      </c>
      <c r="D43" s="345">
        <v>84404000</v>
      </c>
      <c r="E43" s="345">
        <v>46236000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96175000</v>
      </c>
      <c r="D45" s="341">
        <f>+D43+D44</f>
        <v>84404000</v>
      </c>
      <c r="E45" s="341">
        <f>+E43+E44</f>
        <v>46236000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820092537</v>
      </c>
      <c r="D46" s="341">
        <f>+D14</f>
        <v>838245254</v>
      </c>
      <c r="E46" s="341">
        <f>+E14</f>
        <v>864156821</v>
      </c>
    </row>
    <row r="47" spans="1:14" ht="24" customHeight="1" x14ac:dyDescent="0.2">
      <c r="A47" s="339">
        <v>9</v>
      </c>
      <c r="B47" s="340" t="s">
        <v>356</v>
      </c>
      <c r="C47" s="341">
        <v>29804473</v>
      </c>
      <c r="D47" s="341">
        <v>30128445</v>
      </c>
      <c r="E47" s="341">
        <v>31611700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790288064</v>
      </c>
      <c r="D48" s="341">
        <f>+D46-D47</f>
        <v>808116809</v>
      </c>
      <c r="E48" s="341">
        <f>+E46-E47</f>
        <v>832545121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28.395457161198145</v>
      </c>
      <c r="D50" s="350">
        <f>IF((D55/365)=0,0,+D54/(D55/365))</f>
        <v>28.743387245306053</v>
      </c>
      <c r="E50" s="350">
        <f>IF((E55/365)=0,0,+E54/(E55/365))</f>
        <v>37.848219055142238</v>
      </c>
    </row>
    <row r="51" spans="1:5" ht="24" customHeight="1" x14ac:dyDescent="0.2">
      <c r="A51" s="339">
        <v>12</v>
      </c>
      <c r="B51" s="344" t="s">
        <v>359</v>
      </c>
      <c r="C51" s="351">
        <v>42659000</v>
      </c>
      <c r="D51" s="351">
        <v>41110000</v>
      </c>
      <c r="E51" s="351">
        <v>47513000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9416000</v>
      </c>
      <c r="D53" s="341">
        <v>6741000</v>
      </c>
      <c r="E53" s="341">
        <v>2714000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33243000</v>
      </c>
      <c r="D54" s="352">
        <f>+D51+D52-D53</f>
        <v>34369000</v>
      </c>
      <c r="E54" s="352">
        <f>+E51+E52-E53</f>
        <v>44799000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427311134</v>
      </c>
      <c r="D55" s="341">
        <f>+D11</f>
        <v>436437254</v>
      </c>
      <c r="E55" s="341">
        <f>+E11</f>
        <v>432031821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52.42676295817116</v>
      </c>
      <c r="D57" s="355">
        <f>IF((D61/365)=0,0,+D58/(D61/365))</f>
        <v>44.779658827762361</v>
      </c>
      <c r="E57" s="355">
        <f>IF((E61/365)=0,0,+E58/(E61/365))</f>
        <v>41.219747896402609</v>
      </c>
    </row>
    <row r="58" spans="1:5" ht="24" customHeight="1" x14ac:dyDescent="0.2">
      <c r="A58" s="339">
        <v>18</v>
      </c>
      <c r="B58" s="340" t="s">
        <v>54</v>
      </c>
      <c r="C58" s="353">
        <f>+C40</f>
        <v>113513000</v>
      </c>
      <c r="D58" s="353">
        <f>+D40</f>
        <v>99143000</v>
      </c>
      <c r="E58" s="353">
        <f>+E40</f>
        <v>94020000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820092537</v>
      </c>
      <c r="D59" s="353">
        <f t="shared" si="0"/>
        <v>838245254</v>
      </c>
      <c r="E59" s="353">
        <f t="shared" si="0"/>
        <v>864156821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29804473</v>
      </c>
      <c r="D60" s="356">
        <f t="shared" si="0"/>
        <v>30128445</v>
      </c>
      <c r="E60" s="356">
        <f t="shared" si="0"/>
        <v>31611700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790288064</v>
      </c>
      <c r="D61" s="353">
        <f>+D59-D60</f>
        <v>808116809</v>
      </c>
      <c r="E61" s="353">
        <f>+E59-E60</f>
        <v>832545121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65.991741559387904</v>
      </c>
      <c r="D65" s="357">
        <f>IF(D67=0,0,(D66/D67)*100)</f>
        <v>71.729136551969702</v>
      </c>
      <c r="E65" s="357">
        <f>IF(E67=0,0,(E66/E67)*100)</f>
        <v>66.53295282321335</v>
      </c>
    </row>
    <row r="66" spans="1:5" ht="24" customHeight="1" x14ac:dyDescent="0.2">
      <c r="A66" s="339">
        <v>2</v>
      </c>
      <c r="B66" s="340" t="s">
        <v>67</v>
      </c>
      <c r="C66" s="353">
        <f>+C32</f>
        <v>339610000</v>
      </c>
      <c r="D66" s="353">
        <f>+D32</f>
        <v>403122181</v>
      </c>
      <c r="E66" s="353">
        <f>+E32</f>
        <v>397730000</v>
      </c>
    </row>
    <row r="67" spans="1:5" ht="24" customHeight="1" x14ac:dyDescent="0.2">
      <c r="A67" s="339">
        <v>3</v>
      </c>
      <c r="B67" s="340" t="s">
        <v>43</v>
      </c>
      <c r="C67" s="353">
        <v>514625000</v>
      </c>
      <c r="D67" s="353">
        <v>562006181</v>
      </c>
      <c r="E67" s="353">
        <v>597794000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17.901648681282797</v>
      </c>
      <c r="D69" s="357">
        <f>IF(D75=0,0,(D72/D75)*100)</f>
        <v>81.089423959542074</v>
      </c>
      <c r="E69" s="357">
        <f>IF(E75=0,0,(E72/E75)*100)</f>
        <v>16.818173071372218</v>
      </c>
    </row>
    <row r="70" spans="1:5" ht="24" customHeight="1" x14ac:dyDescent="0.2">
      <c r="A70" s="339">
        <v>5</v>
      </c>
      <c r="B70" s="340" t="s">
        <v>366</v>
      </c>
      <c r="C70" s="353">
        <f>+C28</f>
        <v>-6231403</v>
      </c>
      <c r="D70" s="353">
        <f>+D28</f>
        <v>63512000</v>
      </c>
      <c r="E70" s="353">
        <f>+E28</f>
        <v>-5392000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29804473</v>
      </c>
      <c r="D71" s="356">
        <f>+D47</f>
        <v>30128445</v>
      </c>
      <c r="E71" s="356">
        <f>+E47</f>
        <v>31611700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23573070</v>
      </c>
      <c r="D72" s="353">
        <f>+D70+D71</f>
        <v>93640445</v>
      </c>
      <c r="E72" s="353">
        <f>+E70+E71</f>
        <v>26219700</v>
      </c>
    </row>
    <row r="73" spans="1:5" ht="24" customHeight="1" x14ac:dyDescent="0.2">
      <c r="A73" s="339">
        <v>8</v>
      </c>
      <c r="B73" s="340" t="s">
        <v>54</v>
      </c>
      <c r="C73" s="341">
        <f>+C40</f>
        <v>113513000</v>
      </c>
      <c r="D73" s="341">
        <f>+D40</f>
        <v>99143000</v>
      </c>
      <c r="E73" s="341">
        <f>+E40</f>
        <v>94020000</v>
      </c>
    </row>
    <row r="74" spans="1:5" ht="24" customHeight="1" x14ac:dyDescent="0.2">
      <c r="A74" s="339">
        <v>9</v>
      </c>
      <c r="B74" s="340" t="s">
        <v>58</v>
      </c>
      <c r="C74" s="353">
        <v>18168000</v>
      </c>
      <c r="D74" s="353">
        <v>16335000</v>
      </c>
      <c r="E74" s="353">
        <v>61881000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131681000</v>
      </c>
      <c r="D75" s="341">
        <f>+D73+D74</f>
        <v>115478000</v>
      </c>
      <c r="E75" s="341">
        <f>+E73+E74</f>
        <v>155901000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5.0780092683172251</v>
      </c>
      <c r="D77" s="359">
        <f>IF(D80=0,0,(D78/D80)*100)</f>
        <v>3.8943188339407637</v>
      </c>
      <c r="E77" s="359">
        <f>IF(E80=0,0,(E78/E80)*100)</f>
        <v>13.463776976617185</v>
      </c>
    </row>
    <row r="78" spans="1:5" ht="24" customHeight="1" x14ac:dyDescent="0.2">
      <c r="A78" s="339">
        <v>12</v>
      </c>
      <c r="B78" s="340" t="s">
        <v>58</v>
      </c>
      <c r="C78" s="341">
        <f>+C74</f>
        <v>18168000</v>
      </c>
      <c r="D78" s="341">
        <f>+D74</f>
        <v>16335000</v>
      </c>
      <c r="E78" s="341">
        <f>+E74</f>
        <v>61881000</v>
      </c>
    </row>
    <row r="79" spans="1:5" ht="24" customHeight="1" x14ac:dyDescent="0.2">
      <c r="A79" s="339">
        <v>13</v>
      </c>
      <c r="B79" s="340" t="s">
        <v>67</v>
      </c>
      <c r="C79" s="341">
        <f>+C32</f>
        <v>339610000</v>
      </c>
      <c r="D79" s="341">
        <f>+D32</f>
        <v>403122181</v>
      </c>
      <c r="E79" s="341">
        <f>+E32</f>
        <v>397730000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357778000</v>
      </c>
      <c r="D80" s="341">
        <f>+D78+D79</f>
        <v>419457181</v>
      </c>
      <c r="E80" s="341">
        <f>+E78+E79</f>
        <v>459611000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26061</v>
      </c>
      <c r="D11" s="376">
        <v>5896</v>
      </c>
      <c r="E11" s="376">
        <v>5825</v>
      </c>
      <c r="F11" s="377">
        <v>100</v>
      </c>
      <c r="G11" s="377">
        <v>150</v>
      </c>
      <c r="H11" s="378">
        <f>IF(F11=0,0,$C11/(F11*365))</f>
        <v>0.71399999999999997</v>
      </c>
      <c r="I11" s="378">
        <f>IF(G11=0,0,$C11/(G11*365))</f>
        <v>0.47599999999999998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1629</v>
      </c>
      <c r="D13" s="376">
        <v>164</v>
      </c>
      <c r="E13" s="376">
        <v>0</v>
      </c>
      <c r="F13" s="377">
        <v>15</v>
      </c>
      <c r="G13" s="377">
        <v>15</v>
      </c>
      <c r="H13" s="378">
        <f>IF(F13=0,0,$C13/(F13*365))</f>
        <v>0.29753424657534244</v>
      </c>
      <c r="I13" s="378">
        <f>IF(G13=0,0,$C13/(G13*365))</f>
        <v>0.29753424657534244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5294</v>
      </c>
      <c r="D16" s="376">
        <v>773</v>
      </c>
      <c r="E16" s="376">
        <v>780</v>
      </c>
      <c r="F16" s="377">
        <v>25</v>
      </c>
      <c r="G16" s="377">
        <v>25</v>
      </c>
      <c r="H16" s="378">
        <f t="shared" si="0"/>
        <v>0.58016438356164379</v>
      </c>
      <c r="I16" s="378">
        <f t="shared" si="0"/>
        <v>0.58016438356164379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5294</v>
      </c>
      <c r="D17" s="381">
        <f>SUM(D15:D16)</f>
        <v>773</v>
      </c>
      <c r="E17" s="381">
        <f>SUM(E15:E16)</f>
        <v>780</v>
      </c>
      <c r="F17" s="381">
        <f>SUM(F15:F16)</f>
        <v>25</v>
      </c>
      <c r="G17" s="381">
        <f>SUM(G15:G16)</f>
        <v>25</v>
      </c>
      <c r="H17" s="382">
        <f t="shared" si="0"/>
        <v>0.58016438356164379</v>
      </c>
      <c r="I17" s="382">
        <f t="shared" si="0"/>
        <v>0.58016438356164379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3540</v>
      </c>
      <c r="D21" s="376">
        <v>736</v>
      </c>
      <c r="E21" s="376">
        <v>727</v>
      </c>
      <c r="F21" s="377">
        <v>20</v>
      </c>
      <c r="G21" s="377">
        <v>20</v>
      </c>
      <c r="H21" s="378">
        <f>IF(F21=0,0,$C21/(F21*365))</f>
        <v>0.48493150684931507</v>
      </c>
      <c r="I21" s="378">
        <f>IF(G21=0,0,$C21/(G21*365))</f>
        <v>0.48493150684931507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1189</v>
      </c>
      <c r="D23" s="376">
        <v>462</v>
      </c>
      <c r="E23" s="376">
        <v>458</v>
      </c>
      <c r="F23" s="377">
        <v>10</v>
      </c>
      <c r="G23" s="377">
        <v>10</v>
      </c>
      <c r="H23" s="378">
        <f>IF(F23=0,0,$C23/(F23*365))</f>
        <v>0.32575342465753426</v>
      </c>
      <c r="I23" s="378">
        <f>IF(G23=0,0,$C23/(G23*365))</f>
        <v>0.32575342465753426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2991</v>
      </c>
      <c r="D29" s="376">
        <v>711</v>
      </c>
      <c r="E29" s="376">
        <v>788</v>
      </c>
      <c r="F29" s="377">
        <v>14</v>
      </c>
      <c r="G29" s="377">
        <v>14</v>
      </c>
      <c r="H29" s="378">
        <f>IF(F29=0,0,$C29/(F29*365))</f>
        <v>0.58532289628180034</v>
      </c>
      <c r="I29" s="378">
        <f>IF(G29=0,0,$C29/(G29*365))</f>
        <v>0.58532289628180034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39515</v>
      </c>
      <c r="D31" s="384">
        <f>SUM(D10:D29)-D13-D17-D23</f>
        <v>8116</v>
      </c>
      <c r="E31" s="384">
        <f>SUM(E10:E29)-E17-E23</f>
        <v>8120</v>
      </c>
      <c r="F31" s="384">
        <f>SUM(F10:F29)-F17-F23</f>
        <v>174</v>
      </c>
      <c r="G31" s="384">
        <f>SUM(G10:G29)-G17-G23</f>
        <v>224</v>
      </c>
      <c r="H31" s="385">
        <f>IF(F31=0,0,$C31/(F31*365))</f>
        <v>0.62218548260116513</v>
      </c>
      <c r="I31" s="385">
        <f>IF(G31=0,0,$C31/(G31*365))</f>
        <v>0.48330479452054792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40704</v>
      </c>
      <c r="D33" s="384">
        <f>SUM(D10:D29)-D13-D17</f>
        <v>8578</v>
      </c>
      <c r="E33" s="384">
        <f>SUM(E10:E29)-E17</f>
        <v>8578</v>
      </c>
      <c r="F33" s="384">
        <f>SUM(F10:F29)-F17</f>
        <v>184</v>
      </c>
      <c r="G33" s="384">
        <f>SUM(G10:G29)-G17</f>
        <v>234</v>
      </c>
      <c r="H33" s="385">
        <f>IF(F33=0,0,$C33/(F33*365))</f>
        <v>0.60607504466944606</v>
      </c>
      <c r="I33" s="385">
        <f>IF(G33=0,0,$C33/(G33*365))</f>
        <v>0.47657182999648751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40704</v>
      </c>
      <c r="D36" s="384">
        <f t="shared" si="1"/>
        <v>8578</v>
      </c>
      <c r="E36" s="384">
        <f t="shared" si="1"/>
        <v>8578</v>
      </c>
      <c r="F36" s="384">
        <f t="shared" si="1"/>
        <v>184</v>
      </c>
      <c r="G36" s="384">
        <f t="shared" si="1"/>
        <v>234</v>
      </c>
      <c r="H36" s="387">
        <f t="shared" si="1"/>
        <v>0.60607504466944606</v>
      </c>
      <c r="I36" s="387">
        <f t="shared" si="1"/>
        <v>0.47657182999648751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40295</v>
      </c>
      <c r="D37" s="384">
        <v>8374</v>
      </c>
      <c r="E37" s="384">
        <v>7759</v>
      </c>
      <c r="F37" s="386">
        <v>184</v>
      </c>
      <c r="G37" s="386">
        <v>234</v>
      </c>
      <c r="H37" s="385">
        <f>IF(F37=0,0,$C37/(F37*365))</f>
        <v>0.59998511018463374</v>
      </c>
      <c r="I37" s="385">
        <f>IF(G37=0,0,$C37/(G37*365))</f>
        <v>0.47178316356398547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409</v>
      </c>
      <c r="D38" s="384">
        <f t="shared" si="2"/>
        <v>204</v>
      </c>
      <c r="E38" s="384">
        <f t="shared" si="2"/>
        <v>819</v>
      </c>
      <c r="F38" s="384">
        <f t="shared" si="2"/>
        <v>0</v>
      </c>
      <c r="G38" s="384">
        <f t="shared" si="2"/>
        <v>0</v>
      </c>
      <c r="H38" s="387">
        <f t="shared" si="2"/>
        <v>6.0899344848123205E-3</v>
      </c>
      <c r="I38" s="387">
        <f t="shared" si="2"/>
        <v>4.7886664325020312E-3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1.0150142697605162E-2</v>
      </c>
      <c r="D40" s="389">
        <f t="shared" si="3"/>
        <v>2.4361117745402436E-2</v>
      </c>
      <c r="E40" s="389">
        <f t="shared" si="3"/>
        <v>0.10555483954117799</v>
      </c>
      <c r="F40" s="389">
        <f t="shared" si="3"/>
        <v>0</v>
      </c>
      <c r="G40" s="389">
        <f t="shared" si="3"/>
        <v>0</v>
      </c>
      <c r="H40" s="389">
        <f t="shared" si="3"/>
        <v>1.0150142697605048E-2</v>
      </c>
      <c r="I40" s="389">
        <f t="shared" si="3"/>
        <v>1.0150142697605124E-2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3689</v>
      </c>
      <c r="D12" s="409">
        <v>3942</v>
      </c>
      <c r="E12" s="409">
        <f>+D12-C12</f>
        <v>253</v>
      </c>
      <c r="F12" s="410">
        <f>IF(C12=0,0,+E12/C12)</f>
        <v>6.8582271618324753E-2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9651</v>
      </c>
      <c r="D13" s="409">
        <v>8091</v>
      </c>
      <c r="E13" s="409">
        <f>+D13-C13</f>
        <v>-1560</v>
      </c>
      <c r="F13" s="410">
        <f>IF(C13=0,0,+E13/C13)</f>
        <v>-0.1616412806963009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3750</v>
      </c>
      <c r="D14" s="409">
        <v>3448</v>
      </c>
      <c r="E14" s="409">
        <f>+D14-C14</f>
        <v>-302</v>
      </c>
      <c r="F14" s="410">
        <f>IF(C14=0,0,+E14/C14)</f>
        <v>-8.0533333333333332E-2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17090</v>
      </c>
      <c r="D16" s="401">
        <f>SUM(D12:D15)</f>
        <v>15481</v>
      </c>
      <c r="E16" s="401">
        <f>+D16-C16</f>
        <v>-1609</v>
      </c>
      <c r="F16" s="402">
        <f>IF(C16=0,0,+E16/C16)</f>
        <v>-9.4148624926857813E-2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782</v>
      </c>
      <c r="D19" s="409">
        <v>820</v>
      </c>
      <c r="E19" s="409">
        <f>+D19-C19</f>
        <v>38</v>
      </c>
      <c r="F19" s="410">
        <f>IF(C19=0,0,+E19/C19)</f>
        <v>4.859335038363171E-2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6953</v>
      </c>
      <c r="D20" s="409">
        <v>6627</v>
      </c>
      <c r="E20" s="409">
        <f>+D20-C20</f>
        <v>-326</v>
      </c>
      <c r="F20" s="410">
        <f>IF(C20=0,0,+E20/C20)</f>
        <v>-4.6886236157054506E-2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240</v>
      </c>
      <c r="D21" s="409">
        <v>210</v>
      </c>
      <c r="E21" s="409">
        <f>+D21-C21</f>
        <v>-30</v>
      </c>
      <c r="F21" s="410">
        <f>IF(C21=0,0,+E21/C21)</f>
        <v>-0.125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7975</v>
      </c>
      <c r="D23" s="401">
        <f>SUM(D19:D22)</f>
        <v>7657</v>
      </c>
      <c r="E23" s="401">
        <f>+D23-C23</f>
        <v>-318</v>
      </c>
      <c r="F23" s="402">
        <f>IF(C23=0,0,+E23/C23)</f>
        <v>-3.9874608150470219E-2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7</v>
      </c>
      <c r="D27" s="409">
        <v>2</v>
      </c>
      <c r="E27" s="409">
        <f>+D27-C27</f>
        <v>-5</v>
      </c>
      <c r="F27" s="410">
        <f>IF(C27=0,0,+E27/C27)</f>
        <v>-0.7142857142857143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7</v>
      </c>
      <c r="D30" s="401">
        <f>SUM(D26:D29)</f>
        <v>2</v>
      </c>
      <c r="E30" s="401">
        <f>+D30-C30</f>
        <v>-5</v>
      </c>
      <c r="F30" s="402">
        <f>IF(C30=0,0,+E30/C30)</f>
        <v>-0.7142857142857143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7</v>
      </c>
      <c r="E33" s="409">
        <f>+D33-C33</f>
        <v>1</v>
      </c>
      <c r="F33" s="410">
        <f>IF(C33=0,0,+E33/C33)</f>
        <v>0.16666666666666666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384</v>
      </c>
      <c r="D34" s="409">
        <v>368</v>
      </c>
      <c r="E34" s="409">
        <f>+D34-C34</f>
        <v>-16</v>
      </c>
      <c r="F34" s="410">
        <f>IF(C34=0,0,+E34/C34)</f>
        <v>-4.1666666666666664E-2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390</v>
      </c>
      <c r="D37" s="401">
        <f>SUM(D33:D36)</f>
        <v>375</v>
      </c>
      <c r="E37" s="401">
        <f>+D37-C37</f>
        <v>-15</v>
      </c>
      <c r="F37" s="402">
        <f>IF(C37=0,0,+E37/C37)</f>
        <v>-3.8461538461538464E-2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1</v>
      </c>
      <c r="E43" s="409">
        <f>+D43-C43</f>
        <v>1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38</v>
      </c>
      <c r="E44" s="409">
        <f>+D44-C44</f>
        <v>38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39</v>
      </c>
      <c r="E45" s="401">
        <f>+D45-C45</f>
        <v>39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315</v>
      </c>
      <c r="D48" s="409">
        <v>307</v>
      </c>
      <c r="E48" s="409">
        <f>+D48-C48</f>
        <v>-8</v>
      </c>
      <c r="F48" s="410">
        <f>IF(C48=0,0,+E48/C48)</f>
        <v>-2.5396825396825397E-2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429</v>
      </c>
      <c r="D49" s="409">
        <v>471</v>
      </c>
      <c r="E49" s="409">
        <f>+D49-C49</f>
        <v>42</v>
      </c>
      <c r="F49" s="410">
        <f>IF(C49=0,0,+E49/C49)</f>
        <v>9.7902097902097904E-2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744</v>
      </c>
      <c r="D50" s="401">
        <f>SUM(D48:D49)</f>
        <v>778</v>
      </c>
      <c r="E50" s="401">
        <f>+D50-C50</f>
        <v>34</v>
      </c>
      <c r="F50" s="402">
        <f>IF(C50=0,0,+E50/C50)</f>
        <v>4.5698924731182797E-2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141</v>
      </c>
      <c r="D53" s="409">
        <v>110</v>
      </c>
      <c r="E53" s="409">
        <f>+D53-C53</f>
        <v>-31</v>
      </c>
      <c r="F53" s="410">
        <f>IF(C53=0,0,+E53/C53)</f>
        <v>-0.21985815602836881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248</v>
      </c>
      <c r="D54" s="409">
        <v>190</v>
      </c>
      <c r="E54" s="409">
        <f>+D54-C54</f>
        <v>-58</v>
      </c>
      <c r="F54" s="410">
        <f>IF(C54=0,0,+E54/C54)</f>
        <v>-0.23387096774193547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389</v>
      </c>
      <c r="D55" s="401">
        <f>SUM(D53:D54)</f>
        <v>300</v>
      </c>
      <c r="E55" s="401">
        <f>+D55-C55</f>
        <v>-89</v>
      </c>
      <c r="F55" s="402">
        <f>IF(C55=0,0,+E55/C55)</f>
        <v>-0.22879177377892032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150</v>
      </c>
      <c r="D58" s="409">
        <v>149</v>
      </c>
      <c r="E58" s="409">
        <f>+D58-C58</f>
        <v>-1</v>
      </c>
      <c r="F58" s="410">
        <f>IF(C58=0,0,+E58/C58)</f>
        <v>-6.6666666666666671E-3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150</v>
      </c>
      <c r="D59" s="409">
        <v>185</v>
      </c>
      <c r="E59" s="409">
        <f>+D59-C59</f>
        <v>35</v>
      </c>
      <c r="F59" s="410">
        <f>IF(C59=0,0,+E59/C59)</f>
        <v>0.23333333333333334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300</v>
      </c>
      <c r="D60" s="401">
        <f>SUM(D58:D59)</f>
        <v>334</v>
      </c>
      <c r="E60" s="401">
        <f>SUM(E58:E59)</f>
        <v>34</v>
      </c>
      <c r="F60" s="402">
        <f>IF(C60=0,0,+E60/C60)</f>
        <v>0.11333333333333333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2279</v>
      </c>
      <c r="D63" s="409">
        <v>2263</v>
      </c>
      <c r="E63" s="409">
        <f>+D63-C63</f>
        <v>-16</v>
      </c>
      <c r="F63" s="410">
        <f>IF(C63=0,0,+E63/C63)</f>
        <v>-7.0206230802983766E-3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7945</v>
      </c>
      <c r="D64" s="409">
        <v>7900</v>
      </c>
      <c r="E64" s="409">
        <f>+D64-C64</f>
        <v>-45</v>
      </c>
      <c r="F64" s="410">
        <f>IF(C64=0,0,+E64/C64)</f>
        <v>-5.6639395846444307E-3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10224</v>
      </c>
      <c r="D65" s="401">
        <f>SUM(D63:D64)</f>
        <v>10163</v>
      </c>
      <c r="E65" s="401">
        <f>+D65-C65</f>
        <v>-61</v>
      </c>
      <c r="F65" s="402">
        <f>IF(C65=0,0,+E65/C65)</f>
        <v>-5.9663536776212835E-3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265</v>
      </c>
      <c r="D68" s="409">
        <v>265</v>
      </c>
      <c r="E68" s="409">
        <f>+D68-C68</f>
        <v>0</v>
      </c>
      <c r="F68" s="410">
        <f>IF(C68=0,0,+E68/C68)</f>
        <v>0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2973</v>
      </c>
      <c r="D69" s="409">
        <v>2905</v>
      </c>
      <c r="E69" s="409">
        <f>+D69-C69</f>
        <v>-68</v>
      </c>
      <c r="F69" s="412">
        <f>IF(C69=0,0,+E69/C69)</f>
        <v>-2.2872519340733265E-2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3238</v>
      </c>
      <c r="D70" s="401">
        <f>SUM(D68:D69)</f>
        <v>3170</v>
      </c>
      <c r="E70" s="401">
        <f>+D70-C70</f>
        <v>-68</v>
      </c>
      <c r="F70" s="402">
        <f>IF(C70=0,0,+E70/C70)</f>
        <v>-2.1000617665225447E-2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4877</v>
      </c>
      <c r="D73" s="376">
        <v>5131</v>
      </c>
      <c r="E73" s="409">
        <f>+D73-C73</f>
        <v>254</v>
      </c>
      <c r="F73" s="410">
        <f>IF(C73=0,0,+E73/C73)</f>
        <v>5.2081197457453356E-2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24430</v>
      </c>
      <c r="D74" s="376">
        <v>23640</v>
      </c>
      <c r="E74" s="409">
        <f>+D74-C74</f>
        <v>-790</v>
      </c>
      <c r="F74" s="410">
        <f>IF(C74=0,0,+E74/C74)</f>
        <v>-3.2337290216946375E-2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29307</v>
      </c>
      <c r="D75" s="401">
        <f>SUM(D73:D74)</f>
        <v>28771</v>
      </c>
      <c r="E75" s="401">
        <f>SUM(E73:E74)</f>
        <v>-536</v>
      </c>
      <c r="F75" s="402">
        <f>IF(C75=0,0,+E75/C75)</f>
        <v>-1.8289145937830553E-2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92484</v>
      </c>
      <c r="D80" s="376">
        <v>85867</v>
      </c>
      <c r="E80" s="409">
        <f t="shared" si="0"/>
        <v>-6617</v>
      </c>
      <c r="F80" s="410">
        <f t="shared" si="1"/>
        <v>-7.1547510920807925E-2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16243</v>
      </c>
      <c r="D81" s="376">
        <v>16943</v>
      </c>
      <c r="E81" s="409">
        <f t="shared" si="0"/>
        <v>700</v>
      </c>
      <c r="F81" s="410">
        <f t="shared" si="1"/>
        <v>4.3095487286831248E-2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2634</v>
      </c>
      <c r="D87" s="376">
        <v>0</v>
      </c>
      <c r="E87" s="409">
        <f t="shared" si="0"/>
        <v>-2634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6094</v>
      </c>
      <c r="E91" s="409">
        <f t="shared" si="0"/>
        <v>6094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111361</v>
      </c>
      <c r="D92" s="381">
        <f>SUM(D79:D91)</f>
        <v>108904</v>
      </c>
      <c r="E92" s="401">
        <f t="shared" si="0"/>
        <v>-2457</v>
      </c>
      <c r="F92" s="402">
        <f t="shared" si="1"/>
        <v>-2.206337945959537E-2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27849</v>
      </c>
      <c r="D95" s="414">
        <v>25078</v>
      </c>
      <c r="E95" s="415">
        <f t="shared" ref="E95:E100" si="2">+D95-C95</f>
        <v>-2771</v>
      </c>
      <c r="F95" s="412">
        <f t="shared" ref="F95:F100" si="3">IF(C95=0,0,+E95/C95)</f>
        <v>-9.9500879744335524E-2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3939</v>
      </c>
      <c r="D97" s="414">
        <v>4100</v>
      </c>
      <c r="E97" s="409">
        <f t="shared" si="2"/>
        <v>161</v>
      </c>
      <c r="F97" s="410">
        <f t="shared" si="3"/>
        <v>4.0873318101040876E-2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2972</v>
      </c>
      <c r="D98" s="414">
        <v>2905</v>
      </c>
      <c r="E98" s="409">
        <f t="shared" si="2"/>
        <v>-67</v>
      </c>
      <c r="F98" s="410">
        <f t="shared" si="3"/>
        <v>-2.2543741588156124E-2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188682</v>
      </c>
      <c r="D99" s="414">
        <v>194205</v>
      </c>
      <c r="E99" s="409">
        <f t="shared" si="2"/>
        <v>5523</v>
      </c>
      <c r="F99" s="410">
        <f t="shared" si="3"/>
        <v>2.9271472636499506E-2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223442</v>
      </c>
      <c r="D100" s="381">
        <f>SUM(D95:D99)</f>
        <v>226288</v>
      </c>
      <c r="E100" s="401">
        <f t="shared" si="2"/>
        <v>2846</v>
      </c>
      <c r="F100" s="402">
        <f t="shared" si="3"/>
        <v>1.2737086134209326E-2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632.29999999999995</v>
      </c>
      <c r="D104" s="416">
        <v>640</v>
      </c>
      <c r="E104" s="417">
        <f>+D104-C104</f>
        <v>7.7000000000000455</v>
      </c>
      <c r="F104" s="410">
        <f>IF(C104=0,0,+E104/C104)</f>
        <v>1.2177763719753355E-2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41.2</v>
      </c>
      <c r="D105" s="416">
        <v>42.7</v>
      </c>
      <c r="E105" s="417">
        <f>+D105-C105</f>
        <v>1.5</v>
      </c>
      <c r="F105" s="410">
        <f>IF(C105=0,0,+E105/C105)</f>
        <v>3.640776699029126E-2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871.4</v>
      </c>
      <c r="D106" s="416">
        <v>910</v>
      </c>
      <c r="E106" s="417">
        <f>+D106-C106</f>
        <v>38.600000000000023</v>
      </c>
      <c r="F106" s="410">
        <f>IF(C106=0,0,+E106/C106)</f>
        <v>4.4296534312600437E-2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1544.9</v>
      </c>
      <c r="D107" s="418">
        <f>SUM(D104:D106)</f>
        <v>1592.7</v>
      </c>
      <c r="E107" s="418">
        <f>+D107-C107</f>
        <v>47.799999999999955</v>
      </c>
      <c r="F107" s="402">
        <f>IF(C107=0,0,+E107/C107)</f>
        <v>3.0940513949122891E-2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7945</v>
      </c>
      <c r="D12" s="409">
        <v>7900</v>
      </c>
      <c r="E12" s="409">
        <f>+D12-C12</f>
        <v>-45</v>
      </c>
      <c r="F12" s="410">
        <f>IF(C12=0,0,+E12/C12)</f>
        <v>-5.6639395846444307E-3</v>
      </c>
    </row>
    <row r="13" spans="1:6" ht="15.75" customHeight="1" x14ac:dyDescent="0.25">
      <c r="A13" s="374"/>
      <c r="B13" s="399" t="s">
        <v>622</v>
      </c>
      <c r="C13" s="401">
        <f>SUM(C11:C12)</f>
        <v>7945</v>
      </c>
      <c r="D13" s="401">
        <f>SUM(D11:D12)</f>
        <v>7900</v>
      </c>
      <c r="E13" s="401">
        <f>+D13-C13</f>
        <v>-45</v>
      </c>
      <c r="F13" s="402">
        <f>IF(C13=0,0,+E13/C13)</f>
        <v>-5.6639395846444307E-3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2973</v>
      </c>
      <c r="D16" s="409">
        <v>2905</v>
      </c>
      <c r="E16" s="409">
        <f>+D16-C16</f>
        <v>-68</v>
      </c>
      <c r="F16" s="410">
        <f>IF(C16=0,0,+E16/C16)</f>
        <v>-2.2872519340733265E-2</v>
      </c>
    </row>
    <row r="17" spans="1:6" ht="15.75" customHeight="1" x14ac:dyDescent="0.25">
      <c r="A17" s="374"/>
      <c r="B17" s="399" t="s">
        <v>623</v>
      </c>
      <c r="C17" s="401">
        <f>SUM(C15:C16)</f>
        <v>2973</v>
      </c>
      <c r="D17" s="401">
        <f>SUM(D15:D16)</f>
        <v>2905</v>
      </c>
      <c r="E17" s="401">
        <f>+D17-C17</f>
        <v>-68</v>
      </c>
      <c r="F17" s="402">
        <f>IF(C17=0,0,+E17/C17)</f>
        <v>-2.2872519340733265E-2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24430</v>
      </c>
      <c r="D20" s="409">
        <v>23640</v>
      </c>
      <c r="E20" s="409">
        <f>+D20-C20</f>
        <v>-790</v>
      </c>
      <c r="F20" s="410">
        <f>IF(C20=0,0,+E20/C20)</f>
        <v>-3.2337290216946375E-2</v>
      </c>
    </row>
    <row r="21" spans="1:6" ht="15.75" customHeight="1" x14ac:dyDescent="0.25">
      <c r="A21" s="374"/>
      <c r="B21" s="399" t="s">
        <v>625</v>
      </c>
      <c r="C21" s="401">
        <f>SUM(C19:C20)</f>
        <v>24430</v>
      </c>
      <c r="D21" s="401">
        <f>SUM(D19:D20)</f>
        <v>23640</v>
      </c>
      <c r="E21" s="401">
        <f>+D21-C21</f>
        <v>-790</v>
      </c>
      <c r="F21" s="402">
        <f>IF(C21=0,0,+E21/C21)</f>
        <v>-3.2337290216946375E-2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120588768</v>
      </c>
      <c r="D15" s="448">
        <v>126635713</v>
      </c>
      <c r="E15" s="448">
        <f t="shared" ref="E15:E24" si="0">D15-C15</f>
        <v>6046945</v>
      </c>
      <c r="F15" s="449">
        <f t="shared" ref="F15:F24" si="1">IF(C15=0,0,E15/C15)</f>
        <v>5.0145176041602811E-2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65565082</v>
      </c>
      <c r="D16" s="448">
        <v>68977831</v>
      </c>
      <c r="E16" s="448">
        <f t="shared" si="0"/>
        <v>3412749</v>
      </c>
      <c r="F16" s="449">
        <f t="shared" si="1"/>
        <v>5.2051319023744984E-2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0.5437080342341668</v>
      </c>
      <c r="D17" s="453">
        <f>IF(LN_IA1=0,0,LN_IA2/LN_IA1)</f>
        <v>0.54469493135794955</v>
      </c>
      <c r="E17" s="454">
        <f t="shared" si="0"/>
        <v>9.8689712378274841E-4</v>
      </c>
      <c r="F17" s="449">
        <f t="shared" si="1"/>
        <v>1.8151233045007879E-3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3700</v>
      </c>
      <c r="D18" s="456">
        <v>3822</v>
      </c>
      <c r="E18" s="456">
        <f t="shared" si="0"/>
        <v>122</v>
      </c>
      <c r="F18" s="449">
        <f t="shared" si="1"/>
        <v>3.2972972972972976E-2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1.5752999999999999</v>
      </c>
      <c r="D19" s="459">
        <v>1.583</v>
      </c>
      <c r="E19" s="460">
        <f t="shared" si="0"/>
        <v>7.7000000000000401E-3</v>
      </c>
      <c r="F19" s="449">
        <f t="shared" si="1"/>
        <v>4.8879578492985716E-3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5828.61</v>
      </c>
      <c r="D20" s="463">
        <f>LN_IA4*LN_IA5</f>
        <v>6050.2259999999997</v>
      </c>
      <c r="E20" s="463">
        <f t="shared" si="0"/>
        <v>221.61599999999999</v>
      </c>
      <c r="F20" s="449">
        <f t="shared" si="1"/>
        <v>3.8022101324329469E-2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11248.836686619967</v>
      </c>
      <c r="D21" s="465">
        <f>IF(LN_IA6=0,0,LN_IA2/LN_IA6)</f>
        <v>11400.868496482612</v>
      </c>
      <c r="E21" s="465">
        <f t="shared" si="0"/>
        <v>152.03180986264488</v>
      </c>
      <c r="F21" s="449">
        <f t="shared" si="1"/>
        <v>1.3515336216364535E-2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19700</v>
      </c>
      <c r="D22" s="456">
        <v>19395</v>
      </c>
      <c r="E22" s="456">
        <f t="shared" si="0"/>
        <v>-305</v>
      </c>
      <c r="F22" s="449">
        <f t="shared" si="1"/>
        <v>-1.5482233502538072E-2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3328.1767512690353</v>
      </c>
      <c r="D23" s="465">
        <f>IF(LN_IA8=0,0,LN_IA2/LN_IA8)</f>
        <v>3556.4749162155194</v>
      </c>
      <c r="E23" s="465">
        <f t="shared" si="0"/>
        <v>228.29816494648412</v>
      </c>
      <c r="F23" s="449">
        <f t="shared" si="1"/>
        <v>6.8595565082123097E-2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5.3243243243243246</v>
      </c>
      <c r="D24" s="466">
        <f>IF(LN_IA4=0,0,LN_IA8/LN_IA4)</f>
        <v>5.0745682888540031</v>
      </c>
      <c r="E24" s="466">
        <f t="shared" si="0"/>
        <v>-0.24975603547032144</v>
      </c>
      <c r="F24" s="449">
        <f t="shared" si="1"/>
        <v>-4.6908493971583212E-2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104321387</v>
      </c>
      <c r="D27" s="448">
        <v>114264847</v>
      </c>
      <c r="E27" s="448">
        <f t="shared" ref="E27:E32" si="2">D27-C27</f>
        <v>9943460</v>
      </c>
      <c r="F27" s="449">
        <f t="shared" ref="F27:F32" si="3">IF(C27=0,0,E27/C27)</f>
        <v>9.5315642227801284E-2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35427199</v>
      </c>
      <c r="D28" s="448">
        <v>38195692</v>
      </c>
      <c r="E28" s="448">
        <f t="shared" si="2"/>
        <v>2768493</v>
      </c>
      <c r="F28" s="449">
        <f t="shared" si="3"/>
        <v>7.8145974791854131E-2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0.33959670225626887</v>
      </c>
      <c r="D29" s="453">
        <f>IF(LN_IA11=0,0,LN_IA12/LN_IA11)</f>
        <v>0.33427333955122701</v>
      </c>
      <c r="E29" s="454">
        <f t="shared" si="2"/>
        <v>-5.3233627050418564E-3</v>
      </c>
      <c r="F29" s="449">
        <f t="shared" si="3"/>
        <v>-1.5675542988708716E-2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0.86510036324444417</v>
      </c>
      <c r="D30" s="453">
        <f>IF(LN_IA1=0,0,LN_IA11/LN_IA1)</f>
        <v>0.90231139615410072</v>
      </c>
      <c r="E30" s="454">
        <f t="shared" si="2"/>
        <v>3.721103290965655E-2</v>
      </c>
      <c r="F30" s="449">
        <f t="shared" si="3"/>
        <v>4.3013544428650456E-2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3200.8713440044435</v>
      </c>
      <c r="D31" s="463">
        <f>LN_IA14*LN_IA4</f>
        <v>3448.6341561009731</v>
      </c>
      <c r="E31" s="463">
        <f t="shared" si="2"/>
        <v>247.76281209652961</v>
      </c>
      <c r="F31" s="449">
        <f t="shared" si="3"/>
        <v>7.7404801839541126E-2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11067.985930255752</v>
      </c>
      <c r="D32" s="465">
        <f>IF(LN_IA15=0,0,LN_IA12/LN_IA15)</f>
        <v>11075.599866813376</v>
      </c>
      <c r="E32" s="465">
        <f t="shared" si="2"/>
        <v>7.6139365576236742</v>
      </c>
      <c r="F32" s="449">
        <f t="shared" si="3"/>
        <v>6.8792430760234401E-4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224910155</v>
      </c>
      <c r="D35" s="448">
        <f>LN_IA1+LN_IA11</f>
        <v>240900560</v>
      </c>
      <c r="E35" s="448">
        <f>D35-C35</f>
        <v>15990405</v>
      </c>
      <c r="F35" s="449">
        <f>IF(C35=0,0,E35/C35)</f>
        <v>7.1096856431404801E-2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100992281</v>
      </c>
      <c r="D36" s="448">
        <f>LN_IA2+LN_IA12</f>
        <v>107173523</v>
      </c>
      <c r="E36" s="448">
        <f>D36-C36</f>
        <v>6181242</v>
      </c>
      <c r="F36" s="449">
        <f>IF(C36=0,0,E36/C36)</f>
        <v>6.1205093486303173E-2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123917874</v>
      </c>
      <c r="D37" s="448">
        <f>LN_IA17-LN_IA18</f>
        <v>133727037</v>
      </c>
      <c r="E37" s="448">
        <f>D37-C37</f>
        <v>9809163</v>
      </c>
      <c r="F37" s="449">
        <f>IF(C37=0,0,E37/C37)</f>
        <v>7.915858046434851E-2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58039630</v>
      </c>
      <c r="D42" s="448">
        <v>65750391</v>
      </c>
      <c r="E42" s="448">
        <f t="shared" ref="E42:E53" si="4">D42-C42</f>
        <v>7710761</v>
      </c>
      <c r="F42" s="449">
        <f t="shared" ref="F42:F53" si="5">IF(C42=0,0,E42/C42)</f>
        <v>0.13285337966489449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38343737</v>
      </c>
      <c r="D43" s="448">
        <v>37099326</v>
      </c>
      <c r="E43" s="448">
        <f t="shared" si="4"/>
        <v>-1244411</v>
      </c>
      <c r="F43" s="449">
        <f t="shared" si="5"/>
        <v>-3.24540876127958E-2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0.66064750929666505</v>
      </c>
      <c r="D44" s="453">
        <f>IF(LN_IB1=0,0,LN_IB2/LN_IB1)</f>
        <v>0.56424494874866982</v>
      </c>
      <c r="E44" s="454">
        <f t="shared" si="4"/>
        <v>-9.6402560547995231E-2</v>
      </c>
      <c r="F44" s="449">
        <f t="shared" si="5"/>
        <v>-0.14592132595887147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2580</v>
      </c>
      <c r="D45" s="456">
        <v>2552</v>
      </c>
      <c r="E45" s="456">
        <f t="shared" si="4"/>
        <v>-28</v>
      </c>
      <c r="F45" s="449">
        <f t="shared" si="5"/>
        <v>-1.0852713178294573E-2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1.3021</v>
      </c>
      <c r="D46" s="459">
        <v>1.3512</v>
      </c>
      <c r="E46" s="460">
        <f t="shared" si="4"/>
        <v>4.9099999999999921E-2</v>
      </c>
      <c r="F46" s="449">
        <f t="shared" si="5"/>
        <v>3.770831733353807E-2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3359.4180000000001</v>
      </c>
      <c r="D47" s="463">
        <f>LN_IB4*LN_IB5</f>
        <v>3448.2624000000001</v>
      </c>
      <c r="E47" s="463">
        <f t="shared" si="4"/>
        <v>88.844399999999951</v>
      </c>
      <c r="F47" s="449">
        <f t="shared" si="5"/>
        <v>2.6446366602786538E-2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11413.80352191957</v>
      </c>
      <c r="D48" s="465">
        <f>IF(LN_IB6=0,0,LN_IB2/LN_IB6)</f>
        <v>10758.846542536901</v>
      </c>
      <c r="E48" s="465">
        <f t="shared" si="4"/>
        <v>-654.95697938266858</v>
      </c>
      <c r="F48" s="449">
        <f t="shared" si="5"/>
        <v>-5.7382885391785515E-2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-164.96683529960319</v>
      </c>
      <c r="D49" s="465">
        <f>LN_IA7-LN_IB7</f>
        <v>642.02195394571027</v>
      </c>
      <c r="E49" s="465">
        <f t="shared" si="4"/>
        <v>806.98878924531346</v>
      </c>
      <c r="F49" s="449">
        <f t="shared" si="5"/>
        <v>-4.8918243947621791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-554192.55590852234</v>
      </c>
      <c r="D50" s="479">
        <f>LN_IB8*LN_IB6</f>
        <v>2213860.1637655245</v>
      </c>
      <c r="E50" s="479">
        <f t="shared" si="4"/>
        <v>2768052.7196740471</v>
      </c>
      <c r="F50" s="449">
        <f t="shared" si="5"/>
        <v>-4.9947490094597287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9764</v>
      </c>
      <c r="D51" s="456">
        <v>10461</v>
      </c>
      <c r="E51" s="456">
        <f t="shared" si="4"/>
        <v>697</v>
      </c>
      <c r="F51" s="449">
        <f t="shared" si="5"/>
        <v>7.1384678410487512E-2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3927.0521302744778</v>
      </c>
      <c r="D52" s="465">
        <f>IF(LN_IB10=0,0,LN_IB2/LN_IB10)</f>
        <v>3546.441640378549</v>
      </c>
      <c r="E52" s="465">
        <f t="shared" si="4"/>
        <v>-380.61048989592882</v>
      </c>
      <c r="F52" s="449">
        <f t="shared" si="5"/>
        <v>-9.69201521318553E-2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3.7844961240310075</v>
      </c>
      <c r="D53" s="466">
        <f>IF(LN_IB4=0,0,LN_IB10/LN_IB4)</f>
        <v>4.0991379310344831</v>
      </c>
      <c r="E53" s="466">
        <f t="shared" si="4"/>
        <v>0.31464180700347555</v>
      </c>
      <c r="F53" s="449">
        <f t="shared" si="5"/>
        <v>8.3139682719066674E-2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147354435</v>
      </c>
      <c r="D56" s="448">
        <v>164218402</v>
      </c>
      <c r="E56" s="448">
        <f t="shared" ref="E56:E63" si="6">D56-C56</f>
        <v>16863967</v>
      </c>
      <c r="F56" s="449">
        <f t="shared" ref="F56:F63" si="7">IF(C56=0,0,E56/C56)</f>
        <v>0.11444492322202586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87493870</v>
      </c>
      <c r="D57" s="448">
        <v>89150288</v>
      </c>
      <c r="E57" s="448">
        <f t="shared" si="6"/>
        <v>1656418</v>
      </c>
      <c r="F57" s="449">
        <f t="shared" si="7"/>
        <v>1.893181773763122E-2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0.59376475502756332</v>
      </c>
      <c r="D58" s="453">
        <f>IF(LN_IB13=0,0,LN_IB14/LN_IB13)</f>
        <v>0.54287635803446677</v>
      </c>
      <c r="E58" s="454">
        <f t="shared" si="6"/>
        <v>-5.0888396993096552E-2</v>
      </c>
      <c r="F58" s="449">
        <f t="shared" si="7"/>
        <v>-8.5704644073618427E-2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2.5388589658479903</v>
      </c>
      <c r="D59" s="453">
        <f>IF(LN_IB1=0,0,LN_IB13/LN_IB1)</f>
        <v>2.4976034287005229</v>
      </c>
      <c r="E59" s="454">
        <f t="shared" si="6"/>
        <v>-4.1255537147467436E-2</v>
      </c>
      <c r="F59" s="449">
        <f t="shared" si="7"/>
        <v>-1.6249637219879168E-2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6550.2561318878152</v>
      </c>
      <c r="D60" s="463">
        <f>LN_IB16*LN_IB4</f>
        <v>6373.8839500437343</v>
      </c>
      <c r="E60" s="463">
        <f t="shared" si="6"/>
        <v>-176.37218184408084</v>
      </c>
      <c r="F60" s="449">
        <f t="shared" si="7"/>
        <v>-2.6925997746175084E-2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13357.320422031169</v>
      </c>
      <c r="D61" s="465">
        <f>IF(LN_IB17=0,0,LN_IB14/LN_IB17)</f>
        <v>13986.807525635651</v>
      </c>
      <c r="E61" s="465">
        <f t="shared" si="6"/>
        <v>629.4871036044824</v>
      </c>
      <c r="F61" s="449">
        <f t="shared" si="7"/>
        <v>4.7126750254955704E-2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-2289.3344917754166</v>
      </c>
      <c r="D62" s="465">
        <f>LN_IA16-LN_IB18</f>
        <v>-2911.2076588222753</v>
      </c>
      <c r="E62" s="465">
        <f t="shared" si="6"/>
        <v>-621.87316704685873</v>
      </c>
      <c r="F62" s="449">
        <f t="shared" si="7"/>
        <v>0.27163927738868154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-14995727.292694198</v>
      </c>
      <c r="D63" s="448">
        <f>LN_IB19*LN_IB17</f>
        <v>-18555699.771811698</v>
      </c>
      <c r="E63" s="448">
        <f t="shared" si="6"/>
        <v>-3559972.4791174997</v>
      </c>
      <c r="F63" s="449">
        <f t="shared" si="7"/>
        <v>0.23739912107176628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205394065</v>
      </c>
      <c r="D66" s="448">
        <f>LN_IB1+LN_IB13</f>
        <v>229968793</v>
      </c>
      <c r="E66" s="448">
        <f>D66-C66</f>
        <v>24574728</v>
      </c>
      <c r="F66" s="449">
        <f>IF(C66=0,0,E66/C66)</f>
        <v>0.1196467288380509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125837607</v>
      </c>
      <c r="D67" s="448">
        <f>LN_IB2+LN_IB14</f>
        <v>126249614</v>
      </c>
      <c r="E67" s="448">
        <f>D67-C67</f>
        <v>412007</v>
      </c>
      <c r="F67" s="449">
        <f>IF(C67=0,0,E67/C67)</f>
        <v>3.2741166160287836E-3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79556458</v>
      </c>
      <c r="D68" s="448">
        <f>LN_IB21-LN_IB22</f>
        <v>103719179</v>
      </c>
      <c r="E68" s="448">
        <f>D68-C68</f>
        <v>24162721</v>
      </c>
      <c r="F68" s="449">
        <f>IF(C68=0,0,E68/C68)</f>
        <v>0.30371790810495863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-15549919.84860272</v>
      </c>
      <c r="D70" s="441">
        <f>LN_IB9+LN_IB20</f>
        <v>-16341839.608046174</v>
      </c>
      <c r="E70" s="448">
        <f>D70-C70</f>
        <v>-791919.75944345444</v>
      </c>
      <c r="F70" s="449">
        <f>IF(C70=0,0,E70/C70)</f>
        <v>5.0927578222508624E-2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201989626</v>
      </c>
      <c r="D73" s="488">
        <v>225517085</v>
      </c>
      <c r="E73" s="488">
        <f>D73-C73</f>
        <v>23527459</v>
      </c>
      <c r="F73" s="489">
        <f>IF(C73=0,0,E73/C73)</f>
        <v>0.1164785512301508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125234436</v>
      </c>
      <c r="D74" s="488">
        <v>124969417</v>
      </c>
      <c r="E74" s="488">
        <f>D74-C74</f>
        <v>-265019</v>
      </c>
      <c r="F74" s="489">
        <f>IF(C74=0,0,E74/C74)</f>
        <v>-2.1161831239452384E-3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76755190</v>
      </c>
      <c r="D76" s="441">
        <f>LN_IB32-LN_IB33</f>
        <v>100547668</v>
      </c>
      <c r="E76" s="488">
        <f>D76-C76</f>
        <v>23792478</v>
      </c>
      <c r="F76" s="489">
        <f>IF(E76=0,0,E76/C76)</f>
        <v>0.30997875192543983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0.37999570334369548</v>
      </c>
      <c r="D77" s="453">
        <f>IF(LN_IB32=0,0,LN_IB34/LN_IB32)</f>
        <v>0.44585388286656863</v>
      </c>
      <c r="E77" s="493">
        <f>D77-C77</f>
        <v>6.585817952287315E-2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656211</v>
      </c>
      <c r="D83" s="448">
        <v>746040</v>
      </c>
      <c r="E83" s="448">
        <f t="shared" ref="E83:E95" si="8">D83-C83</f>
        <v>89829</v>
      </c>
      <c r="F83" s="449">
        <f t="shared" ref="F83:F95" si="9">IF(C83=0,0,E83/C83)</f>
        <v>0.13689042091644305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35827</v>
      </c>
      <c r="D84" s="448">
        <v>52199</v>
      </c>
      <c r="E84" s="448">
        <f t="shared" si="8"/>
        <v>16372</v>
      </c>
      <c r="F84" s="449">
        <f t="shared" si="9"/>
        <v>0.45697379071649874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5.4596768417475475E-2</v>
      </c>
      <c r="D85" s="453">
        <f>IF(LN_IC1=0,0,LN_IC2/LN_IC1)</f>
        <v>6.9968098225296232E-2</v>
      </c>
      <c r="E85" s="454">
        <f t="shared" si="8"/>
        <v>1.5371329807820758E-2</v>
      </c>
      <c r="F85" s="449">
        <f t="shared" si="9"/>
        <v>0.28154285049040856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39</v>
      </c>
      <c r="D86" s="456">
        <v>35</v>
      </c>
      <c r="E86" s="456">
        <f t="shared" si="8"/>
        <v>-4</v>
      </c>
      <c r="F86" s="449">
        <f t="shared" si="9"/>
        <v>-0.10256410256410256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0.99029999999999996</v>
      </c>
      <c r="D87" s="459">
        <v>0.93859999999999999</v>
      </c>
      <c r="E87" s="460">
        <f t="shared" si="8"/>
        <v>-5.1699999999999968E-2</v>
      </c>
      <c r="F87" s="449">
        <f t="shared" si="9"/>
        <v>-5.2206402100373597E-2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38.621699999999997</v>
      </c>
      <c r="D88" s="463">
        <f>LN_IC4*LN_IC5</f>
        <v>32.850999999999999</v>
      </c>
      <c r="E88" s="463">
        <f t="shared" si="8"/>
        <v>-5.7706999999999979</v>
      </c>
      <c r="F88" s="449">
        <f t="shared" si="9"/>
        <v>-0.14941600188495063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927.63912515502955</v>
      </c>
      <c r="D89" s="465">
        <f>IF(LN_IC6=0,0,LN_IC2/LN_IC6)</f>
        <v>1588.962284253143</v>
      </c>
      <c r="E89" s="465">
        <f t="shared" si="8"/>
        <v>661.32315909811348</v>
      </c>
      <c r="F89" s="449">
        <f t="shared" si="9"/>
        <v>0.71290994651351236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10486.16439676454</v>
      </c>
      <c r="D90" s="465">
        <f>LN_IB7-LN_IC7</f>
        <v>9169.8842582837588</v>
      </c>
      <c r="E90" s="465">
        <f t="shared" si="8"/>
        <v>-1316.2801384807808</v>
      </c>
      <c r="F90" s="449">
        <f t="shared" si="9"/>
        <v>-0.1255254150780731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10321.197561464936</v>
      </c>
      <c r="D91" s="465">
        <f>LN_IA7-LN_IC7</f>
        <v>9811.906212229469</v>
      </c>
      <c r="E91" s="465">
        <f t="shared" si="8"/>
        <v>-509.29134923546735</v>
      </c>
      <c r="F91" s="449">
        <f t="shared" si="9"/>
        <v>-4.934421090212919E-2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398622.1958596303</v>
      </c>
      <c r="D92" s="441">
        <f>LN_IC9*LN_IC6</f>
        <v>322330.93097795028</v>
      </c>
      <c r="E92" s="441">
        <f t="shared" si="8"/>
        <v>-76291.264881680021</v>
      </c>
      <c r="F92" s="449">
        <f t="shared" si="9"/>
        <v>-0.19138739807791588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145</v>
      </c>
      <c r="D93" s="456">
        <v>118</v>
      </c>
      <c r="E93" s="456">
        <f t="shared" si="8"/>
        <v>-27</v>
      </c>
      <c r="F93" s="449">
        <f t="shared" si="9"/>
        <v>-0.18620689655172415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247.08275862068965</v>
      </c>
      <c r="D94" s="499">
        <f>IF(LN_IC11=0,0,LN_IC2/LN_IC11)</f>
        <v>442.36440677966101</v>
      </c>
      <c r="E94" s="499">
        <f t="shared" si="8"/>
        <v>195.28164815897136</v>
      </c>
      <c r="F94" s="449">
        <f t="shared" si="9"/>
        <v>0.79034914960925695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3.7179487179487181</v>
      </c>
      <c r="D95" s="466">
        <f>IF(LN_IC4=0,0,LN_IC11/LN_IC4)</f>
        <v>3.3714285714285714</v>
      </c>
      <c r="E95" s="466">
        <f t="shared" si="8"/>
        <v>-0.34652014652014662</v>
      </c>
      <c r="F95" s="449">
        <f t="shared" si="9"/>
        <v>-9.3201970443349783E-2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2748229</v>
      </c>
      <c r="D98" s="448">
        <v>3705669</v>
      </c>
      <c r="E98" s="448">
        <f t="shared" ref="E98:E106" si="10">D98-C98</f>
        <v>957440</v>
      </c>
      <c r="F98" s="449">
        <f t="shared" ref="F98:F106" si="11">IF(C98=0,0,E98/C98)</f>
        <v>0.34838435952753571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567343</v>
      </c>
      <c r="D99" s="448">
        <v>1227999</v>
      </c>
      <c r="E99" s="448">
        <f t="shared" si="10"/>
        <v>660656</v>
      </c>
      <c r="F99" s="449">
        <f t="shared" si="11"/>
        <v>1.1644736958065931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0.20643949248770754</v>
      </c>
      <c r="D100" s="453">
        <f>IF(LN_IC14=0,0,LN_IC15/LN_IC14)</f>
        <v>0.33138388776763383</v>
      </c>
      <c r="E100" s="454">
        <f t="shared" si="10"/>
        <v>0.12494439527992629</v>
      </c>
      <c r="F100" s="449">
        <f t="shared" si="11"/>
        <v>0.60523494692938229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4.188026412236308</v>
      </c>
      <c r="D101" s="453">
        <f>IF(LN_IC1=0,0,LN_IC14/LN_IC1)</f>
        <v>4.9671183850731868</v>
      </c>
      <c r="E101" s="454">
        <f t="shared" si="10"/>
        <v>0.77909197283687881</v>
      </c>
      <c r="F101" s="449">
        <f t="shared" si="11"/>
        <v>0.18602842870345271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163.33303007721602</v>
      </c>
      <c r="D102" s="463">
        <f>LN_IC17*LN_IC4</f>
        <v>173.84914347756154</v>
      </c>
      <c r="E102" s="463">
        <f t="shared" si="10"/>
        <v>10.516113400345517</v>
      </c>
      <c r="F102" s="449">
        <f t="shared" si="11"/>
        <v>6.4384487297970305E-2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3473.5350206372063</v>
      </c>
      <c r="D103" s="465">
        <f>IF(LN_IC18=0,0,LN_IC15/LN_IC18)</f>
        <v>7063.5895894333016</v>
      </c>
      <c r="E103" s="465">
        <f t="shared" si="10"/>
        <v>3590.0545687960953</v>
      </c>
      <c r="F103" s="449">
        <f t="shared" si="11"/>
        <v>1.0335449469968245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9883.7854013939632</v>
      </c>
      <c r="D104" s="465">
        <f>LN_IB18-LN_IC19</f>
        <v>6923.2179362023498</v>
      </c>
      <c r="E104" s="465">
        <f t="shared" si="10"/>
        <v>-2960.5674651916133</v>
      </c>
      <c r="F104" s="449">
        <f t="shared" si="11"/>
        <v>-0.29953781319190403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7594.4509096185466</v>
      </c>
      <c r="D105" s="465">
        <f>LN_IA16-LN_IC19</f>
        <v>4012.0102773800745</v>
      </c>
      <c r="E105" s="465">
        <f t="shared" si="10"/>
        <v>-3582.4406322384721</v>
      </c>
      <c r="F105" s="449">
        <f t="shared" si="11"/>
        <v>-0.47171818935602422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1240424.6788406665</v>
      </c>
      <c r="D106" s="448">
        <f>LN_IC21*LN_IC18</f>
        <v>697484.5503457</v>
      </c>
      <c r="E106" s="448">
        <f t="shared" si="10"/>
        <v>-542940.12849496654</v>
      </c>
      <c r="F106" s="449">
        <f t="shared" si="11"/>
        <v>-0.43770503582886844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3404440</v>
      </c>
      <c r="D109" s="448">
        <f>LN_IC1+LN_IC14</f>
        <v>4451709</v>
      </c>
      <c r="E109" s="448">
        <f>D109-C109</f>
        <v>1047269</v>
      </c>
      <c r="F109" s="449">
        <f>IF(C109=0,0,E109/C109)</f>
        <v>0.30761858044201101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603170</v>
      </c>
      <c r="D110" s="448">
        <f>LN_IC2+LN_IC15</f>
        <v>1280198</v>
      </c>
      <c r="E110" s="448">
        <f>D110-C110</f>
        <v>677028</v>
      </c>
      <c r="F110" s="449">
        <f>IF(C110=0,0,E110/C110)</f>
        <v>1.1224497239584197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2801270</v>
      </c>
      <c r="D111" s="448">
        <f>LN_IC23-LN_IC24</f>
        <v>3171511</v>
      </c>
      <c r="E111" s="448">
        <f>D111-C111</f>
        <v>370241</v>
      </c>
      <c r="F111" s="449">
        <f>IF(C111=0,0,E111/C111)</f>
        <v>0.13216898049813119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1639046.8747002969</v>
      </c>
      <c r="D113" s="448">
        <f>LN_IC10+LN_IC22</f>
        <v>1019815.4813236503</v>
      </c>
      <c r="E113" s="448">
        <f>D113-C113</f>
        <v>-619231.39337664656</v>
      </c>
      <c r="F113" s="449">
        <f>IF(C113=0,0,E113/C113)</f>
        <v>-0.37779968525297625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53261498</v>
      </c>
      <c r="D118" s="448">
        <v>63921560</v>
      </c>
      <c r="E118" s="448">
        <f t="shared" ref="E118:E130" si="12">D118-C118</f>
        <v>10660062</v>
      </c>
      <c r="F118" s="449">
        <f t="shared" ref="F118:F130" si="13">IF(C118=0,0,E118/C118)</f>
        <v>0.20014574130077978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18101510</v>
      </c>
      <c r="D119" s="448">
        <v>23252661</v>
      </c>
      <c r="E119" s="448">
        <f t="shared" si="12"/>
        <v>5151151</v>
      </c>
      <c r="F119" s="449">
        <f t="shared" si="13"/>
        <v>0.28457023751057231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0.33986107563103091</v>
      </c>
      <c r="D120" s="453">
        <f>IF(LN_ID1=0,0,LN_1D2/LN_ID1)</f>
        <v>0.36376867210374714</v>
      </c>
      <c r="E120" s="454">
        <f t="shared" si="12"/>
        <v>2.390759647271623E-2</v>
      </c>
      <c r="F120" s="449">
        <f t="shared" si="13"/>
        <v>7.0345203340294954E-2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2050</v>
      </c>
      <c r="D121" s="456">
        <v>2162</v>
      </c>
      <c r="E121" s="456">
        <f t="shared" si="12"/>
        <v>112</v>
      </c>
      <c r="F121" s="449">
        <f t="shared" si="13"/>
        <v>5.4634146341463415E-2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1.2915000000000001</v>
      </c>
      <c r="D122" s="459">
        <v>1.3789</v>
      </c>
      <c r="E122" s="460">
        <f t="shared" si="12"/>
        <v>8.7399999999999922E-2</v>
      </c>
      <c r="F122" s="449">
        <f t="shared" si="13"/>
        <v>6.7673248161052968E-2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2647.5750000000003</v>
      </c>
      <c r="D123" s="463">
        <f>LN_ID4*LN_ID5</f>
        <v>2981.1817999999998</v>
      </c>
      <c r="E123" s="463">
        <f t="shared" si="12"/>
        <v>333.60679999999957</v>
      </c>
      <c r="F123" s="449">
        <f t="shared" si="13"/>
        <v>0.12600466464594942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6837.0150042963842</v>
      </c>
      <c r="D124" s="465">
        <f>IF(LN_ID6=0,0,LN_1D2/LN_ID6)</f>
        <v>7799.8131479267722</v>
      </c>
      <c r="E124" s="465">
        <f t="shared" si="12"/>
        <v>962.79814363038804</v>
      </c>
      <c r="F124" s="449">
        <f t="shared" si="13"/>
        <v>0.14082141739126872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4576.7885176231857</v>
      </c>
      <c r="D125" s="465">
        <f>LN_IB7-LN_ID7</f>
        <v>2959.0333946101291</v>
      </c>
      <c r="E125" s="465">
        <f t="shared" si="12"/>
        <v>-1617.7551230130566</v>
      </c>
      <c r="F125" s="449">
        <f t="shared" si="13"/>
        <v>-0.35346949433730618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4411.8216823235825</v>
      </c>
      <c r="D126" s="465">
        <f>LN_IA7-LN_ID7</f>
        <v>3601.0553485558394</v>
      </c>
      <c r="E126" s="465">
        <f t="shared" si="12"/>
        <v>-810.76633376774316</v>
      </c>
      <c r="F126" s="449">
        <f t="shared" si="13"/>
        <v>-0.18377132897645476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11680628.790577861</v>
      </c>
      <c r="D127" s="479">
        <f>LN_ID9*LN_ID6</f>
        <v>10735400.665907323</v>
      </c>
      <c r="E127" s="479">
        <f t="shared" si="12"/>
        <v>-945228.12467053719</v>
      </c>
      <c r="F127" s="449">
        <f t="shared" si="13"/>
        <v>-8.092270900972405E-2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10697</v>
      </c>
      <c r="D128" s="456">
        <v>10730</v>
      </c>
      <c r="E128" s="456">
        <f t="shared" si="12"/>
        <v>33</v>
      </c>
      <c r="F128" s="449">
        <f t="shared" si="13"/>
        <v>3.0849770963821631E-3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1692.2043563615966</v>
      </c>
      <c r="D129" s="465">
        <f>IF(LN_ID11=0,0,LN_1D2/LN_ID11)</f>
        <v>2167.0699906803356</v>
      </c>
      <c r="E129" s="465">
        <f t="shared" si="12"/>
        <v>474.86563431873901</v>
      </c>
      <c r="F129" s="449">
        <f t="shared" si="13"/>
        <v>0.28061955551263684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5.2180487804878046</v>
      </c>
      <c r="D130" s="466">
        <f>IF(LN_ID4=0,0,LN_ID11/LN_ID4)</f>
        <v>4.9629972247918595</v>
      </c>
      <c r="E130" s="466">
        <f t="shared" si="12"/>
        <v>-0.25505155569594518</v>
      </c>
      <c r="F130" s="449">
        <f t="shared" si="13"/>
        <v>-4.8878721994642202E-2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48802273</v>
      </c>
      <c r="D133" s="448">
        <v>63296593</v>
      </c>
      <c r="E133" s="448">
        <f t="shared" ref="E133:E141" si="14">D133-C133</f>
        <v>14494320</v>
      </c>
      <c r="F133" s="449">
        <f t="shared" ref="F133:F141" si="15">IF(C133=0,0,E133/C133)</f>
        <v>0.2970009204284399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19349673</v>
      </c>
      <c r="D134" s="448">
        <v>23849438</v>
      </c>
      <c r="E134" s="448">
        <f t="shared" si="14"/>
        <v>4499765</v>
      </c>
      <c r="F134" s="449">
        <f t="shared" si="15"/>
        <v>0.23254992474549829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0.39649122490667599</v>
      </c>
      <c r="D135" s="453">
        <f>IF(LN_ID14=0,0,LN_ID15/LN_ID14)</f>
        <v>0.37678865274786588</v>
      </c>
      <c r="E135" s="454">
        <f t="shared" si="14"/>
        <v>-1.9702572158810105E-2</v>
      </c>
      <c r="F135" s="449">
        <f t="shared" si="15"/>
        <v>-4.9692328407640277E-2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0.9162767633760508</v>
      </c>
      <c r="D136" s="453">
        <f>IF(LN_ID1=0,0,LN_ID14/LN_ID1)</f>
        <v>0.99022290757609799</v>
      </c>
      <c r="E136" s="454">
        <f t="shared" si="14"/>
        <v>7.3946144200047192E-2</v>
      </c>
      <c r="F136" s="449">
        <f t="shared" si="15"/>
        <v>8.0702847824701218E-2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1878.367364920904</v>
      </c>
      <c r="D137" s="463">
        <f>LN_ID17*LN_ID4</f>
        <v>2140.8619261795238</v>
      </c>
      <c r="E137" s="463">
        <f t="shared" si="14"/>
        <v>262.4945612586198</v>
      </c>
      <c r="F137" s="449">
        <f t="shared" si="15"/>
        <v>0.13974612536439227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10301.325162138766</v>
      </c>
      <c r="D138" s="465">
        <f>IF(LN_ID18=0,0,LN_ID15/LN_ID18)</f>
        <v>11140.110302470803</v>
      </c>
      <c r="E138" s="465">
        <f t="shared" si="14"/>
        <v>838.78514033203646</v>
      </c>
      <c r="F138" s="449">
        <f t="shared" si="15"/>
        <v>8.1424974663928326E-2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3055.9952598924028</v>
      </c>
      <c r="D139" s="465">
        <f>LN_IB18-LN_ID19</f>
        <v>2846.6972231648488</v>
      </c>
      <c r="E139" s="465">
        <f t="shared" si="14"/>
        <v>-209.29803672755406</v>
      </c>
      <c r="F139" s="449">
        <f t="shared" si="15"/>
        <v>-6.8487683693240792E-2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766.66076811698622</v>
      </c>
      <c r="D140" s="465">
        <f>LN_IA16-LN_ID19</f>
        <v>-64.510435657426569</v>
      </c>
      <c r="E140" s="465">
        <f t="shared" si="14"/>
        <v>-831.17120377441279</v>
      </c>
      <c r="F140" s="449">
        <f t="shared" si="15"/>
        <v>-1.0841446938988051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1440070.5667961396</v>
      </c>
      <c r="D141" s="441">
        <f>LN_ID21*LN_ID18</f>
        <v>-138107.93554023848</v>
      </c>
      <c r="E141" s="441">
        <f t="shared" si="14"/>
        <v>-1578178.502336378</v>
      </c>
      <c r="F141" s="449">
        <f t="shared" si="15"/>
        <v>-1.0959035888411359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102063771</v>
      </c>
      <c r="D144" s="448">
        <f>LN_ID1+LN_ID14</f>
        <v>127218153</v>
      </c>
      <c r="E144" s="448">
        <f>D144-C144</f>
        <v>25154382</v>
      </c>
      <c r="F144" s="449">
        <f>IF(C144=0,0,E144/C144)</f>
        <v>0.24645750155557156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37451183</v>
      </c>
      <c r="D145" s="448">
        <f>LN_1D2+LN_ID15</f>
        <v>47102099</v>
      </c>
      <c r="E145" s="448">
        <f>D145-C145</f>
        <v>9650916</v>
      </c>
      <c r="F145" s="449">
        <f>IF(C145=0,0,E145/C145)</f>
        <v>0.25769322159996921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64612588</v>
      </c>
      <c r="D146" s="448">
        <f>LN_ID23-LN_ID24</f>
        <v>80116054</v>
      </c>
      <c r="E146" s="448">
        <f>D146-C146</f>
        <v>15503466</v>
      </c>
      <c r="F146" s="449">
        <f>IF(C146=0,0,E146/C146)</f>
        <v>0.23994497790430558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13120699.357373999</v>
      </c>
      <c r="D148" s="448">
        <f>LN_ID10+LN_ID22</f>
        <v>10597292.730367085</v>
      </c>
      <c r="E148" s="448">
        <f>D148-C148</f>
        <v>-2523406.6270069145</v>
      </c>
      <c r="F148" s="503">
        <f>IF(C148=0,0,E148/C148)</f>
        <v>-0.19232257048773302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104221</v>
      </c>
      <c r="D153" s="448">
        <v>82012</v>
      </c>
      <c r="E153" s="448">
        <f t="shared" ref="E153:E165" si="16">D153-C153</f>
        <v>-22209</v>
      </c>
      <c r="F153" s="449">
        <f t="shared" ref="F153:F165" si="17">IF(C153=0,0,E153/C153)</f>
        <v>-0.2130952495178515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32444</v>
      </c>
      <c r="D154" s="448">
        <v>25610</v>
      </c>
      <c r="E154" s="448">
        <f t="shared" si="16"/>
        <v>-6834</v>
      </c>
      <c r="F154" s="449">
        <f t="shared" si="17"/>
        <v>-0.21063987177906546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0.3113000259064872</v>
      </c>
      <c r="D155" s="453">
        <f>IF(LN_IE1=0,0,LN_IE2/LN_IE1)</f>
        <v>0.31227137492074331</v>
      </c>
      <c r="E155" s="454">
        <f t="shared" si="16"/>
        <v>9.7134901425610654E-4</v>
      </c>
      <c r="F155" s="449">
        <f t="shared" si="17"/>
        <v>3.1202985333123436E-3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3</v>
      </c>
      <c r="D156" s="506">
        <v>7</v>
      </c>
      <c r="E156" s="506">
        <f t="shared" si="16"/>
        <v>4</v>
      </c>
      <c r="F156" s="449">
        <f t="shared" si="17"/>
        <v>1.3333333333333333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1.8149</v>
      </c>
      <c r="D157" s="459">
        <v>1.1148</v>
      </c>
      <c r="E157" s="460">
        <f t="shared" si="16"/>
        <v>-0.70009999999999994</v>
      </c>
      <c r="F157" s="449">
        <f t="shared" si="17"/>
        <v>-0.38575128106231749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5.4447000000000001</v>
      </c>
      <c r="D158" s="463">
        <f>LN_IE4*LN_IE5</f>
        <v>7.8036000000000003</v>
      </c>
      <c r="E158" s="463">
        <f t="shared" si="16"/>
        <v>2.3589000000000002</v>
      </c>
      <c r="F158" s="449">
        <f t="shared" si="17"/>
        <v>0.43324701085459255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5958.8223409921575</v>
      </c>
      <c r="D159" s="465">
        <f>IF(LN_IE6=0,0,LN_IE2/LN_IE6)</f>
        <v>3281.8186478035777</v>
      </c>
      <c r="E159" s="465">
        <f t="shared" si="16"/>
        <v>-2677.0036931885797</v>
      </c>
      <c r="F159" s="449">
        <f t="shared" si="17"/>
        <v>-0.4492504625910449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5454.9811809274124</v>
      </c>
      <c r="D160" s="465">
        <f>LN_IB7-LN_IE7</f>
        <v>7477.0278947333236</v>
      </c>
      <c r="E160" s="465">
        <f t="shared" si="16"/>
        <v>2022.0467138059112</v>
      </c>
      <c r="F160" s="449">
        <f t="shared" si="17"/>
        <v>0.37067895318790794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5290.0143456278092</v>
      </c>
      <c r="D161" s="465">
        <f>LN_IA7-LN_IE7</f>
        <v>8119.0498486790339</v>
      </c>
      <c r="E161" s="465">
        <f t="shared" si="16"/>
        <v>2829.0355030512246</v>
      </c>
      <c r="F161" s="449">
        <f t="shared" si="17"/>
        <v>0.53478786978893911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28802.541107639732</v>
      </c>
      <c r="D162" s="479">
        <f>LN_IE9*LN_IE6</f>
        <v>63357.817399151711</v>
      </c>
      <c r="E162" s="479">
        <f t="shared" si="16"/>
        <v>34555.276291511982</v>
      </c>
      <c r="F162" s="449">
        <f t="shared" si="17"/>
        <v>1.1997301266708849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14</v>
      </c>
      <c r="D163" s="456">
        <v>13</v>
      </c>
      <c r="E163" s="506">
        <f t="shared" si="16"/>
        <v>-1</v>
      </c>
      <c r="F163" s="449">
        <f t="shared" si="17"/>
        <v>-7.1428571428571425E-2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2317.4285714285716</v>
      </c>
      <c r="D164" s="465">
        <f>IF(LN_IE11=0,0,LN_IE2/LN_IE11)</f>
        <v>1970</v>
      </c>
      <c r="E164" s="465">
        <f t="shared" si="16"/>
        <v>-347.42857142857156</v>
      </c>
      <c r="F164" s="449">
        <f t="shared" si="17"/>
        <v>-0.14991986191591669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4.666666666666667</v>
      </c>
      <c r="D165" s="466">
        <f>IF(LN_IE4=0,0,LN_IE11/LN_IE4)</f>
        <v>1.8571428571428572</v>
      </c>
      <c r="E165" s="466">
        <f t="shared" si="16"/>
        <v>-2.8095238095238098</v>
      </c>
      <c r="F165" s="449">
        <f t="shared" si="17"/>
        <v>-0.60204081632653061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114654</v>
      </c>
      <c r="D168" s="511">
        <v>111181</v>
      </c>
      <c r="E168" s="511">
        <f t="shared" ref="E168:E176" si="18">D168-C168</f>
        <v>-3473</v>
      </c>
      <c r="F168" s="449">
        <f t="shared" ref="F168:F176" si="19">IF(C168=0,0,E168/C168)</f>
        <v>-3.0291136811624542E-2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93074</v>
      </c>
      <c r="D169" s="511">
        <v>82152</v>
      </c>
      <c r="E169" s="511">
        <f t="shared" si="18"/>
        <v>-10922</v>
      </c>
      <c r="F169" s="449">
        <f t="shared" si="19"/>
        <v>-0.11734748694587102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0.81178153400666353</v>
      </c>
      <c r="D170" s="453">
        <f>IF(LN_IE14=0,0,LN_IE15/LN_IE14)</f>
        <v>0.73890322986841273</v>
      </c>
      <c r="E170" s="454">
        <f t="shared" si="18"/>
        <v>-7.2878304138250805E-2</v>
      </c>
      <c r="F170" s="449">
        <f t="shared" si="19"/>
        <v>-8.9775759961611273E-2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1.1001045854482303</v>
      </c>
      <c r="D171" s="453">
        <f>IF(LN_IE1=0,0,LN_IE14/LN_IE1)</f>
        <v>1.3556674632980539</v>
      </c>
      <c r="E171" s="454">
        <f t="shared" si="18"/>
        <v>0.25556287784982357</v>
      </c>
      <c r="F171" s="449">
        <f t="shared" si="19"/>
        <v>0.23230780166750797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3.3003137563446909</v>
      </c>
      <c r="D172" s="463">
        <f>LN_IE17*LN_IE4</f>
        <v>9.4896722430863765</v>
      </c>
      <c r="E172" s="463">
        <f t="shared" si="18"/>
        <v>6.1893584867416855</v>
      </c>
      <c r="F172" s="449">
        <f t="shared" si="19"/>
        <v>1.8753848705575185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28201.561085236157</v>
      </c>
      <c r="D173" s="465">
        <f>IF(LN_IE18=0,0,LN_IE15/LN_IE18)</f>
        <v>8656.9902411383246</v>
      </c>
      <c r="E173" s="465">
        <f t="shared" si="18"/>
        <v>-19544.570844097834</v>
      </c>
      <c r="F173" s="449">
        <f t="shared" si="19"/>
        <v>-0.69303152350419506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-14844.240663204988</v>
      </c>
      <c r="D174" s="465">
        <f>LN_IB18-LN_IE19</f>
        <v>5329.8172844973269</v>
      </c>
      <c r="E174" s="465">
        <f t="shared" si="18"/>
        <v>20174.057947702313</v>
      </c>
      <c r="F174" s="449">
        <f t="shared" si="19"/>
        <v>-1.3590495065004271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-17133.575154980404</v>
      </c>
      <c r="D175" s="465">
        <f>LN_IA16-LN_IE19</f>
        <v>2418.6096256750516</v>
      </c>
      <c r="E175" s="465">
        <f t="shared" si="18"/>
        <v>19552.184780655458</v>
      </c>
      <c r="F175" s="449">
        <f t="shared" si="19"/>
        <v>-1.1411619935592958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-56546.173779347446</v>
      </c>
      <c r="D176" s="441">
        <f>LN_IE21*LN_IE18</f>
        <v>22951.81263163007</v>
      </c>
      <c r="E176" s="441">
        <f t="shared" si="18"/>
        <v>79497.986410977523</v>
      </c>
      <c r="F176" s="449">
        <f t="shared" si="19"/>
        <v>-1.4058950605781366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218875</v>
      </c>
      <c r="D179" s="448">
        <f>LN_IE1+LN_IE14</f>
        <v>193193</v>
      </c>
      <c r="E179" s="448">
        <f>D179-C179</f>
        <v>-25682</v>
      </c>
      <c r="F179" s="449">
        <f>IF(C179=0,0,E179/C179)</f>
        <v>-0.11733637921187892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125518</v>
      </c>
      <c r="D180" s="448">
        <f>LN_IE15+LN_IE2</f>
        <v>107762</v>
      </c>
      <c r="E180" s="448">
        <f>D180-C180</f>
        <v>-17756</v>
      </c>
      <c r="F180" s="449">
        <f>IF(C180=0,0,E180/C180)</f>
        <v>-0.1414617823738428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93357</v>
      </c>
      <c r="D181" s="448">
        <f>LN_IE23-LN_IE24</f>
        <v>85431</v>
      </c>
      <c r="E181" s="448">
        <f>D181-C181</f>
        <v>-7926</v>
      </c>
      <c r="F181" s="449">
        <f>IF(C181=0,0,E181/C181)</f>
        <v>-8.489990038240304E-2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-27743.632671707714</v>
      </c>
      <c r="D183" s="448">
        <f>LN_IE10+LN_IE22</f>
        <v>86309.630030781787</v>
      </c>
      <c r="E183" s="441">
        <f>D183-C183</f>
        <v>114053.2627024895</v>
      </c>
      <c r="F183" s="449">
        <f>IF(C183=0,0,E183/C183)</f>
        <v>-4.1109707604656354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53365719</v>
      </c>
      <c r="D188" s="448">
        <f>LN_ID1+LN_IE1</f>
        <v>64003572</v>
      </c>
      <c r="E188" s="448">
        <f t="shared" ref="E188:E200" si="20">D188-C188</f>
        <v>10637853</v>
      </c>
      <c r="F188" s="449">
        <f t="shared" ref="F188:F200" si="21">IF(C188=0,0,E188/C188)</f>
        <v>0.19933869906259485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18133954</v>
      </c>
      <c r="D189" s="448">
        <f>LN_1D2+LN_IE2</f>
        <v>23278271</v>
      </c>
      <c r="E189" s="448">
        <f t="shared" si="20"/>
        <v>5144317</v>
      </c>
      <c r="F189" s="449">
        <f t="shared" si="21"/>
        <v>0.28368424227832495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0.33980529710468249</v>
      </c>
      <c r="D190" s="453">
        <f>IF(LN_IF1=0,0,LN_IF2/LN_IF1)</f>
        <v>0.36370268521888122</v>
      </c>
      <c r="E190" s="454">
        <f t="shared" si="20"/>
        <v>2.3897388114198725E-2</v>
      </c>
      <c r="F190" s="449">
        <f t="shared" si="21"/>
        <v>7.0326708611716401E-2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2053</v>
      </c>
      <c r="D191" s="456">
        <f>LN_ID4+LN_IE4</f>
        <v>2169</v>
      </c>
      <c r="E191" s="456">
        <f t="shared" si="20"/>
        <v>116</v>
      </c>
      <c r="F191" s="449">
        <f t="shared" si="21"/>
        <v>5.6502679006332199E-2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1.2922648319532393</v>
      </c>
      <c r="D192" s="459">
        <f>IF((LN_ID4+LN_IE4)=0,0,(LN_ID6+LN_IE6)/(LN_ID4+LN_IE4))</f>
        <v>1.3780476717381283</v>
      </c>
      <c r="E192" s="460">
        <f t="shared" si="20"/>
        <v>8.5782839784888987E-2</v>
      </c>
      <c r="F192" s="449">
        <f t="shared" si="21"/>
        <v>6.6381780006525046E-2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2653.0197000000003</v>
      </c>
      <c r="D193" s="463">
        <f>LN_IF4*LN_IF5</f>
        <v>2988.9854</v>
      </c>
      <c r="E193" s="463">
        <f t="shared" si="20"/>
        <v>335.96569999999974</v>
      </c>
      <c r="F193" s="449">
        <f t="shared" si="21"/>
        <v>0.1266352074204348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6835.2127200563182</v>
      </c>
      <c r="D194" s="465">
        <f>IF(LN_IF6=0,0,LN_IF2/LN_IF6)</f>
        <v>7788.0176330068389</v>
      </c>
      <c r="E194" s="465">
        <f t="shared" si="20"/>
        <v>952.8049129505207</v>
      </c>
      <c r="F194" s="449">
        <f t="shared" si="21"/>
        <v>0.13939652677593187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4578.5908018632517</v>
      </c>
      <c r="D195" s="465">
        <f>LN_IB7-LN_IF7</f>
        <v>2970.8289095300624</v>
      </c>
      <c r="E195" s="465">
        <f t="shared" si="20"/>
        <v>-1607.7618923331893</v>
      </c>
      <c r="F195" s="449">
        <f t="shared" si="21"/>
        <v>-0.35114775744513194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4413.6239665636485</v>
      </c>
      <c r="D196" s="465">
        <f>LN_IA7-LN_IF7</f>
        <v>3612.8508634757727</v>
      </c>
      <c r="E196" s="465">
        <f t="shared" si="20"/>
        <v>-800.77310308787582</v>
      </c>
      <c r="F196" s="449">
        <f t="shared" si="21"/>
        <v>-0.18143210866043497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11709431.3316855</v>
      </c>
      <c r="D197" s="479">
        <f>LN_IF9*LN_IF6</f>
        <v>10798758.483306479</v>
      </c>
      <c r="E197" s="479">
        <f t="shared" si="20"/>
        <v>-910672.84837902151</v>
      </c>
      <c r="F197" s="449">
        <f t="shared" si="21"/>
        <v>-7.7772593952940991E-2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10711</v>
      </c>
      <c r="D198" s="456">
        <f>LN_ID11+LN_IE11</f>
        <v>10743</v>
      </c>
      <c r="E198" s="456">
        <f t="shared" si="20"/>
        <v>32</v>
      </c>
      <c r="F198" s="449">
        <f t="shared" si="21"/>
        <v>2.987582858743348E-3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1693.0215666137615</v>
      </c>
      <c r="D199" s="519">
        <f>IF(LN_IF11=0,0,LN_IF2/LN_IF11)</f>
        <v>2166.8315181978965</v>
      </c>
      <c r="E199" s="519">
        <f t="shared" si="20"/>
        <v>473.80995158413498</v>
      </c>
      <c r="F199" s="449">
        <f t="shared" si="21"/>
        <v>0.27986055282911104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5.2172430589381396</v>
      </c>
      <c r="D200" s="466">
        <f>IF(LN_IF4=0,0,LN_IF11/LN_IF4)</f>
        <v>4.9529737206085755</v>
      </c>
      <c r="E200" s="466">
        <f t="shared" si="20"/>
        <v>-0.26426933832956401</v>
      </c>
      <c r="F200" s="449">
        <f t="shared" si="21"/>
        <v>-5.0653062420931275E-2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48916927</v>
      </c>
      <c r="D203" s="448">
        <f>LN_ID14+LN_IE14</f>
        <v>63407774</v>
      </c>
      <c r="E203" s="448">
        <f t="shared" ref="E203:E211" si="22">D203-C203</f>
        <v>14490847</v>
      </c>
      <c r="F203" s="449">
        <f t="shared" ref="F203:F211" si="23">IF(C203=0,0,E203/C203)</f>
        <v>0.29623379653427534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19442747</v>
      </c>
      <c r="D204" s="448">
        <f>LN_ID15+LN_IE15</f>
        <v>23931590</v>
      </c>
      <c r="E204" s="448">
        <f t="shared" si="22"/>
        <v>4488843</v>
      </c>
      <c r="F204" s="449">
        <f t="shared" si="23"/>
        <v>0.23087493757955088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0.39746460361256952</v>
      </c>
      <c r="D205" s="453">
        <f>IF(LN_IF14=0,0,LN_IF15/LN_IF14)</f>
        <v>0.37742359477877269</v>
      </c>
      <c r="E205" s="454">
        <f t="shared" si="22"/>
        <v>-2.0041008833796836E-2</v>
      </c>
      <c r="F205" s="449">
        <f t="shared" si="23"/>
        <v>-5.0422122250996473E-2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0.91663577136475949</v>
      </c>
      <c r="D206" s="453">
        <f>IF(LN_IF1=0,0,LN_IF14/LN_IF1)</f>
        <v>0.99069117579875077</v>
      </c>
      <c r="E206" s="454">
        <f t="shared" si="22"/>
        <v>7.4055404433991279E-2</v>
      </c>
      <c r="F206" s="449">
        <f t="shared" si="23"/>
        <v>8.0790436886105557E-2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1881.6676786772487</v>
      </c>
      <c r="D207" s="463">
        <f>LN_ID18+LN_IE18</f>
        <v>2150.3515984226101</v>
      </c>
      <c r="E207" s="463">
        <f t="shared" si="22"/>
        <v>268.68391974536144</v>
      </c>
      <c r="F207" s="449">
        <f t="shared" si="23"/>
        <v>0.14279031456512956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10332.720926400574</v>
      </c>
      <c r="D208" s="465">
        <f>IF(LN_IF18=0,0,LN_IF15/LN_IF18)</f>
        <v>11129.152096594349</v>
      </c>
      <c r="E208" s="465">
        <f t="shared" si="22"/>
        <v>796.43117019377496</v>
      </c>
      <c r="F208" s="449">
        <f t="shared" si="23"/>
        <v>7.7078552287118962E-2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3024.5994956305949</v>
      </c>
      <c r="D209" s="465">
        <f>LN_IB18-LN_IF19</f>
        <v>2857.6554290413023</v>
      </c>
      <c r="E209" s="465">
        <f t="shared" si="22"/>
        <v>-166.94406658929256</v>
      </c>
      <c r="F209" s="449">
        <f t="shared" si="23"/>
        <v>-5.5195428958598899E-2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735.26500385517829</v>
      </c>
      <c r="D210" s="465">
        <f>LN_IA16-LN_IF19</f>
        <v>-53.552229780972993</v>
      </c>
      <c r="E210" s="465">
        <f t="shared" si="22"/>
        <v>-788.81723363615129</v>
      </c>
      <c r="F210" s="449">
        <f t="shared" si="23"/>
        <v>-1.0728339163433391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1383524.3930167921</v>
      </c>
      <c r="D211" s="441">
        <f>LN_IF21*LN_IF18</f>
        <v>-115156.12290861018</v>
      </c>
      <c r="E211" s="441">
        <f t="shared" si="22"/>
        <v>-1498680.5159254023</v>
      </c>
      <c r="F211" s="449">
        <f t="shared" si="23"/>
        <v>-1.0832338941690147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102282646</v>
      </c>
      <c r="D214" s="448">
        <f>LN_IF1+LN_IF14</f>
        <v>127411346</v>
      </c>
      <c r="E214" s="448">
        <f>D214-C214</f>
        <v>25128700</v>
      </c>
      <c r="F214" s="449">
        <f>IF(C214=0,0,E214/C214)</f>
        <v>0.24567901772897036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37576701</v>
      </c>
      <c r="D215" s="448">
        <f>LN_IF2+LN_IF15</f>
        <v>47209861</v>
      </c>
      <c r="E215" s="448">
        <f>D215-C215</f>
        <v>9633160</v>
      </c>
      <c r="F215" s="449">
        <f>IF(C215=0,0,E215/C215)</f>
        <v>0.25635991834408239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64705945</v>
      </c>
      <c r="D216" s="448">
        <f>LN_IF23-LN_IF24</f>
        <v>80201485</v>
      </c>
      <c r="E216" s="448">
        <f>D216-C216</f>
        <v>15495540</v>
      </c>
      <c r="F216" s="449">
        <f>IF(C216=0,0,E216/C216)</f>
        <v>0.23947629541613216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687828</v>
      </c>
      <c r="D221" s="448">
        <v>705873</v>
      </c>
      <c r="E221" s="448">
        <f t="shared" ref="E221:E230" si="24">D221-C221</f>
        <v>18045</v>
      </c>
      <c r="F221" s="449">
        <f t="shared" ref="F221:F230" si="25">IF(C221=0,0,E221/C221)</f>
        <v>2.6234756363509481E-2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260561</v>
      </c>
      <c r="D222" s="448">
        <v>261142</v>
      </c>
      <c r="E222" s="448">
        <f t="shared" si="24"/>
        <v>581</v>
      </c>
      <c r="F222" s="449">
        <f t="shared" si="25"/>
        <v>2.2298041533460496E-3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0.37881708799292846</v>
      </c>
      <c r="D223" s="453">
        <f>IF(LN_IG1=0,0,LN_IG2/LN_IG1)</f>
        <v>0.36995606858457541</v>
      </c>
      <c r="E223" s="454">
        <f t="shared" si="24"/>
        <v>-8.8610194083530436E-3</v>
      </c>
      <c r="F223" s="449">
        <f t="shared" si="25"/>
        <v>-2.3391287482043197E-2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41</v>
      </c>
      <c r="D224" s="456">
        <v>35</v>
      </c>
      <c r="E224" s="456">
        <f t="shared" si="24"/>
        <v>-6</v>
      </c>
      <c r="F224" s="449">
        <f t="shared" si="25"/>
        <v>-0.14634146341463414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1.226</v>
      </c>
      <c r="D225" s="459">
        <v>1.0742</v>
      </c>
      <c r="E225" s="460">
        <f t="shared" si="24"/>
        <v>-0.15179999999999993</v>
      </c>
      <c r="F225" s="449">
        <f t="shared" si="25"/>
        <v>-0.12381729200652523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50.265999999999998</v>
      </c>
      <c r="D226" s="463">
        <f>LN_IG3*LN_IG4</f>
        <v>37.597000000000001</v>
      </c>
      <c r="E226" s="463">
        <f t="shared" si="24"/>
        <v>-12.668999999999997</v>
      </c>
      <c r="F226" s="449">
        <f t="shared" si="25"/>
        <v>-0.25203915171288738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5183.6430191381851</v>
      </c>
      <c r="D227" s="465">
        <f>IF(LN_IG5=0,0,LN_IG2/LN_IG5)</f>
        <v>6945.8201452243529</v>
      </c>
      <c r="E227" s="465">
        <f t="shared" si="24"/>
        <v>1762.1771260861678</v>
      </c>
      <c r="F227" s="449">
        <f t="shared" si="25"/>
        <v>0.33994955277208527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120</v>
      </c>
      <c r="D228" s="456">
        <v>105</v>
      </c>
      <c r="E228" s="456">
        <f t="shared" si="24"/>
        <v>-15</v>
      </c>
      <c r="F228" s="449">
        <f t="shared" si="25"/>
        <v>-0.125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2171.3416666666667</v>
      </c>
      <c r="D229" s="465">
        <f>IF(LN_IG6=0,0,LN_IG2/LN_IG6)</f>
        <v>2487.0666666666666</v>
      </c>
      <c r="E229" s="465">
        <f t="shared" si="24"/>
        <v>315.72499999999991</v>
      </c>
      <c r="F229" s="449">
        <f t="shared" si="25"/>
        <v>0.14540549046096687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2.9268292682926829</v>
      </c>
      <c r="D230" s="466">
        <f>IF(LN_IG3=0,0,LN_IG6/LN_IG3)</f>
        <v>3</v>
      </c>
      <c r="E230" s="466">
        <f t="shared" si="24"/>
        <v>7.3170731707317138E-2</v>
      </c>
      <c r="F230" s="449">
        <f t="shared" si="25"/>
        <v>2.5000000000000022E-2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1866697</v>
      </c>
      <c r="D233" s="448">
        <v>1835075</v>
      </c>
      <c r="E233" s="448">
        <f>D233-C233</f>
        <v>-31622</v>
      </c>
      <c r="F233" s="449">
        <f>IF(C233=0,0,E233/C233)</f>
        <v>-1.6940081866526811E-2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700897</v>
      </c>
      <c r="D234" s="448">
        <v>718631</v>
      </c>
      <c r="E234" s="448">
        <f>D234-C234</f>
        <v>17734</v>
      </c>
      <c r="F234" s="449">
        <f>IF(C234=0,0,E234/C234)</f>
        <v>2.53018631838915E-2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2554525</v>
      </c>
      <c r="D237" s="448">
        <f>LN_IG1+LN_IG9</f>
        <v>2540948</v>
      </c>
      <c r="E237" s="448">
        <f>D237-C237</f>
        <v>-13577</v>
      </c>
      <c r="F237" s="449">
        <f>IF(C237=0,0,E237/C237)</f>
        <v>-5.3148824145389066E-3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961458</v>
      </c>
      <c r="D238" s="448">
        <f>LN_IG2+LN_IG10</f>
        <v>979773</v>
      </c>
      <c r="E238" s="448">
        <f>D238-C238</f>
        <v>18315</v>
      </c>
      <c r="F238" s="449">
        <f>IF(C238=0,0,E238/C238)</f>
        <v>1.9049194036556978E-2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1593067</v>
      </c>
      <c r="D239" s="448">
        <f>LN_IG13-LN_IG14</f>
        <v>1561175</v>
      </c>
      <c r="E239" s="448">
        <f>D239-C239</f>
        <v>-31892</v>
      </c>
      <c r="F239" s="449">
        <f>IF(C239=0,0,E239/C239)</f>
        <v>-2.0019245894868202E-2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18659132</v>
      </c>
      <c r="D243" s="448">
        <v>23409670</v>
      </c>
      <c r="E243" s="441">
        <f>D243-C243</f>
        <v>4750538</v>
      </c>
      <c r="F243" s="503">
        <f>IF(C243=0,0,E243/C243)</f>
        <v>0.25459587294843083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303434488</v>
      </c>
      <c r="D244" s="448">
        <v>309096761</v>
      </c>
      <c r="E244" s="441">
        <f>D244-C244</f>
        <v>5662273</v>
      </c>
      <c r="F244" s="503">
        <f>IF(C244=0,0,E244/C244)</f>
        <v>1.8660611182734113E-2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477593</v>
      </c>
      <c r="D248" s="441">
        <v>823539</v>
      </c>
      <c r="E248" s="441">
        <f>D248-C248</f>
        <v>345946</v>
      </c>
      <c r="F248" s="449">
        <f>IF(C248=0,0,E248/C248)</f>
        <v>0.72435316263010552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5650516</v>
      </c>
      <c r="D249" s="441">
        <v>1521412</v>
      </c>
      <c r="E249" s="441">
        <f>D249-C249</f>
        <v>-4129104</v>
      </c>
      <c r="F249" s="449">
        <f>IF(C249=0,0,E249/C249)</f>
        <v>-0.73074812990530424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6128109</v>
      </c>
      <c r="D250" s="441">
        <f>LN_IH4+LN_IH5</f>
        <v>2344951</v>
      </c>
      <c r="E250" s="441">
        <f>D250-C250</f>
        <v>-3783158</v>
      </c>
      <c r="F250" s="449">
        <f>IF(C250=0,0,E250/C250)</f>
        <v>-0.61734508965163637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3000734.198225108</v>
      </c>
      <c r="D251" s="441">
        <f>LN_IH6*LN_III10</f>
        <v>1102334.4364750909</v>
      </c>
      <c r="E251" s="441">
        <f>D251-C251</f>
        <v>-1898399.7617500171</v>
      </c>
      <c r="F251" s="449">
        <f>IF(C251=0,0,E251/C251)</f>
        <v>-0.63264509161554316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102282646</v>
      </c>
      <c r="D254" s="441">
        <f>LN_IF23</f>
        <v>127411346</v>
      </c>
      <c r="E254" s="441">
        <f>D254-C254</f>
        <v>25128700</v>
      </c>
      <c r="F254" s="449">
        <f>IF(C254=0,0,E254/C254)</f>
        <v>0.24567901772897036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37576701</v>
      </c>
      <c r="D255" s="441">
        <f>LN_IF24</f>
        <v>47209861</v>
      </c>
      <c r="E255" s="441">
        <f>D255-C255</f>
        <v>9633160</v>
      </c>
      <c r="F255" s="449">
        <f>IF(C255=0,0,E255/C255)</f>
        <v>0.25635991834408239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50084460.595781267</v>
      </c>
      <c r="D256" s="441">
        <f>LN_IH8*LN_III10</f>
        <v>59894605.172322504</v>
      </c>
      <c r="E256" s="441">
        <f>D256-C256</f>
        <v>9810144.5765412375</v>
      </c>
      <c r="F256" s="449">
        <f>IF(C256=0,0,E256/C256)</f>
        <v>0.19587202217702568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12507759.595781267</v>
      </c>
      <c r="D257" s="441">
        <f>LN_IH10-LN_IH9</f>
        <v>12684744.172322504</v>
      </c>
      <c r="E257" s="441">
        <f>D257-C257</f>
        <v>176984.57654123753</v>
      </c>
      <c r="F257" s="449">
        <f>IF(C257=0,0,E257/C257)</f>
        <v>1.4149982271879653E-2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232681945</v>
      </c>
      <c r="D261" s="448">
        <f>LN_IA1+LN_IB1+LN_IF1+LN_IG1</f>
        <v>257095549</v>
      </c>
      <c r="E261" s="448">
        <f t="shared" ref="E261:E274" si="26">D261-C261</f>
        <v>24413604</v>
      </c>
      <c r="F261" s="503">
        <f t="shared" ref="F261:F274" si="27">IF(C261=0,0,E261/C261)</f>
        <v>0.10492264021602536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122303334</v>
      </c>
      <c r="D262" s="448">
        <f>+LN_IA2+LN_IB2+LN_IF2+LN_IG2</f>
        <v>129616570</v>
      </c>
      <c r="E262" s="448">
        <f t="shared" si="26"/>
        <v>7313236</v>
      </c>
      <c r="F262" s="503">
        <f t="shared" si="27"/>
        <v>5.9795884223401465E-2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0.52562451289462964</v>
      </c>
      <c r="D263" s="453">
        <f>IF(LN_IIA1=0,0,LN_IIA2/LN_IIA1)</f>
        <v>0.50415719176841911</v>
      </c>
      <c r="E263" s="454">
        <f t="shared" si="26"/>
        <v>-2.1467321126210526E-2</v>
      </c>
      <c r="F263" s="458">
        <f t="shared" si="27"/>
        <v>-4.0841552476290267E-2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8374</v>
      </c>
      <c r="D264" s="456">
        <f>LN_IA4+LN_IB4+LN_IF4+LN_IG3</f>
        <v>8578</v>
      </c>
      <c r="E264" s="456">
        <f t="shared" si="26"/>
        <v>204</v>
      </c>
      <c r="F264" s="503">
        <f t="shared" si="27"/>
        <v>2.4361117745402436E-2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1.4200279078098879</v>
      </c>
      <c r="D265" s="525">
        <f>IF(LN_IIA4=0,0,LN_IIA6/LN_IIA4)</f>
        <v>1.4601388202378176</v>
      </c>
      <c r="E265" s="525">
        <f t="shared" si="26"/>
        <v>4.0110912427929746E-2</v>
      </c>
      <c r="F265" s="503">
        <f t="shared" si="27"/>
        <v>2.8246566287413951E-2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11891.313700000001</v>
      </c>
      <c r="D266" s="463">
        <f>LN_IA6+LN_IB6+LN_IF6+LN_IG5</f>
        <v>12525.0708</v>
      </c>
      <c r="E266" s="463">
        <f t="shared" si="26"/>
        <v>633.7570999999989</v>
      </c>
      <c r="F266" s="503">
        <f t="shared" si="27"/>
        <v>5.3295801960047434E-2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302459446</v>
      </c>
      <c r="D267" s="448">
        <f>LN_IA11+LN_IB13+LN_IF14+LN_IG9</f>
        <v>343726098</v>
      </c>
      <c r="E267" s="448">
        <f t="shared" si="26"/>
        <v>41266652</v>
      </c>
      <c r="F267" s="503">
        <f t="shared" si="27"/>
        <v>0.13643697542182234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1.2998836072132713</v>
      </c>
      <c r="D268" s="453">
        <f>IF(LN_IIA1=0,0,LN_IIA7/LN_IIA1)</f>
        <v>1.3369585717720847</v>
      </c>
      <c r="E268" s="454">
        <f t="shared" si="26"/>
        <v>3.7074964558813317E-2</v>
      </c>
      <c r="F268" s="458">
        <f t="shared" si="27"/>
        <v>2.8521757142776587E-2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143064713</v>
      </c>
      <c r="D269" s="448">
        <f>LN_IA12+LN_IB14+LN_IF15+LN_IG10</f>
        <v>151996201</v>
      </c>
      <c r="E269" s="448">
        <f t="shared" si="26"/>
        <v>8931488</v>
      </c>
      <c r="F269" s="503">
        <f t="shared" si="27"/>
        <v>6.2429706198760558E-2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0.47300461232743246</v>
      </c>
      <c r="D270" s="453">
        <f>IF(LN_IIA7=0,0,LN_IIA9/LN_IIA7)</f>
        <v>0.44220151418354042</v>
      </c>
      <c r="E270" s="454">
        <f t="shared" si="26"/>
        <v>-3.0803098143892038E-2</v>
      </c>
      <c r="F270" s="458">
        <f t="shared" si="27"/>
        <v>-6.5122194035961992E-2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535141391</v>
      </c>
      <c r="D271" s="441">
        <f>LN_IIA1+LN_IIA7</f>
        <v>600821647</v>
      </c>
      <c r="E271" s="441">
        <f t="shared" si="26"/>
        <v>65680256</v>
      </c>
      <c r="F271" s="503">
        <f t="shared" si="27"/>
        <v>0.12273439712309601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265368047</v>
      </c>
      <c r="D272" s="441">
        <f>LN_IIA2+LN_IIA9</f>
        <v>281612771</v>
      </c>
      <c r="E272" s="441">
        <f t="shared" si="26"/>
        <v>16244724</v>
      </c>
      <c r="F272" s="503">
        <f t="shared" si="27"/>
        <v>6.1215825279823534E-2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0.49588398778893933</v>
      </c>
      <c r="D273" s="453">
        <f>IF(LN_IIA11=0,0,LN_IIA12/LN_IIA11)</f>
        <v>0.46871275761474018</v>
      </c>
      <c r="E273" s="454">
        <f t="shared" si="26"/>
        <v>-2.7171230174199146E-2</v>
      </c>
      <c r="F273" s="458">
        <f t="shared" si="27"/>
        <v>-5.4793521959341632E-2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40295</v>
      </c>
      <c r="D274" s="508">
        <f>LN_IA8+LN_IB10+LN_IF11+LN_IG6</f>
        <v>40704</v>
      </c>
      <c r="E274" s="528">
        <f t="shared" si="26"/>
        <v>409</v>
      </c>
      <c r="F274" s="458">
        <f t="shared" si="27"/>
        <v>1.0150142697605162E-2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174642315</v>
      </c>
      <c r="D277" s="448">
        <f>LN_IA1+LN_IF1+LN_IG1</f>
        <v>191345158</v>
      </c>
      <c r="E277" s="448">
        <f t="shared" ref="E277:E291" si="28">D277-C277</f>
        <v>16702843</v>
      </c>
      <c r="F277" s="503">
        <f t="shared" ref="F277:F291" si="29">IF(C277=0,0,E277/C277)</f>
        <v>9.5640297713644032E-2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83959597</v>
      </c>
      <c r="D278" s="448">
        <f>LN_IA2+LN_IF2+LN_IG2</f>
        <v>92517244</v>
      </c>
      <c r="E278" s="448">
        <f t="shared" si="28"/>
        <v>8557647</v>
      </c>
      <c r="F278" s="503">
        <f t="shared" si="29"/>
        <v>0.10192577508441351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0.48075174106573199</v>
      </c>
      <c r="D279" s="453">
        <f>IF(D277=0,0,LN_IIB2/D277)</f>
        <v>0.48350972121280433</v>
      </c>
      <c r="E279" s="454">
        <f t="shared" si="28"/>
        <v>2.7579801470723475E-3</v>
      </c>
      <c r="F279" s="458">
        <f t="shared" si="29"/>
        <v>5.7368074028363338E-3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5794</v>
      </c>
      <c r="D280" s="456">
        <f>LN_IA4+LN_IF4+LN_IG3</f>
        <v>6026</v>
      </c>
      <c r="E280" s="456">
        <f t="shared" si="28"/>
        <v>232</v>
      </c>
      <c r="F280" s="503">
        <f t="shared" si="29"/>
        <v>4.0041422160856058E-2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1.4725398170521227</v>
      </c>
      <c r="D281" s="525">
        <f>IF(LN_IIB4=0,0,LN_IIB6/LN_IIB4)</f>
        <v>1.5062742117490873</v>
      </c>
      <c r="E281" s="525">
        <f t="shared" si="28"/>
        <v>3.3734394696964598E-2</v>
      </c>
      <c r="F281" s="503">
        <f t="shared" si="29"/>
        <v>2.2908986437118882E-2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8531.8956999999991</v>
      </c>
      <c r="D282" s="463">
        <f>LN_IA6+LN_IF6+LN_IG5</f>
        <v>9076.8083999999999</v>
      </c>
      <c r="E282" s="463">
        <f t="shared" si="28"/>
        <v>544.91270000000077</v>
      </c>
      <c r="F282" s="503">
        <f t="shared" si="29"/>
        <v>6.3867716995180901E-2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155105011</v>
      </c>
      <c r="D283" s="448">
        <f>LN_IA11+LN_IF14+LN_IG9</f>
        <v>179507696</v>
      </c>
      <c r="E283" s="448">
        <f t="shared" si="28"/>
        <v>24402685</v>
      </c>
      <c r="F283" s="503">
        <f t="shared" si="29"/>
        <v>0.15733008780741456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0.88812960936758079</v>
      </c>
      <c r="D284" s="453">
        <f>IF(D277=0,0,LN_IIB7/D277)</f>
        <v>0.93813555501623924</v>
      </c>
      <c r="E284" s="454">
        <f t="shared" si="28"/>
        <v>5.0005945648658456E-2</v>
      </c>
      <c r="F284" s="458">
        <f t="shared" si="29"/>
        <v>5.6304783807699738E-2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55570843</v>
      </c>
      <c r="D285" s="448">
        <f>LN_IA12+LN_IF15+LN_IG10</f>
        <v>62845913</v>
      </c>
      <c r="E285" s="448">
        <f t="shared" si="28"/>
        <v>7275070</v>
      </c>
      <c r="F285" s="503">
        <f t="shared" si="29"/>
        <v>0.130915235530978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0.35827883729688143</v>
      </c>
      <c r="D286" s="453">
        <f>IF(LN_IIB7=0,0,LN_IIB9/LN_IIB7)</f>
        <v>0.35010149648402816</v>
      </c>
      <c r="E286" s="454">
        <f t="shared" si="28"/>
        <v>-8.1773408128532621E-3</v>
      </c>
      <c r="F286" s="458">
        <f t="shared" si="29"/>
        <v>-2.2823957101538915E-2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329747326</v>
      </c>
      <c r="D287" s="441">
        <f>D277+LN_IIB7</f>
        <v>370852854</v>
      </c>
      <c r="E287" s="441">
        <f t="shared" si="28"/>
        <v>41105528</v>
      </c>
      <c r="F287" s="503">
        <f t="shared" si="29"/>
        <v>0.12465765378185356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139530440</v>
      </c>
      <c r="D288" s="441">
        <f>LN_IIB2+LN_IIB9</f>
        <v>155363157</v>
      </c>
      <c r="E288" s="441">
        <f t="shared" si="28"/>
        <v>15832717</v>
      </c>
      <c r="F288" s="503">
        <f t="shared" si="29"/>
        <v>0.11347141885311908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0.42314350715917559</v>
      </c>
      <c r="D289" s="453">
        <f>IF(LN_IIB11=0,0,LN_IIB12/LN_IIB11)</f>
        <v>0.41893477513860522</v>
      </c>
      <c r="E289" s="454">
        <f t="shared" si="28"/>
        <v>-4.2087320205703715E-3</v>
      </c>
      <c r="F289" s="458">
        <f t="shared" si="29"/>
        <v>-9.9463466870287013E-3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30531</v>
      </c>
      <c r="D290" s="508">
        <f>LN_IA8+LN_IF11+LN_IG6</f>
        <v>30243</v>
      </c>
      <c r="E290" s="528">
        <f t="shared" si="28"/>
        <v>-288</v>
      </c>
      <c r="F290" s="458">
        <f t="shared" si="29"/>
        <v>-9.4330352756214989E-3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190216886</v>
      </c>
      <c r="D291" s="516">
        <f>LN_IIB11-LN_IIB12</f>
        <v>215489697</v>
      </c>
      <c r="E291" s="441">
        <f t="shared" si="28"/>
        <v>25272811</v>
      </c>
      <c r="F291" s="503">
        <f t="shared" si="29"/>
        <v>0.1328631307737842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5.3243243243243246</v>
      </c>
      <c r="D294" s="466">
        <f>IF(LN_IA4=0,0,LN_IA8/LN_IA4)</f>
        <v>5.0745682888540031</v>
      </c>
      <c r="E294" s="466">
        <f t="shared" ref="E294:E300" si="30">D294-C294</f>
        <v>-0.24975603547032144</v>
      </c>
      <c r="F294" s="503">
        <f t="shared" ref="F294:F300" si="31">IF(C294=0,0,E294/C294)</f>
        <v>-4.6908493971583212E-2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3.7844961240310075</v>
      </c>
      <c r="D295" s="466">
        <f>IF(LN_IB4=0,0,(LN_IB10)/(LN_IB4))</f>
        <v>4.0991379310344831</v>
      </c>
      <c r="E295" s="466">
        <f t="shared" si="30"/>
        <v>0.31464180700347555</v>
      </c>
      <c r="F295" s="503">
        <f t="shared" si="31"/>
        <v>8.3139682719066674E-2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3.7179487179487181</v>
      </c>
      <c r="D296" s="466">
        <f>IF(LN_IC4=0,0,LN_IC11/LN_IC4)</f>
        <v>3.3714285714285714</v>
      </c>
      <c r="E296" s="466">
        <f t="shared" si="30"/>
        <v>-0.34652014652014662</v>
      </c>
      <c r="F296" s="503">
        <f t="shared" si="31"/>
        <v>-9.3201970443349783E-2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5.2180487804878046</v>
      </c>
      <c r="D297" s="466">
        <f>IF(LN_ID4=0,0,LN_ID11/LN_ID4)</f>
        <v>4.9629972247918595</v>
      </c>
      <c r="E297" s="466">
        <f t="shared" si="30"/>
        <v>-0.25505155569594518</v>
      </c>
      <c r="F297" s="503">
        <f t="shared" si="31"/>
        <v>-4.8878721994642202E-2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4.666666666666667</v>
      </c>
      <c r="D298" s="466">
        <f>IF(LN_IE4=0,0,LN_IE11/LN_IE4)</f>
        <v>1.8571428571428572</v>
      </c>
      <c r="E298" s="466">
        <f t="shared" si="30"/>
        <v>-2.8095238095238098</v>
      </c>
      <c r="F298" s="503">
        <f t="shared" si="31"/>
        <v>-0.60204081632653061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2.9268292682926829</v>
      </c>
      <c r="D299" s="466">
        <f>IF(LN_IG3=0,0,LN_IG6/LN_IG3)</f>
        <v>3</v>
      </c>
      <c r="E299" s="466">
        <f t="shared" si="30"/>
        <v>7.3170731707317138E-2</v>
      </c>
      <c r="F299" s="503">
        <f t="shared" si="31"/>
        <v>2.5000000000000022E-2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4.8119178409362311</v>
      </c>
      <c r="D300" s="466">
        <f>IF(LN_IIA4=0,0,LN_IIA14/LN_IIA4)</f>
        <v>4.7451620424341341</v>
      </c>
      <c r="E300" s="466">
        <f t="shared" si="30"/>
        <v>-6.6755798502097008E-2</v>
      </c>
      <c r="F300" s="503">
        <f t="shared" si="31"/>
        <v>-1.3873012945937718E-2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535141391</v>
      </c>
      <c r="D304" s="441">
        <f>LN_IIA11</f>
        <v>600821647</v>
      </c>
      <c r="E304" s="441">
        <f t="shared" ref="E304:E316" si="32">D304-C304</f>
        <v>65680256</v>
      </c>
      <c r="F304" s="449">
        <f>IF(C304=0,0,E304/C304)</f>
        <v>0.12273439712309601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190216886</v>
      </c>
      <c r="D305" s="441">
        <f>LN_IIB14</f>
        <v>215489697</v>
      </c>
      <c r="E305" s="441">
        <f t="shared" si="32"/>
        <v>25272811</v>
      </c>
      <c r="F305" s="449">
        <f>IF(C305=0,0,E305/C305)</f>
        <v>0.1328631307737842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6128109</v>
      </c>
      <c r="D306" s="441">
        <f>LN_IH6</f>
        <v>2344951</v>
      </c>
      <c r="E306" s="441">
        <f t="shared" si="32"/>
        <v>-3783158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76755190</v>
      </c>
      <c r="D307" s="441">
        <f>LN_IB32-LN_IB33</f>
        <v>100547668</v>
      </c>
      <c r="E307" s="441">
        <f t="shared" si="32"/>
        <v>23792478</v>
      </c>
      <c r="F307" s="449">
        <f t="shared" ref="F307:F316" si="33">IF(C307=0,0,E307/C307)</f>
        <v>0.30997875192543983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273100185</v>
      </c>
      <c r="D309" s="441">
        <f>LN_III2+LN_III3+LN_III4+LN_III5</f>
        <v>318382316</v>
      </c>
      <c r="E309" s="441">
        <f t="shared" si="32"/>
        <v>45282131</v>
      </c>
      <c r="F309" s="449">
        <f t="shared" si="33"/>
        <v>0.16580776391638108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262041206</v>
      </c>
      <c r="D310" s="441">
        <f>LN_III1-LN_III6</f>
        <v>282439331</v>
      </c>
      <c r="E310" s="441">
        <f t="shared" si="32"/>
        <v>20398125</v>
      </c>
      <c r="F310" s="449">
        <f t="shared" si="33"/>
        <v>7.7843196157477618E-2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262041206</v>
      </c>
      <c r="D312" s="441">
        <f>LN_III7+LN_III8</f>
        <v>282439331</v>
      </c>
      <c r="E312" s="441">
        <f t="shared" si="32"/>
        <v>20398125</v>
      </c>
      <c r="F312" s="449">
        <f t="shared" si="33"/>
        <v>7.7843196157477618E-2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0.48966723637342419</v>
      </c>
      <c r="D313" s="532">
        <f>IF(LN_III1=0,0,LN_III9/LN_III1)</f>
        <v>0.47008847369309248</v>
      </c>
      <c r="E313" s="532">
        <f t="shared" si="32"/>
        <v>-1.9578762680331707E-2</v>
      </c>
      <c r="F313" s="449">
        <f t="shared" si="33"/>
        <v>-3.9983811915487819E-2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3000734.198225108</v>
      </c>
      <c r="D314" s="441">
        <f>D313*LN_III5</f>
        <v>1102334.4364750909</v>
      </c>
      <c r="E314" s="441">
        <f t="shared" si="32"/>
        <v>-1898399.7617500171</v>
      </c>
      <c r="F314" s="449">
        <f t="shared" si="33"/>
        <v>-0.63264509161554316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12507759.595781267</v>
      </c>
      <c r="D315" s="441">
        <f>D313*LN_IH8-LN_IH9</f>
        <v>12684744.172322504</v>
      </c>
      <c r="E315" s="441">
        <f t="shared" si="32"/>
        <v>176984.57654123753</v>
      </c>
      <c r="F315" s="449">
        <f t="shared" si="33"/>
        <v>1.4149982271879653E-2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15508493.794006374</v>
      </c>
      <c r="D318" s="441">
        <f>D314+D315+D316</f>
        <v>13787078.608797595</v>
      </c>
      <c r="E318" s="441">
        <f>D318-C318</f>
        <v>-1721415.1852087788</v>
      </c>
      <c r="F318" s="449">
        <f>IF(C318=0,0,E318/C318)</f>
        <v>-0.1109982186583497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1440070.5667961396</v>
      </c>
      <c r="D322" s="441">
        <f>LN_ID22</f>
        <v>-138107.93554023848</v>
      </c>
      <c r="E322" s="441">
        <f>LN_IV2-C322</f>
        <v>-1578178.502336378</v>
      </c>
      <c r="F322" s="449">
        <f>IF(C322=0,0,E322/C322)</f>
        <v>-1.0959035888411359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-27743.632671707714</v>
      </c>
      <c r="D323" s="441">
        <f>LN_IE10+LN_IE22</f>
        <v>86309.630030781787</v>
      </c>
      <c r="E323" s="441">
        <f>LN_IV3-C323</f>
        <v>114053.2627024895</v>
      </c>
      <c r="F323" s="449">
        <f>IF(C323=0,0,E323/C323)</f>
        <v>-4.1109707604656354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1639046.8747002969</v>
      </c>
      <c r="D324" s="441">
        <f>LN_IC10+LN_IC22</f>
        <v>1019815.4813236503</v>
      </c>
      <c r="E324" s="441">
        <f>LN_IV1-C324</f>
        <v>-619231.39337664656</v>
      </c>
      <c r="F324" s="449">
        <f>IF(C324=0,0,E324/C324)</f>
        <v>-0.37779968525297625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3051373.8088247287</v>
      </c>
      <c r="D325" s="516">
        <f>LN_IV1+LN_IV2+LN_IV3</f>
        <v>968017.17581419367</v>
      </c>
      <c r="E325" s="441">
        <f>LN_IV4-C325</f>
        <v>-2083356.633010535</v>
      </c>
      <c r="F325" s="449">
        <f>IF(C325=0,0,E325/C325)</f>
        <v>-0.68276021344397775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0</v>
      </c>
      <c r="D330" s="516">
        <v>0</v>
      </c>
      <c r="E330" s="518">
        <f t="shared" si="34"/>
        <v>0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265368041</v>
      </c>
      <c r="D331" s="516">
        <v>281612773</v>
      </c>
      <c r="E331" s="518">
        <f t="shared" si="34"/>
        <v>16244732</v>
      </c>
      <c r="F331" s="542">
        <f t="shared" si="35"/>
        <v>6.1215856810730274E-2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535141392</v>
      </c>
      <c r="D333" s="516">
        <v>600821647</v>
      </c>
      <c r="E333" s="518">
        <f t="shared" si="34"/>
        <v>65680255</v>
      </c>
      <c r="F333" s="542">
        <f t="shared" si="35"/>
        <v>0.12273439502508152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6128109</v>
      </c>
      <c r="D335" s="516">
        <v>2344951</v>
      </c>
      <c r="E335" s="516">
        <f t="shared" si="34"/>
        <v>-3783158</v>
      </c>
      <c r="F335" s="542">
        <f t="shared" si="35"/>
        <v>-0.61734508965163637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58039630</v>
      </c>
      <c r="D14" s="589">
        <v>65750391</v>
      </c>
      <c r="E14" s="590">
        <f t="shared" ref="E14:E22" si="0">D14-C14</f>
        <v>7710761</v>
      </c>
    </row>
    <row r="15" spans="1:5" s="421" customFormat="1" x14ac:dyDescent="0.2">
      <c r="A15" s="588">
        <v>2</v>
      </c>
      <c r="B15" s="587" t="s">
        <v>635</v>
      </c>
      <c r="C15" s="589">
        <v>120588768</v>
      </c>
      <c r="D15" s="591">
        <v>126635713</v>
      </c>
      <c r="E15" s="590">
        <f t="shared" si="0"/>
        <v>6046945</v>
      </c>
    </row>
    <row r="16" spans="1:5" s="421" customFormat="1" x14ac:dyDescent="0.2">
      <c r="A16" s="588">
        <v>3</v>
      </c>
      <c r="B16" s="587" t="s">
        <v>777</v>
      </c>
      <c r="C16" s="589">
        <v>53365719</v>
      </c>
      <c r="D16" s="591">
        <v>64003572</v>
      </c>
      <c r="E16" s="590">
        <f t="shared" si="0"/>
        <v>10637853</v>
      </c>
    </row>
    <row r="17" spans="1:5" s="421" customFormat="1" x14ac:dyDescent="0.2">
      <c r="A17" s="588">
        <v>4</v>
      </c>
      <c r="B17" s="587" t="s">
        <v>115</v>
      </c>
      <c r="C17" s="589">
        <v>53261498</v>
      </c>
      <c r="D17" s="591">
        <v>63921560</v>
      </c>
      <c r="E17" s="590">
        <f t="shared" si="0"/>
        <v>10660062</v>
      </c>
    </row>
    <row r="18" spans="1:5" s="421" customFormat="1" x14ac:dyDescent="0.2">
      <c r="A18" s="588">
        <v>5</v>
      </c>
      <c r="B18" s="587" t="s">
        <v>743</v>
      </c>
      <c r="C18" s="589">
        <v>104221</v>
      </c>
      <c r="D18" s="591">
        <v>82012</v>
      </c>
      <c r="E18" s="590">
        <f t="shared" si="0"/>
        <v>-22209</v>
      </c>
    </row>
    <row r="19" spans="1:5" s="421" customFormat="1" x14ac:dyDescent="0.2">
      <c r="A19" s="588">
        <v>6</v>
      </c>
      <c r="B19" s="587" t="s">
        <v>424</v>
      </c>
      <c r="C19" s="589">
        <v>687828</v>
      </c>
      <c r="D19" s="591">
        <v>705873</v>
      </c>
      <c r="E19" s="590">
        <f t="shared" si="0"/>
        <v>18045</v>
      </c>
    </row>
    <row r="20" spans="1:5" s="421" customFormat="1" x14ac:dyDescent="0.2">
      <c r="A20" s="588">
        <v>7</v>
      </c>
      <c r="B20" s="587" t="s">
        <v>758</v>
      </c>
      <c r="C20" s="589">
        <v>656211</v>
      </c>
      <c r="D20" s="591">
        <v>746040</v>
      </c>
      <c r="E20" s="590">
        <f t="shared" si="0"/>
        <v>89829</v>
      </c>
    </row>
    <row r="21" spans="1:5" s="421" customFormat="1" x14ac:dyDescent="0.2">
      <c r="A21" s="588"/>
      <c r="B21" s="592" t="s">
        <v>778</v>
      </c>
      <c r="C21" s="593">
        <f>SUM(C15+C16+C19)</f>
        <v>174642315</v>
      </c>
      <c r="D21" s="593">
        <f>SUM(D15+D16+D19)</f>
        <v>191345158</v>
      </c>
      <c r="E21" s="593">
        <f t="shared" si="0"/>
        <v>16702843</v>
      </c>
    </row>
    <row r="22" spans="1:5" s="421" customFormat="1" x14ac:dyDescent="0.2">
      <c r="A22" s="588"/>
      <c r="B22" s="592" t="s">
        <v>465</v>
      </c>
      <c r="C22" s="593">
        <f>SUM(C14+C21)</f>
        <v>232681945</v>
      </c>
      <c r="D22" s="593">
        <f>SUM(D14+D21)</f>
        <v>257095549</v>
      </c>
      <c r="E22" s="593">
        <f t="shared" si="0"/>
        <v>24413604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147354435</v>
      </c>
      <c r="D25" s="589">
        <v>164218402</v>
      </c>
      <c r="E25" s="590">
        <f t="shared" ref="E25:E33" si="1">D25-C25</f>
        <v>16863967</v>
      </c>
    </row>
    <row r="26" spans="1:5" s="421" customFormat="1" x14ac:dyDescent="0.2">
      <c r="A26" s="588">
        <v>2</v>
      </c>
      <c r="B26" s="587" t="s">
        <v>635</v>
      </c>
      <c r="C26" s="589">
        <v>104321387</v>
      </c>
      <c r="D26" s="591">
        <v>114264847</v>
      </c>
      <c r="E26" s="590">
        <f t="shared" si="1"/>
        <v>9943460</v>
      </c>
    </row>
    <row r="27" spans="1:5" s="421" customFormat="1" x14ac:dyDescent="0.2">
      <c r="A27" s="588">
        <v>3</v>
      </c>
      <c r="B27" s="587" t="s">
        <v>777</v>
      </c>
      <c r="C27" s="589">
        <v>48916927</v>
      </c>
      <c r="D27" s="591">
        <v>63407774</v>
      </c>
      <c r="E27" s="590">
        <f t="shared" si="1"/>
        <v>14490847</v>
      </c>
    </row>
    <row r="28" spans="1:5" s="421" customFormat="1" x14ac:dyDescent="0.2">
      <c r="A28" s="588">
        <v>4</v>
      </c>
      <c r="B28" s="587" t="s">
        <v>115</v>
      </c>
      <c r="C28" s="589">
        <v>48802273</v>
      </c>
      <c r="D28" s="591">
        <v>63296593</v>
      </c>
      <c r="E28" s="590">
        <f t="shared" si="1"/>
        <v>14494320</v>
      </c>
    </row>
    <row r="29" spans="1:5" s="421" customFormat="1" x14ac:dyDescent="0.2">
      <c r="A29" s="588">
        <v>5</v>
      </c>
      <c r="B29" s="587" t="s">
        <v>743</v>
      </c>
      <c r="C29" s="589">
        <v>114654</v>
      </c>
      <c r="D29" s="591">
        <v>111181</v>
      </c>
      <c r="E29" s="590">
        <f t="shared" si="1"/>
        <v>-3473</v>
      </c>
    </row>
    <row r="30" spans="1:5" s="421" customFormat="1" x14ac:dyDescent="0.2">
      <c r="A30" s="588">
        <v>6</v>
      </c>
      <c r="B30" s="587" t="s">
        <v>424</v>
      </c>
      <c r="C30" s="589">
        <v>1866697</v>
      </c>
      <c r="D30" s="591">
        <v>1835075</v>
      </c>
      <c r="E30" s="590">
        <f t="shared" si="1"/>
        <v>-31622</v>
      </c>
    </row>
    <row r="31" spans="1:5" s="421" customFormat="1" x14ac:dyDescent="0.2">
      <c r="A31" s="588">
        <v>7</v>
      </c>
      <c r="B31" s="587" t="s">
        <v>758</v>
      </c>
      <c r="C31" s="590">
        <v>2748229</v>
      </c>
      <c r="D31" s="594">
        <v>3705669</v>
      </c>
      <c r="E31" s="590">
        <f t="shared" si="1"/>
        <v>957440</v>
      </c>
    </row>
    <row r="32" spans="1:5" s="421" customFormat="1" x14ac:dyDescent="0.2">
      <c r="A32" s="588"/>
      <c r="B32" s="592" t="s">
        <v>780</v>
      </c>
      <c r="C32" s="593">
        <f>SUM(C26+C27+C30)</f>
        <v>155105011</v>
      </c>
      <c r="D32" s="593">
        <f>SUM(D26+D27+D30)</f>
        <v>179507696</v>
      </c>
      <c r="E32" s="593">
        <f t="shared" si="1"/>
        <v>24402685</v>
      </c>
    </row>
    <row r="33" spans="1:5" s="421" customFormat="1" x14ac:dyDescent="0.2">
      <c r="A33" s="588"/>
      <c r="B33" s="592" t="s">
        <v>467</v>
      </c>
      <c r="C33" s="593">
        <f>SUM(C25+C32)</f>
        <v>302459446</v>
      </c>
      <c r="D33" s="593">
        <f>SUM(D25+D32)</f>
        <v>343726098</v>
      </c>
      <c r="E33" s="593">
        <f t="shared" si="1"/>
        <v>41266652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205394065</v>
      </c>
      <c r="D36" s="590">
        <f t="shared" si="2"/>
        <v>229968793</v>
      </c>
      <c r="E36" s="590">
        <f t="shared" ref="E36:E44" si="3">D36-C36</f>
        <v>24574728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224910155</v>
      </c>
      <c r="D37" s="590">
        <f t="shared" si="2"/>
        <v>240900560</v>
      </c>
      <c r="E37" s="590">
        <f t="shared" si="3"/>
        <v>15990405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102282646</v>
      </c>
      <c r="D38" s="590">
        <f t="shared" si="2"/>
        <v>127411346</v>
      </c>
      <c r="E38" s="590">
        <f t="shared" si="3"/>
        <v>25128700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102063771</v>
      </c>
      <c r="D39" s="590">
        <f t="shared" si="2"/>
        <v>127218153</v>
      </c>
      <c r="E39" s="590">
        <f t="shared" si="3"/>
        <v>25154382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218875</v>
      </c>
      <c r="D40" s="590">
        <f t="shared" si="2"/>
        <v>193193</v>
      </c>
      <c r="E40" s="590">
        <f t="shared" si="3"/>
        <v>-25682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2554525</v>
      </c>
      <c r="D41" s="590">
        <f t="shared" si="2"/>
        <v>2540948</v>
      </c>
      <c r="E41" s="590">
        <f t="shared" si="3"/>
        <v>-13577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3404440</v>
      </c>
      <c r="D42" s="590">
        <f t="shared" si="2"/>
        <v>4451709</v>
      </c>
      <c r="E42" s="590">
        <f t="shared" si="3"/>
        <v>1047269</v>
      </c>
    </row>
    <row r="43" spans="1:5" s="421" customFormat="1" x14ac:dyDescent="0.2">
      <c r="A43" s="588"/>
      <c r="B43" s="592" t="s">
        <v>788</v>
      </c>
      <c r="C43" s="593">
        <f>SUM(C37+C38+C41)</f>
        <v>329747326</v>
      </c>
      <c r="D43" s="593">
        <f>SUM(D37+D38+D41)</f>
        <v>370852854</v>
      </c>
      <c r="E43" s="593">
        <f t="shared" si="3"/>
        <v>41105528</v>
      </c>
    </row>
    <row r="44" spans="1:5" s="421" customFormat="1" x14ac:dyDescent="0.2">
      <c r="A44" s="588"/>
      <c r="B44" s="592" t="s">
        <v>725</v>
      </c>
      <c r="C44" s="593">
        <f>SUM(C36+C43)</f>
        <v>535141391</v>
      </c>
      <c r="D44" s="593">
        <f>SUM(D36+D43)</f>
        <v>600821647</v>
      </c>
      <c r="E44" s="593">
        <f t="shared" si="3"/>
        <v>65680256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38343737</v>
      </c>
      <c r="D47" s="589">
        <v>37099326</v>
      </c>
      <c r="E47" s="590">
        <f t="shared" ref="E47:E55" si="4">D47-C47</f>
        <v>-1244411</v>
      </c>
    </row>
    <row r="48" spans="1:5" s="421" customFormat="1" x14ac:dyDescent="0.2">
      <c r="A48" s="588">
        <v>2</v>
      </c>
      <c r="B48" s="587" t="s">
        <v>635</v>
      </c>
      <c r="C48" s="589">
        <v>65565082</v>
      </c>
      <c r="D48" s="591">
        <v>68977831</v>
      </c>
      <c r="E48" s="590">
        <f t="shared" si="4"/>
        <v>3412749</v>
      </c>
    </row>
    <row r="49" spans="1:5" s="421" customFormat="1" x14ac:dyDescent="0.2">
      <c r="A49" s="588">
        <v>3</v>
      </c>
      <c r="B49" s="587" t="s">
        <v>777</v>
      </c>
      <c r="C49" s="589">
        <v>18133954</v>
      </c>
      <c r="D49" s="591">
        <v>23278271</v>
      </c>
      <c r="E49" s="590">
        <f t="shared" si="4"/>
        <v>5144317</v>
      </c>
    </row>
    <row r="50" spans="1:5" s="421" customFormat="1" x14ac:dyDescent="0.2">
      <c r="A50" s="588">
        <v>4</v>
      </c>
      <c r="B50" s="587" t="s">
        <v>115</v>
      </c>
      <c r="C50" s="589">
        <v>18101510</v>
      </c>
      <c r="D50" s="591">
        <v>23252661</v>
      </c>
      <c r="E50" s="590">
        <f t="shared" si="4"/>
        <v>5151151</v>
      </c>
    </row>
    <row r="51" spans="1:5" s="421" customFormat="1" x14ac:dyDescent="0.2">
      <c r="A51" s="588">
        <v>5</v>
      </c>
      <c r="B51" s="587" t="s">
        <v>743</v>
      </c>
      <c r="C51" s="589">
        <v>32444</v>
      </c>
      <c r="D51" s="591">
        <v>25610</v>
      </c>
      <c r="E51" s="590">
        <f t="shared" si="4"/>
        <v>-6834</v>
      </c>
    </row>
    <row r="52" spans="1:5" s="421" customFormat="1" x14ac:dyDescent="0.2">
      <c r="A52" s="588">
        <v>6</v>
      </c>
      <c r="B52" s="587" t="s">
        <v>424</v>
      </c>
      <c r="C52" s="589">
        <v>260561</v>
      </c>
      <c r="D52" s="591">
        <v>261142</v>
      </c>
      <c r="E52" s="590">
        <f t="shared" si="4"/>
        <v>581</v>
      </c>
    </row>
    <row r="53" spans="1:5" s="421" customFormat="1" x14ac:dyDescent="0.2">
      <c r="A53" s="588">
        <v>7</v>
      </c>
      <c r="B53" s="587" t="s">
        <v>758</v>
      </c>
      <c r="C53" s="589">
        <v>35827</v>
      </c>
      <c r="D53" s="591">
        <v>52199</v>
      </c>
      <c r="E53" s="590">
        <f t="shared" si="4"/>
        <v>16372</v>
      </c>
    </row>
    <row r="54" spans="1:5" s="421" customFormat="1" x14ac:dyDescent="0.2">
      <c r="A54" s="588"/>
      <c r="B54" s="592" t="s">
        <v>790</v>
      </c>
      <c r="C54" s="593">
        <f>SUM(C48+C49+C52)</f>
        <v>83959597</v>
      </c>
      <c r="D54" s="593">
        <f>SUM(D48+D49+D52)</f>
        <v>92517244</v>
      </c>
      <c r="E54" s="593">
        <f t="shared" si="4"/>
        <v>8557647</v>
      </c>
    </row>
    <row r="55" spans="1:5" s="421" customFormat="1" x14ac:dyDescent="0.2">
      <c r="A55" s="588"/>
      <c r="B55" s="592" t="s">
        <v>466</v>
      </c>
      <c r="C55" s="593">
        <f>SUM(C47+C54)</f>
        <v>122303334</v>
      </c>
      <c r="D55" s="593">
        <f>SUM(D47+D54)</f>
        <v>129616570</v>
      </c>
      <c r="E55" s="593">
        <f t="shared" si="4"/>
        <v>7313236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87493870</v>
      </c>
      <c r="D58" s="589">
        <v>89150288</v>
      </c>
      <c r="E58" s="590">
        <f t="shared" ref="E58:E66" si="5">D58-C58</f>
        <v>1656418</v>
      </c>
    </row>
    <row r="59" spans="1:5" s="421" customFormat="1" x14ac:dyDescent="0.2">
      <c r="A59" s="588">
        <v>2</v>
      </c>
      <c r="B59" s="587" t="s">
        <v>635</v>
      </c>
      <c r="C59" s="589">
        <v>35427199</v>
      </c>
      <c r="D59" s="591">
        <v>38195692</v>
      </c>
      <c r="E59" s="590">
        <f t="shared" si="5"/>
        <v>2768493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19442747</v>
      </c>
      <c r="D60" s="591">
        <f>D61+D62</f>
        <v>23931590</v>
      </c>
      <c r="E60" s="590">
        <f t="shared" si="5"/>
        <v>4488843</v>
      </c>
    </row>
    <row r="61" spans="1:5" s="421" customFormat="1" x14ac:dyDescent="0.2">
      <c r="A61" s="588">
        <v>4</v>
      </c>
      <c r="B61" s="587" t="s">
        <v>115</v>
      </c>
      <c r="C61" s="589">
        <v>19349673</v>
      </c>
      <c r="D61" s="591">
        <v>23849438</v>
      </c>
      <c r="E61" s="590">
        <f t="shared" si="5"/>
        <v>4499765</v>
      </c>
    </row>
    <row r="62" spans="1:5" s="421" customFormat="1" x14ac:dyDescent="0.2">
      <c r="A62" s="588">
        <v>5</v>
      </c>
      <c r="B62" s="587" t="s">
        <v>743</v>
      </c>
      <c r="C62" s="589">
        <v>93074</v>
      </c>
      <c r="D62" s="591">
        <v>82152</v>
      </c>
      <c r="E62" s="590">
        <f t="shared" si="5"/>
        <v>-10922</v>
      </c>
    </row>
    <row r="63" spans="1:5" s="421" customFormat="1" x14ac:dyDescent="0.2">
      <c r="A63" s="588">
        <v>6</v>
      </c>
      <c r="B63" s="587" t="s">
        <v>424</v>
      </c>
      <c r="C63" s="589">
        <v>700897</v>
      </c>
      <c r="D63" s="591">
        <v>718631</v>
      </c>
      <c r="E63" s="590">
        <f t="shared" si="5"/>
        <v>17734</v>
      </c>
    </row>
    <row r="64" spans="1:5" s="421" customFormat="1" x14ac:dyDescent="0.2">
      <c r="A64" s="588">
        <v>7</v>
      </c>
      <c r="B64" s="587" t="s">
        <v>758</v>
      </c>
      <c r="C64" s="589">
        <v>567343</v>
      </c>
      <c r="D64" s="591">
        <v>1227999</v>
      </c>
      <c r="E64" s="590">
        <f t="shared" si="5"/>
        <v>660656</v>
      </c>
    </row>
    <row r="65" spans="1:5" s="421" customFormat="1" x14ac:dyDescent="0.2">
      <c r="A65" s="588"/>
      <c r="B65" s="592" t="s">
        <v>792</v>
      </c>
      <c r="C65" s="593">
        <f>SUM(C59+C60+C63)</f>
        <v>55570843</v>
      </c>
      <c r="D65" s="593">
        <f>SUM(D59+D60+D63)</f>
        <v>62845913</v>
      </c>
      <c r="E65" s="593">
        <f t="shared" si="5"/>
        <v>7275070</v>
      </c>
    </row>
    <row r="66" spans="1:5" s="421" customFormat="1" x14ac:dyDescent="0.2">
      <c r="A66" s="588"/>
      <c r="B66" s="592" t="s">
        <v>468</v>
      </c>
      <c r="C66" s="593">
        <f>SUM(C58+C65)</f>
        <v>143064713</v>
      </c>
      <c r="D66" s="593">
        <f>SUM(D58+D65)</f>
        <v>151996201</v>
      </c>
      <c r="E66" s="593">
        <f t="shared" si="5"/>
        <v>8931488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125837607</v>
      </c>
      <c r="D69" s="590">
        <f t="shared" si="6"/>
        <v>126249614</v>
      </c>
      <c r="E69" s="590">
        <f t="shared" ref="E69:E77" si="7">D69-C69</f>
        <v>412007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100992281</v>
      </c>
      <c r="D70" s="590">
        <f t="shared" si="6"/>
        <v>107173523</v>
      </c>
      <c r="E70" s="590">
        <f t="shared" si="7"/>
        <v>6181242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37576701</v>
      </c>
      <c r="D71" s="590">
        <f t="shared" si="6"/>
        <v>47209861</v>
      </c>
      <c r="E71" s="590">
        <f t="shared" si="7"/>
        <v>9633160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37451183</v>
      </c>
      <c r="D72" s="590">
        <f t="shared" si="6"/>
        <v>47102099</v>
      </c>
      <c r="E72" s="590">
        <f t="shared" si="7"/>
        <v>9650916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125518</v>
      </c>
      <c r="D73" s="590">
        <f t="shared" si="6"/>
        <v>107762</v>
      </c>
      <c r="E73" s="590">
        <f t="shared" si="7"/>
        <v>-17756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961458</v>
      </c>
      <c r="D74" s="590">
        <f t="shared" si="6"/>
        <v>979773</v>
      </c>
      <c r="E74" s="590">
        <f t="shared" si="7"/>
        <v>18315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603170</v>
      </c>
      <c r="D75" s="590">
        <f t="shared" si="6"/>
        <v>1280198</v>
      </c>
      <c r="E75" s="590">
        <f t="shared" si="7"/>
        <v>677028</v>
      </c>
    </row>
    <row r="76" spans="1:5" s="421" customFormat="1" x14ac:dyDescent="0.2">
      <c r="A76" s="588"/>
      <c r="B76" s="592" t="s">
        <v>793</v>
      </c>
      <c r="C76" s="593">
        <f>SUM(C70+C71+C74)</f>
        <v>139530440</v>
      </c>
      <c r="D76" s="593">
        <f>SUM(D70+D71+D74)</f>
        <v>155363157</v>
      </c>
      <c r="E76" s="593">
        <f t="shared" si="7"/>
        <v>15832717</v>
      </c>
    </row>
    <row r="77" spans="1:5" s="421" customFormat="1" x14ac:dyDescent="0.2">
      <c r="A77" s="588"/>
      <c r="B77" s="592" t="s">
        <v>726</v>
      </c>
      <c r="C77" s="593">
        <f>SUM(C69+C76)</f>
        <v>265368047</v>
      </c>
      <c r="D77" s="593">
        <f>SUM(D69+D76)</f>
        <v>281612771</v>
      </c>
      <c r="E77" s="593">
        <f t="shared" si="7"/>
        <v>16244724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0.10845662655909193</v>
      </c>
      <c r="D83" s="599">
        <f t="shared" si="8"/>
        <v>0.10943412463299612</v>
      </c>
      <c r="E83" s="599">
        <f t="shared" ref="E83:E91" si="9">D83-C83</f>
        <v>9.7749807390419552E-4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0.22534001299107137</v>
      </c>
      <c r="D84" s="599">
        <f t="shared" si="8"/>
        <v>0.2107708895515211</v>
      </c>
      <c r="E84" s="599">
        <f t="shared" si="9"/>
        <v>-1.4569123439550274E-2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9.972265255034253E-2</v>
      </c>
      <c r="D85" s="599">
        <f t="shared" si="8"/>
        <v>0.10652674103801058</v>
      </c>
      <c r="E85" s="599">
        <f t="shared" si="9"/>
        <v>6.8040884876680446E-3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9.9527898412926169E-2</v>
      </c>
      <c r="D86" s="599">
        <f t="shared" si="8"/>
        <v>0.10639024129568354</v>
      </c>
      <c r="E86" s="599">
        <f t="shared" si="9"/>
        <v>6.8623428827573746E-3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1.947541374163674E-4</v>
      </c>
      <c r="D87" s="599">
        <f t="shared" si="8"/>
        <v>1.3649974232702705E-4</v>
      </c>
      <c r="E87" s="599">
        <f t="shared" si="9"/>
        <v>-5.8254395089340355E-5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1.2853201257983051E-3</v>
      </c>
      <c r="D88" s="599">
        <f t="shared" si="8"/>
        <v>1.1748461519729499E-3</v>
      </c>
      <c r="E88" s="599">
        <f t="shared" si="9"/>
        <v>-1.1047397382535525E-4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1.2262385437496462E-3</v>
      </c>
      <c r="D89" s="599">
        <f t="shared" si="8"/>
        <v>1.2416996020784186E-3</v>
      </c>
      <c r="E89" s="599">
        <f t="shared" si="9"/>
        <v>1.5461058328772401E-5</v>
      </c>
    </row>
    <row r="90" spans="1:5" s="421" customFormat="1" x14ac:dyDescent="0.2">
      <c r="A90" s="588"/>
      <c r="B90" s="592" t="s">
        <v>796</v>
      </c>
      <c r="C90" s="600">
        <f>SUM(C84+C85+C88)</f>
        <v>0.32634798566721218</v>
      </c>
      <c r="D90" s="600">
        <f>SUM(D84+D85+D88)</f>
        <v>0.31847247674150458</v>
      </c>
      <c r="E90" s="601">
        <f t="shared" si="9"/>
        <v>-7.8755089257075972E-3</v>
      </c>
    </row>
    <row r="91" spans="1:5" s="421" customFormat="1" x14ac:dyDescent="0.2">
      <c r="A91" s="588"/>
      <c r="B91" s="592" t="s">
        <v>797</v>
      </c>
      <c r="C91" s="600">
        <f>SUM(C83+C90)</f>
        <v>0.43480461222630412</v>
      </c>
      <c r="D91" s="600">
        <f>SUM(D83+D90)</f>
        <v>0.42790660137450071</v>
      </c>
      <c r="E91" s="601">
        <f t="shared" si="9"/>
        <v>-6.8980108518034156E-3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0.27535607874517781</v>
      </c>
      <c r="D95" s="599">
        <f t="shared" si="10"/>
        <v>0.27332304490021148</v>
      </c>
      <c r="E95" s="599">
        <f t="shared" ref="E95:E103" si="11">D95-C95</f>
        <v>-2.0330338449663365E-3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0.1949417270920836</v>
      </c>
      <c r="D96" s="599">
        <f t="shared" si="10"/>
        <v>0.19018097561987476</v>
      </c>
      <c r="E96" s="599">
        <f t="shared" si="11"/>
        <v>-4.7607514722088351E-3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9.1409350543023127E-2</v>
      </c>
      <c r="D97" s="599">
        <f t="shared" si="10"/>
        <v>0.10553510233295572</v>
      </c>
      <c r="E97" s="599">
        <f t="shared" si="11"/>
        <v>1.4125751789932597E-2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9.1195100623416361E-2</v>
      </c>
      <c r="D98" s="599">
        <f t="shared" si="10"/>
        <v>0.1053500540735344</v>
      </c>
      <c r="E98" s="599">
        <f t="shared" si="11"/>
        <v>1.4154953450118038E-2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2.1424991960676052E-4</v>
      </c>
      <c r="D99" s="599">
        <f t="shared" si="10"/>
        <v>1.8504825942131876E-4</v>
      </c>
      <c r="E99" s="599">
        <f t="shared" si="11"/>
        <v>-2.9201660185441763E-5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3.4882313934113162E-3</v>
      </c>
      <c r="D100" s="599">
        <f t="shared" si="10"/>
        <v>3.0542757724573129E-3</v>
      </c>
      <c r="E100" s="599">
        <f t="shared" si="11"/>
        <v>-4.3395562095400325E-4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5.1355194089257056E-3</v>
      </c>
      <c r="D101" s="599">
        <f t="shared" si="10"/>
        <v>6.1676689222217723E-3</v>
      </c>
      <c r="E101" s="599">
        <f t="shared" si="11"/>
        <v>1.0321495132960667E-3</v>
      </c>
    </row>
    <row r="102" spans="1:5" s="421" customFormat="1" x14ac:dyDescent="0.2">
      <c r="A102" s="588"/>
      <c r="B102" s="592" t="s">
        <v>799</v>
      </c>
      <c r="C102" s="600">
        <f>SUM(C96+C97+C100)</f>
        <v>0.28983930902851801</v>
      </c>
      <c r="D102" s="600">
        <f>SUM(D96+D97+D100)</f>
        <v>0.29877035372528782</v>
      </c>
      <c r="E102" s="601">
        <f t="shared" si="11"/>
        <v>8.9310446967698076E-3</v>
      </c>
    </row>
    <row r="103" spans="1:5" s="421" customFormat="1" x14ac:dyDescent="0.2">
      <c r="A103" s="588"/>
      <c r="B103" s="592" t="s">
        <v>800</v>
      </c>
      <c r="C103" s="600">
        <f>SUM(C95+C102)</f>
        <v>0.56519538777369582</v>
      </c>
      <c r="D103" s="600">
        <f>SUM(D95+D102)</f>
        <v>0.57209339862549924</v>
      </c>
      <c r="E103" s="601">
        <f t="shared" si="11"/>
        <v>6.8980108518034156E-3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0.14449266757425397</v>
      </c>
      <c r="D109" s="599">
        <f t="shared" si="12"/>
        <v>0.13173879106498335</v>
      </c>
      <c r="E109" s="599">
        <f t="shared" ref="E109:E117" si="13">D109-C109</f>
        <v>-1.2753876509270623E-2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0.24707225583945305</v>
      </c>
      <c r="D110" s="599">
        <f t="shared" si="12"/>
        <v>0.24493857560174356</v>
      </c>
      <c r="E110" s="599">
        <f t="shared" si="13"/>
        <v>-2.1336802377094899E-3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6.8335107429117123E-2</v>
      </c>
      <c r="D111" s="599">
        <f t="shared" si="12"/>
        <v>8.2660565844863615E-2</v>
      </c>
      <c r="E111" s="599">
        <f t="shared" si="13"/>
        <v>1.4325458415746492E-2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6.8212847042583083E-2</v>
      </c>
      <c r="D112" s="599">
        <f t="shared" si="12"/>
        <v>8.256962536688367E-2</v>
      </c>
      <c r="E112" s="599">
        <f t="shared" si="13"/>
        <v>1.4356778324300587E-2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1.2226038653402759E-4</v>
      </c>
      <c r="D113" s="599">
        <f t="shared" si="12"/>
        <v>9.0940477979956389E-5</v>
      </c>
      <c r="E113" s="599">
        <f t="shared" si="13"/>
        <v>-3.13199085540712E-5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9.8188535863927891E-4</v>
      </c>
      <c r="D114" s="599">
        <f t="shared" si="12"/>
        <v>9.2730879736984653E-4</v>
      </c>
      <c r="E114" s="599">
        <f t="shared" si="13"/>
        <v>-5.457656126943238E-5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1.3500871866460999E-4</v>
      </c>
      <c r="D115" s="599">
        <f t="shared" si="12"/>
        <v>1.853573607995214E-4</v>
      </c>
      <c r="E115" s="599">
        <f t="shared" si="13"/>
        <v>5.0348642134911406E-5</v>
      </c>
    </row>
    <row r="116" spans="1:5" s="421" customFormat="1" x14ac:dyDescent="0.2">
      <c r="A116" s="588"/>
      <c r="B116" s="592" t="s">
        <v>796</v>
      </c>
      <c r="C116" s="600">
        <f>SUM(C110+C111+C114)</f>
        <v>0.31638924862720946</v>
      </c>
      <c r="D116" s="600">
        <f>SUM(D110+D111+D114)</f>
        <v>0.32852645024397703</v>
      </c>
      <c r="E116" s="601">
        <f t="shared" si="13"/>
        <v>1.2137201616767568E-2</v>
      </c>
    </row>
    <row r="117" spans="1:5" s="421" customFormat="1" x14ac:dyDescent="0.2">
      <c r="A117" s="588"/>
      <c r="B117" s="592" t="s">
        <v>797</v>
      </c>
      <c r="C117" s="600">
        <f>SUM(C109+C116)</f>
        <v>0.46088191620146346</v>
      </c>
      <c r="D117" s="600">
        <f>SUM(D109+D116)</f>
        <v>0.4602652413089604</v>
      </c>
      <c r="E117" s="601">
        <f t="shared" si="13"/>
        <v>-6.1667489250305518E-4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0.32970763054980767</v>
      </c>
      <c r="D121" s="599">
        <f t="shared" si="14"/>
        <v>0.31657047257988169</v>
      </c>
      <c r="E121" s="599">
        <f t="shared" ref="E121:E129" si="15">D121-C121</f>
        <v>-1.3137157969925983E-2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0.13350212808401909</v>
      </c>
      <c r="D122" s="599">
        <f t="shared" si="14"/>
        <v>0.13563195967415839</v>
      </c>
      <c r="E122" s="599">
        <f t="shared" si="15"/>
        <v>2.1298315901392972E-3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7.3267099109336251E-2</v>
      </c>
      <c r="D123" s="599">
        <f t="shared" si="14"/>
        <v>8.4980485490837351E-2</v>
      </c>
      <c r="E123" s="599">
        <f t="shared" si="15"/>
        <v>1.1713386381501101E-2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7.2916363589170183E-2</v>
      </c>
      <c r="D124" s="599">
        <f t="shared" si="14"/>
        <v>8.4688765766237212E-2</v>
      </c>
      <c r="E124" s="599">
        <f t="shared" si="15"/>
        <v>1.1772402177067029E-2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3.5073552016607332E-4</v>
      </c>
      <c r="D125" s="599">
        <f t="shared" si="14"/>
        <v>2.9171972460013187E-4</v>
      </c>
      <c r="E125" s="599">
        <f t="shared" si="15"/>
        <v>-5.9015795565941457E-5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2.6412260553735772E-3</v>
      </c>
      <c r="D126" s="599">
        <f t="shared" si="14"/>
        <v>2.5518409461622038E-3</v>
      </c>
      <c r="E126" s="599">
        <f t="shared" si="15"/>
        <v>-8.9385109211373437E-5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2.1379476783804346E-3</v>
      </c>
      <c r="D127" s="599">
        <f t="shared" si="14"/>
        <v>4.3605941436512478E-3</v>
      </c>
      <c r="E127" s="599">
        <f t="shared" si="15"/>
        <v>2.2226464652708132E-3</v>
      </c>
    </row>
    <row r="128" spans="1:5" s="421" customFormat="1" x14ac:dyDescent="0.2">
      <c r="A128" s="588"/>
      <c r="B128" s="592" t="s">
        <v>799</v>
      </c>
      <c r="C128" s="600">
        <f>SUM(C122+C123+C126)</f>
        <v>0.20941045324872892</v>
      </c>
      <c r="D128" s="600">
        <f>SUM(D122+D123+D126)</f>
        <v>0.22316428611115793</v>
      </c>
      <c r="E128" s="601">
        <f t="shared" si="15"/>
        <v>1.3753832862429011E-2</v>
      </c>
    </row>
    <row r="129" spans="1:5" s="421" customFormat="1" x14ac:dyDescent="0.2">
      <c r="A129" s="588"/>
      <c r="B129" s="592" t="s">
        <v>800</v>
      </c>
      <c r="C129" s="600">
        <f>SUM(C121+C128)</f>
        <v>0.53911808379853654</v>
      </c>
      <c r="D129" s="600">
        <f>SUM(D121+D128)</f>
        <v>0.5397347586910396</v>
      </c>
      <c r="E129" s="601">
        <f t="shared" si="15"/>
        <v>6.1667489250305518E-4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2580</v>
      </c>
      <c r="D137" s="606">
        <v>2552</v>
      </c>
      <c r="E137" s="607">
        <f t="shared" ref="E137:E145" si="16">D137-C137</f>
        <v>-28</v>
      </c>
    </row>
    <row r="138" spans="1:5" s="421" customFormat="1" x14ac:dyDescent="0.2">
      <c r="A138" s="588">
        <v>2</v>
      </c>
      <c r="B138" s="587" t="s">
        <v>635</v>
      </c>
      <c r="C138" s="606">
        <v>3700</v>
      </c>
      <c r="D138" s="606">
        <v>3822</v>
      </c>
      <c r="E138" s="607">
        <f t="shared" si="16"/>
        <v>122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2053</v>
      </c>
      <c r="D139" s="606">
        <f>D140+D141</f>
        <v>2169</v>
      </c>
      <c r="E139" s="607">
        <f t="shared" si="16"/>
        <v>116</v>
      </c>
    </row>
    <row r="140" spans="1:5" s="421" customFormat="1" x14ac:dyDescent="0.2">
      <c r="A140" s="588">
        <v>4</v>
      </c>
      <c r="B140" s="587" t="s">
        <v>115</v>
      </c>
      <c r="C140" s="606">
        <v>2050</v>
      </c>
      <c r="D140" s="606">
        <v>2162</v>
      </c>
      <c r="E140" s="607">
        <f t="shared" si="16"/>
        <v>112</v>
      </c>
    </row>
    <row r="141" spans="1:5" s="421" customFormat="1" x14ac:dyDescent="0.2">
      <c r="A141" s="588">
        <v>5</v>
      </c>
      <c r="B141" s="587" t="s">
        <v>743</v>
      </c>
      <c r="C141" s="606">
        <v>3</v>
      </c>
      <c r="D141" s="606">
        <v>7</v>
      </c>
      <c r="E141" s="607">
        <f t="shared" si="16"/>
        <v>4</v>
      </c>
    </row>
    <row r="142" spans="1:5" s="421" customFormat="1" x14ac:dyDescent="0.2">
      <c r="A142" s="588">
        <v>6</v>
      </c>
      <c r="B142" s="587" t="s">
        <v>424</v>
      </c>
      <c r="C142" s="606">
        <v>41</v>
      </c>
      <c r="D142" s="606">
        <v>35</v>
      </c>
      <c r="E142" s="607">
        <f t="shared" si="16"/>
        <v>-6</v>
      </c>
    </row>
    <row r="143" spans="1:5" s="421" customFormat="1" x14ac:dyDescent="0.2">
      <c r="A143" s="588">
        <v>7</v>
      </c>
      <c r="B143" s="587" t="s">
        <v>758</v>
      </c>
      <c r="C143" s="606">
        <v>39</v>
      </c>
      <c r="D143" s="606">
        <v>35</v>
      </c>
      <c r="E143" s="607">
        <f t="shared" si="16"/>
        <v>-4</v>
      </c>
    </row>
    <row r="144" spans="1:5" s="421" customFormat="1" x14ac:dyDescent="0.2">
      <c r="A144" s="588"/>
      <c r="B144" s="592" t="s">
        <v>807</v>
      </c>
      <c r="C144" s="608">
        <f>SUM(C138+C139+C142)</f>
        <v>5794</v>
      </c>
      <c r="D144" s="608">
        <f>SUM(D138+D139+D142)</f>
        <v>6026</v>
      </c>
      <c r="E144" s="609">
        <f t="shared" si="16"/>
        <v>232</v>
      </c>
    </row>
    <row r="145" spans="1:5" s="421" customFormat="1" x14ac:dyDescent="0.2">
      <c r="A145" s="588"/>
      <c r="B145" s="592" t="s">
        <v>138</v>
      </c>
      <c r="C145" s="608">
        <f>SUM(C137+C144)</f>
        <v>8374</v>
      </c>
      <c r="D145" s="608">
        <f>SUM(D137+D144)</f>
        <v>8578</v>
      </c>
      <c r="E145" s="609">
        <f t="shared" si="16"/>
        <v>204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9764</v>
      </c>
      <c r="D149" s="610">
        <v>10461</v>
      </c>
      <c r="E149" s="607">
        <f t="shared" ref="E149:E157" si="17">D149-C149</f>
        <v>697</v>
      </c>
    </row>
    <row r="150" spans="1:5" s="421" customFormat="1" x14ac:dyDescent="0.2">
      <c r="A150" s="588">
        <v>2</v>
      </c>
      <c r="B150" s="587" t="s">
        <v>635</v>
      </c>
      <c r="C150" s="610">
        <v>19700</v>
      </c>
      <c r="D150" s="610">
        <v>19395</v>
      </c>
      <c r="E150" s="607">
        <f t="shared" si="17"/>
        <v>-305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10711</v>
      </c>
      <c r="D151" s="610">
        <f>D152+D153</f>
        <v>10743</v>
      </c>
      <c r="E151" s="607">
        <f t="shared" si="17"/>
        <v>32</v>
      </c>
    </row>
    <row r="152" spans="1:5" s="421" customFormat="1" x14ac:dyDescent="0.2">
      <c r="A152" s="588">
        <v>4</v>
      </c>
      <c r="B152" s="587" t="s">
        <v>115</v>
      </c>
      <c r="C152" s="610">
        <v>10697</v>
      </c>
      <c r="D152" s="610">
        <v>10730</v>
      </c>
      <c r="E152" s="607">
        <f t="shared" si="17"/>
        <v>33</v>
      </c>
    </row>
    <row r="153" spans="1:5" s="421" customFormat="1" x14ac:dyDescent="0.2">
      <c r="A153" s="588">
        <v>5</v>
      </c>
      <c r="B153" s="587" t="s">
        <v>743</v>
      </c>
      <c r="C153" s="611">
        <v>14</v>
      </c>
      <c r="D153" s="610">
        <v>13</v>
      </c>
      <c r="E153" s="607">
        <f t="shared" si="17"/>
        <v>-1</v>
      </c>
    </row>
    <row r="154" spans="1:5" s="421" customFormat="1" x14ac:dyDescent="0.2">
      <c r="A154" s="588">
        <v>6</v>
      </c>
      <c r="B154" s="587" t="s">
        <v>424</v>
      </c>
      <c r="C154" s="610">
        <v>120</v>
      </c>
      <c r="D154" s="610">
        <v>105</v>
      </c>
      <c r="E154" s="607">
        <f t="shared" si="17"/>
        <v>-15</v>
      </c>
    </row>
    <row r="155" spans="1:5" s="421" customFormat="1" x14ac:dyDescent="0.2">
      <c r="A155" s="588">
        <v>7</v>
      </c>
      <c r="B155" s="587" t="s">
        <v>758</v>
      </c>
      <c r="C155" s="610">
        <v>145</v>
      </c>
      <c r="D155" s="610">
        <v>118</v>
      </c>
      <c r="E155" s="607">
        <f t="shared" si="17"/>
        <v>-27</v>
      </c>
    </row>
    <row r="156" spans="1:5" s="421" customFormat="1" x14ac:dyDescent="0.2">
      <c r="A156" s="588"/>
      <c r="B156" s="592" t="s">
        <v>808</v>
      </c>
      <c r="C156" s="608">
        <f>SUM(C150+C151+C154)</f>
        <v>30531</v>
      </c>
      <c r="D156" s="608">
        <f>SUM(D150+D151+D154)</f>
        <v>30243</v>
      </c>
      <c r="E156" s="609">
        <f t="shared" si="17"/>
        <v>-288</v>
      </c>
    </row>
    <row r="157" spans="1:5" s="421" customFormat="1" x14ac:dyDescent="0.2">
      <c r="A157" s="588"/>
      <c r="B157" s="592" t="s">
        <v>140</v>
      </c>
      <c r="C157" s="608">
        <f>SUM(C149+C156)</f>
        <v>40295</v>
      </c>
      <c r="D157" s="608">
        <f>SUM(D149+D156)</f>
        <v>40704</v>
      </c>
      <c r="E157" s="609">
        <f t="shared" si="17"/>
        <v>409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3.7844961240310075</v>
      </c>
      <c r="D161" s="612">
        <f t="shared" si="18"/>
        <v>4.0991379310344831</v>
      </c>
      <c r="E161" s="613">
        <f t="shared" ref="E161:E169" si="19">D161-C161</f>
        <v>0.31464180700347555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5.3243243243243246</v>
      </c>
      <c r="D162" s="612">
        <f t="shared" si="18"/>
        <v>5.0745682888540031</v>
      </c>
      <c r="E162" s="613">
        <f t="shared" si="19"/>
        <v>-0.24975603547032144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5.2172430589381396</v>
      </c>
      <c r="D163" s="612">
        <f t="shared" si="18"/>
        <v>4.9529737206085755</v>
      </c>
      <c r="E163" s="613">
        <f t="shared" si="19"/>
        <v>-0.26426933832956401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5.2180487804878046</v>
      </c>
      <c r="D164" s="612">
        <f t="shared" si="18"/>
        <v>4.9629972247918595</v>
      </c>
      <c r="E164" s="613">
        <f t="shared" si="19"/>
        <v>-0.25505155569594518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4.666666666666667</v>
      </c>
      <c r="D165" s="612">
        <f t="shared" si="18"/>
        <v>1.8571428571428572</v>
      </c>
      <c r="E165" s="613">
        <f t="shared" si="19"/>
        <v>-2.8095238095238098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2.9268292682926829</v>
      </c>
      <c r="D166" s="612">
        <f t="shared" si="18"/>
        <v>3</v>
      </c>
      <c r="E166" s="613">
        <f t="shared" si="19"/>
        <v>7.3170731707317138E-2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3.7179487179487181</v>
      </c>
      <c r="D167" s="612">
        <f t="shared" si="18"/>
        <v>3.3714285714285714</v>
      </c>
      <c r="E167" s="613">
        <f t="shared" si="19"/>
        <v>-0.34652014652014662</v>
      </c>
    </row>
    <row r="168" spans="1:5" s="421" customFormat="1" x14ac:dyDescent="0.2">
      <c r="A168" s="588"/>
      <c r="B168" s="592" t="s">
        <v>810</v>
      </c>
      <c r="C168" s="614">
        <f t="shared" si="18"/>
        <v>5.2694166379012772</v>
      </c>
      <c r="D168" s="614">
        <f t="shared" si="18"/>
        <v>5.0187520743445075</v>
      </c>
      <c r="E168" s="615">
        <f t="shared" si="19"/>
        <v>-0.25066456355676969</v>
      </c>
    </row>
    <row r="169" spans="1:5" s="421" customFormat="1" x14ac:dyDescent="0.2">
      <c r="A169" s="588"/>
      <c r="B169" s="592" t="s">
        <v>744</v>
      </c>
      <c r="C169" s="614">
        <f t="shared" si="18"/>
        <v>4.8119178409362311</v>
      </c>
      <c r="D169" s="614">
        <f t="shared" si="18"/>
        <v>4.7451620424341341</v>
      </c>
      <c r="E169" s="615">
        <f t="shared" si="19"/>
        <v>-6.6755798502097008E-2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1.3021</v>
      </c>
      <c r="D173" s="617">
        <f t="shared" si="20"/>
        <v>1.3512</v>
      </c>
      <c r="E173" s="618">
        <f t="shared" ref="E173:E181" si="21">D173-C173</f>
        <v>4.9099999999999921E-2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1.5752999999999999</v>
      </c>
      <c r="D174" s="617">
        <f t="shared" si="20"/>
        <v>1.583</v>
      </c>
      <c r="E174" s="618">
        <f t="shared" si="21"/>
        <v>7.7000000000000401E-3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1.2922648319532393</v>
      </c>
      <c r="D175" s="617">
        <f t="shared" si="20"/>
        <v>1.3780476717381283</v>
      </c>
      <c r="E175" s="618">
        <f t="shared" si="21"/>
        <v>8.5782839784888987E-2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1.2915000000000001</v>
      </c>
      <c r="D176" s="617">
        <f t="shared" si="20"/>
        <v>1.3789</v>
      </c>
      <c r="E176" s="618">
        <f t="shared" si="21"/>
        <v>8.7399999999999922E-2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1.8149</v>
      </c>
      <c r="D177" s="617">
        <f t="shared" si="20"/>
        <v>1.1148</v>
      </c>
      <c r="E177" s="618">
        <f t="shared" si="21"/>
        <v>-0.70009999999999994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1.226</v>
      </c>
      <c r="D178" s="617">
        <f t="shared" si="20"/>
        <v>1.0742</v>
      </c>
      <c r="E178" s="618">
        <f t="shared" si="21"/>
        <v>-0.15179999999999993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0.99029999999999996</v>
      </c>
      <c r="D179" s="617">
        <f t="shared" si="20"/>
        <v>0.93859999999999999</v>
      </c>
      <c r="E179" s="618">
        <f t="shared" si="21"/>
        <v>-5.1699999999999968E-2</v>
      </c>
    </row>
    <row r="180" spans="1:5" s="421" customFormat="1" x14ac:dyDescent="0.2">
      <c r="A180" s="588"/>
      <c r="B180" s="592" t="s">
        <v>812</v>
      </c>
      <c r="C180" s="619">
        <f t="shared" si="20"/>
        <v>1.4725398170521227</v>
      </c>
      <c r="D180" s="619">
        <f t="shared" si="20"/>
        <v>1.5062742117490873</v>
      </c>
      <c r="E180" s="620">
        <f t="shared" si="21"/>
        <v>3.3734394696964598E-2</v>
      </c>
    </row>
    <row r="181" spans="1:5" s="421" customFormat="1" x14ac:dyDescent="0.2">
      <c r="A181" s="588"/>
      <c r="B181" s="592" t="s">
        <v>723</v>
      </c>
      <c r="C181" s="619">
        <f t="shared" si="20"/>
        <v>1.4200279078098876</v>
      </c>
      <c r="D181" s="619">
        <f t="shared" si="20"/>
        <v>1.4601388202378176</v>
      </c>
      <c r="E181" s="620">
        <f t="shared" si="21"/>
        <v>4.0110912427929968E-2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201989626</v>
      </c>
      <c r="D185" s="589">
        <v>225517085</v>
      </c>
      <c r="E185" s="590">
        <f>D185-C185</f>
        <v>23527459</v>
      </c>
    </row>
    <row r="186" spans="1:5" s="421" customFormat="1" ht="25.5" x14ac:dyDescent="0.2">
      <c r="A186" s="588">
        <v>2</v>
      </c>
      <c r="B186" s="587" t="s">
        <v>815</v>
      </c>
      <c r="C186" s="589">
        <v>125234436</v>
      </c>
      <c r="D186" s="589">
        <v>124969417</v>
      </c>
      <c r="E186" s="590">
        <f>D186-C186</f>
        <v>-265019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76755190</v>
      </c>
      <c r="D188" s="622">
        <f>+D185-D186</f>
        <v>100547668</v>
      </c>
      <c r="E188" s="590">
        <f t="shared" ref="E188:E197" si="22">D188-C188</f>
        <v>23792478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0.37999570334369548</v>
      </c>
      <c r="D189" s="623">
        <f>IF(D185=0,0,+D188/D185)</f>
        <v>0.44585388286656863</v>
      </c>
      <c r="E189" s="599">
        <f t="shared" si="22"/>
        <v>6.585817952287315E-2</v>
      </c>
    </row>
    <row r="190" spans="1:5" s="421" customFormat="1" x14ac:dyDescent="0.2">
      <c r="A190" s="588">
        <v>5</v>
      </c>
      <c r="B190" s="587" t="s">
        <v>762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748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477593</v>
      </c>
      <c r="D193" s="589">
        <v>823539</v>
      </c>
      <c r="E193" s="622">
        <f t="shared" si="22"/>
        <v>345946</v>
      </c>
    </row>
    <row r="194" spans="1:5" s="421" customFormat="1" x14ac:dyDescent="0.2">
      <c r="A194" s="588">
        <v>9</v>
      </c>
      <c r="B194" s="587" t="s">
        <v>818</v>
      </c>
      <c r="C194" s="589">
        <v>5650516</v>
      </c>
      <c r="D194" s="589">
        <v>1521412</v>
      </c>
      <c r="E194" s="622">
        <f t="shared" si="22"/>
        <v>-4129104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6128109</v>
      </c>
      <c r="D195" s="589">
        <f>+D193+D194</f>
        <v>2344951</v>
      </c>
      <c r="E195" s="625">
        <f t="shared" si="22"/>
        <v>-3783158</v>
      </c>
    </row>
    <row r="196" spans="1:5" s="421" customFormat="1" x14ac:dyDescent="0.2">
      <c r="A196" s="588">
        <v>11</v>
      </c>
      <c r="B196" s="587" t="s">
        <v>820</v>
      </c>
      <c r="C196" s="589">
        <v>18659132</v>
      </c>
      <c r="D196" s="589">
        <v>23409670</v>
      </c>
      <c r="E196" s="622">
        <f t="shared" si="22"/>
        <v>4750538</v>
      </c>
    </row>
    <row r="197" spans="1:5" s="421" customFormat="1" x14ac:dyDescent="0.2">
      <c r="A197" s="588">
        <v>12</v>
      </c>
      <c r="B197" s="587" t="s">
        <v>710</v>
      </c>
      <c r="C197" s="589">
        <v>303434488</v>
      </c>
      <c r="D197" s="589">
        <v>309096761</v>
      </c>
      <c r="E197" s="622">
        <f t="shared" si="22"/>
        <v>5662273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3359.4180000000001</v>
      </c>
      <c r="D203" s="629">
        <v>3448.2624000000001</v>
      </c>
      <c r="E203" s="630">
        <f t="shared" ref="E203:E211" si="23">D203-C203</f>
        <v>88.844399999999951</v>
      </c>
    </row>
    <row r="204" spans="1:5" s="421" customFormat="1" x14ac:dyDescent="0.2">
      <c r="A204" s="588">
        <v>2</v>
      </c>
      <c r="B204" s="587" t="s">
        <v>635</v>
      </c>
      <c r="C204" s="629">
        <v>5828.61</v>
      </c>
      <c r="D204" s="629">
        <v>6050.2259999999997</v>
      </c>
      <c r="E204" s="630">
        <f t="shared" si="23"/>
        <v>221.61599999999999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2653.0197000000003</v>
      </c>
      <c r="D205" s="629">
        <f>D206+D207</f>
        <v>2988.9854</v>
      </c>
      <c r="E205" s="630">
        <f t="shared" si="23"/>
        <v>335.96569999999974</v>
      </c>
    </row>
    <row r="206" spans="1:5" s="421" customFormat="1" x14ac:dyDescent="0.2">
      <c r="A206" s="588">
        <v>4</v>
      </c>
      <c r="B206" s="587" t="s">
        <v>115</v>
      </c>
      <c r="C206" s="629">
        <v>2647.5750000000003</v>
      </c>
      <c r="D206" s="629">
        <v>2981.1817999999998</v>
      </c>
      <c r="E206" s="630">
        <f t="shared" si="23"/>
        <v>333.60679999999957</v>
      </c>
    </row>
    <row r="207" spans="1:5" s="421" customFormat="1" x14ac:dyDescent="0.2">
      <c r="A207" s="588">
        <v>5</v>
      </c>
      <c r="B207" s="587" t="s">
        <v>743</v>
      </c>
      <c r="C207" s="629">
        <v>5.4447000000000001</v>
      </c>
      <c r="D207" s="629">
        <v>7.8036000000000003</v>
      </c>
      <c r="E207" s="630">
        <f t="shared" si="23"/>
        <v>2.3589000000000002</v>
      </c>
    </row>
    <row r="208" spans="1:5" s="421" customFormat="1" x14ac:dyDescent="0.2">
      <c r="A208" s="588">
        <v>6</v>
      </c>
      <c r="B208" s="587" t="s">
        <v>424</v>
      </c>
      <c r="C208" s="629">
        <v>50.265999999999998</v>
      </c>
      <c r="D208" s="629">
        <v>37.597000000000001</v>
      </c>
      <c r="E208" s="630">
        <f t="shared" si="23"/>
        <v>-12.668999999999997</v>
      </c>
    </row>
    <row r="209" spans="1:5" s="421" customFormat="1" x14ac:dyDescent="0.2">
      <c r="A209" s="588">
        <v>7</v>
      </c>
      <c r="B209" s="587" t="s">
        <v>758</v>
      </c>
      <c r="C209" s="629">
        <v>38.621699999999997</v>
      </c>
      <c r="D209" s="629">
        <v>32.850999999999999</v>
      </c>
      <c r="E209" s="630">
        <f t="shared" si="23"/>
        <v>-5.7706999999999979</v>
      </c>
    </row>
    <row r="210" spans="1:5" s="421" customFormat="1" x14ac:dyDescent="0.2">
      <c r="A210" s="588"/>
      <c r="B210" s="592" t="s">
        <v>823</v>
      </c>
      <c r="C210" s="631">
        <f>C204+C205+C208</f>
        <v>8531.8956999999991</v>
      </c>
      <c r="D210" s="631">
        <f>D204+D205+D208</f>
        <v>9076.8083999999999</v>
      </c>
      <c r="E210" s="632">
        <f t="shared" si="23"/>
        <v>544.91270000000077</v>
      </c>
    </row>
    <row r="211" spans="1:5" s="421" customFormat="1" x14ac:dyDescent="0.2">
      <c r="A211" s="588"/>
      <c r="B211" s="592" t="s">
        <v>724</v>
      </c>
      <c r="C211" s="631">
        <f>C210+C203</f>
        <v>11891.313699999999</v>
      </c>
      <c r="D211" s="631">
        <f>D210+D203</f>
        <v>12525.0708</v>
      </c>
      <c r="E211" s="632">
        <f t="shared" si="23"/>
        <v>633.75710000000072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6550.2561318878152</v>
      </c>
      <c r="D215" s="633">
        <f>IF(D14*D137=0,0,D25/D14*D137)</f>
        <v>6373.8839500437343</v>
      </c>
      <c r="E215" s="633">
        <f t="shared" ref="E215:E223" si="24">D215-C215</f>
        <v>-176.37218184408084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3200.8713440044435</v>
      </c>
      <c r="D216" s="633">
        <f>IF(D15*D138=0,0,D26/D15*D138)</f>
        <v>3448.6341561009731</v>
      </c>
      <c r="E216" s="633">
        <f t="shared" si="24"/>
        <v>247.76281209652961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1881.6676786772487</v>
      </c>
      <c r="D217" s="633">
        <f>D218+D219</f>
        <v>2150.3515984226101</v>
      </c>
      <c r="E217" s="633">
        <f t="shared" si="24"/>
        <v>268.68391974536144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1878.367364920904</v>
      </c>
      <c r="D218" s="633">
        <f t="shared" si="25"/>
        <v>2140.8619261795238</v>
      </c>
      <c r="E218" s="633">
        <f t="shared" si="24"/>
        <v>262.4945612586198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3.3003137563446909</v>
      </c>
      <c r="D219" s="633">
        <f t="shared" si="25"/>
        <v>9.4896722430863765</v>
      </c>
      <c r="E219" s="633">
        <f t="shared" si="24"/>
        <v>6.1893584867416855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111.26993521636223</v>
      </c>
      <c r="D220" s="633">
        <f t="shared" si="25"/>
        <v>90.990341038685429</v>
      </c>
      <c r="E220" s="633">
        <f t="shared" si="24"/>
        <v>-20.279594177676799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163.33303007721602</v>
      </c>
      <c r="D221" s="633">
        <f t="shared" si="25"/>
        <v>173.84914347756154</v>
      </c>
      <c r="E221" s="633">
        <f t="shared" si="24"/>
        <v>10.516113400345517</v>
      </c>
    </row>
    <row r="222" spans="1:5" s="421" customFormat="1" x14ac:dyDescent="0.2">
      <c r="A222" s="588"/>
      <c r="B222" s="592" t="s">
        <v>825</v>
      </c>
      <c r="C222" s="634">
        <f>C216+C218+C219+C220</f>
        <v>5193.8089578980544</v>
      </c>
      <c r="D222" s="634">
        <f>D216+D218+D219+D220</f>
        <v>5689.9760955622687</v>
      </c>
      <c r="E222" s="634">
        <f t="shared" si="24"/>
        <v>496.16713766421435</v>
      </c>
    </row>
    <row r="223" spans="1:5" s="421" customFormat="1" x14ac:dyDescent="0.2">
      <c r="A223" s="588"/>
      <c r="B223" s="592" t="s">
        <v>826</v>
      </c>
      <c r="C223" s="634">
        <f>C215+C222</f>
        <v>11744.065089785869</v>
      </c>
      <c r="D223" s="634">
        <f>D215+D222</f>
        <v>12063.860045606003</v>
      </c>
      <c r="E223" s="634">
        <f t="shared" si="24"/>
        <v>319.79495582013442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11413.80352191957</v>
      </c>
      <c r="D227" s="636">
        <f t="shared" si="26"/>
        <v>10758.846542536901</v>
      </c>
      <c r="E227" s="636">
        <f t="shared" ref="E227:E235" si="27">D227-C227</f>
        <v>-654.95697938266858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11248.836686619967</v>
      </c>
      <c r="D228" s="636">
        <f t="shared" si="26"/>
        <v>11400.868496482612</v>
      </c>
      <c r="E228" s="636">
        <f t="shared" si="27"/>
        <v>152.03180986264488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6835.2127200563182</v>
      </c>
      <c r="D229" s="636">
        <f t="shared" si="26"/>
        <v>7788.0176330068389</v>
      </c>
      <c r="E229" s="636">
        <f t="shared" si="27"/>
        <v>952.8049129505207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6837.0150042963842</v>
      </c>
      <c r="D230" s="636">
        <f t="shared" si="26"/>
        <v>7799.8131479267722</v>
      </c>
      <c r="E230" s="636">
        <f t="shared" si="27"/>
        <v>962.79814363038804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5958.8223409921575</v>
      </c>
      <c r="D231" s="636">
        <f t="shared" si="26"/>
        <v>3281.8186478035777</v>
      </c>
      <c r="E231" s="636">
        <f t="shared" si="27"/>
        <v>-2677.0036931885797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5183.6430191381851</v>
      </c>
      <c r="D232" s="636">
        <f t="shared" si="26"/>
        <v>6945.8201452243529</v>
      </c>
      <c r="E232" s="636">
        <f t="shared" si="27"/>
        <v>1762.1771260861678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927.63912515502955</v>
      </c>
      <c r="D233" s="636">
        <f t="shared" si="26"/>
        <v>1588.962284253143</v>
      </c>
      <c r="E233" s="636">
        <f t="shared" si="27"/>
        <v>661.32315909811348</v>
      </c>
    </row>
    <row r="234" spans="1:5" x14ac:dyDescent="0.2">
      <c r="A234" s="588"/>
      <c r="B234" s="592" t="s">
        <v>828</v>
      </c>
      <c r="C234" s="637">
        <f t="shared" si="26"/>
        <v>9840.6731577836817</v>
      </c>
      <c r="D234" s="637">
        <f t="shared" si="26"/>
        <v>10192.706502430965</v>
      </c>
      <c r="E234" s="637">
        <f t="shared" si="27"/>
        <v>352.03334464728323</v>
      </c>
    </row>
    <row r="235" spans="1:5" s="421" customFormat="1" x14ac:dyDescent="0.2">
      <c r="A235" s="588"/>
      <c r="B235" s="592" t="s">
        <v>829</v>
      </c>
      <c r="C235" s="637">
        <f t="shared" si="26"/>
        <v>10285.098609416049</v>
      </c>
      <c r="D235" s="637">
        <f t="shared" si="26"/>
        <v>10348.569846008377</v>
      </c>
      <c r="E235" s="637">
        <f t="shared" si="27"/>
        <v>63.471236592327841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13357.320422031169</v>
      </c>
      <c r="D239" s="636">
        <f t="shared" si="28"/>
        <v>13986.807525635651</v>
      </c>
      <c r="E239" s="638">
        <f t="shared" ref="E239:E247" si="29">D239-C239</f>
        <v>629.4871036044824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11067.985930255752</v>
      </c>
      <c r="D240" s="636">
        <f t="shared" si="28"/>
        <v>11075.599866813376</v>
      </c>
      <c r="E240" s="638">
        <f t="shared" si="29"/>
        <v>7.6139365576236742</v>
      </c>
    </row>
    <row r="241" spans="1:5" x14ac:dyDescent="0.2">
      <c r="A241" s="588">
        <v>3</v>
      </c>
      <c r="B241" s="587" t="s">
        <v>777</v>
      </c>
      <c r="C241" s="636">
        <f t="shared" si="28"/>
        <v>10332.720926400574</v>
      </c>
      <c r="D241" s="636">
        <f t="shared" si="28"/>
        <v>11129.152096594349</v>
      </c>
      <c r="E241" s="638">
        <f t="shared" si="29"/>
        <v>796.43117019377496</v>
      </c>
    </row>
    <row r="242" spans="1:5" x14ac:dyDescent="0.2">
      <c r="A242" s="588">
        <v>4</v>
      </c>
      <c r="B242" s="587" t="s">
        <v>115</v>
      </c>
      <c r="C242" s="636">
        <f t="shared" si="28"/>
        <v>10301.325162138766</v>
      </c>
      <c r="D242" s="636">
        <f t="shared" si="28"/>
        <v>11140.110302470803</v>
      </c>
      <c r="E242" s="638">
        <f t="shared" si="29"/>
        <v>838.78514033203646</v>
      </c>
    </row>
    <row r="243" spans="1:5" x14ac:dyDescent="0.2">
      <c r="A243" s="588">
        <v>5</v>
      </c>
      <c r="B243" s="587" t="s">
        <v>743</v>
      </c>
      <c r="C243" s="636">
        <f t="shared" si="28"/>
        <v>28201.561085236157</v>
      </c>
      <c r="D243" s="636">
        <f t="shared" si="28"/>
        <v>8656.9902411383246</v>
      </c>
      <c r="E243" s="638">
        <f t="shared" si="29"/>
        <v>-19544.570844097834</v>
      </c>
    </row>
    <row r="244" spans="1:5" x14ac:dyDescent="0.2">
      <c r="A244" s="588">
        <v>6</v>
      </c>
      <c r="B244" s="587" t="s">
        <v>424</v>
      </c>
      <c r="C244" s="636">
        <f t="shared" si="28"/>
        <v>6299.0690040137024</v>
      </c>
      <c r="D244" s="636">
        <f t="shared" si="28"/>
        <v>7897.8822564745315</v>
      </c>
      <c r="E244" s="638">
        <f t="shared" si="29"/>
        <v>1598.8132524608291</v>
      </c>
    </row>
    <row r="245" spans="1:5" x14ac:dyDescent="0.2">
      <c r="A245" s="588">
        <v>7</v>
      </c>
      <c r="B245" s="587" t="s">
        <v>758</v>
      </c>
      <c r="C245" s="636">
        <f t="shared" si="28"/>
        <v>3473.5350206372063</v>
      </c>
      <c r="D245" s="636">
        <f t="shared" si="28"/>
        <v>7063.5895894333016</v>
      </c>
      <c r="E245" s="638">
        <f t="shared" si="29"/>
        <v>3590.0545687960953</v>
      </c>
    </row>
    <row r="246" spans="1:5" ht="25.5" x14ac:dyDescent="0.2">
      <c r="A246" s="588"/>
      <c r="B246" s="592" t="s">
        <v>831</v>
      </c>
      <c r="C246" s="637">
        <f t="shared" si="28"/>
        <v>10699.439168915762</v>
      </c>
      <c r="D246" s="637">
        <f t="shared" si="28"/>
        <v>11045.022324261579</v>
      </c>
      <c r="E246" s="639">
        <f t="shared" si="29"/>
        <v>345.58315534581743</v>
      </c>
    </row>
    <row r="247" spans="1:5" x14ac:dyDescent="0.2">
      <c r="A247" s="588"/>
      <c r="B247" s="592" t="s">
        <v>832</v>
      </c>
      <c r="C247" s="637">
        <f t="shared" si="28"/>
        <v>12181.873304195773</v>
      </c>
      <c r="D247" s="637">
        <f t="shared" si="28"/>
        <v>12599.300756590033</v>
      </c>
      <c r="E247" s="639">
        <f t="shared" si="29"/>
        <v>417.4274523942604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1440070.5667961396</v>
      </c>
      <c r="D251" s="622">
        <f>((IF((IF(D15=0,0,D26/D15)*D138)=0,0,D59/(IF(D15=0,0,D26/D15)*D138)))-(IF((IF(D17=0,0,D28/D17)*D140)=0,0,D61/(IF(D17=0,0,D28/D17)*D140))))*(IF(D17=0,0,D28/D17)*D140)</f>
        <v>-138107.93554023848</v>
      </c>
      <c r="E251" s="622">
        <f>D251-C251</f>
        <v>-1578178.502336378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-27743.632671707714</v>
      </c>
      <c r="D252" s="622">
        <f>IF(D231=0,0,(D228-D231)*D207)+IF(D243=0,0,(D240-D243)*D219)</f>
        <v>86309.630030781787</v>
      </c>
      <c r="E252" s="622">
        <f>D252-C252</f>
        <v>114053.2627024895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1639046.8747002969</v>
      </c>
      <c r="D253" s="622">
        <f>IF(D233=0,0,(D228-D233)*D209+IF(D221=0,0,(D240-D245)*D221))</f>
        <v>1019815.4813236503</v>
      </c>
      <c r="E253" s="622">
        <f>D253-C253</f>
        <v>-619231.39337664656</v>
      </c>
    </row>
    <row r="254" spans="1:5" ht="15" customHeight="1" x14ac:dyDescent="0.2">
      <c r="A254" s="588"/>
      <c r="B254" s="592" t="s">
        <v>759</v>
      </c>
      <c r="C254" s="640">
        <f>+C251+C252+C253</f>
        <v>3051373.8088247287</v>
      </c>
      <c r="D254" s="640">
        <f>+D251+D252+D253</f>
        <v>968017.17581419367</v>
      </c>
      <c r="E254" s="640">
        <f>D254-C254</f>
        <v>-2083356.633010535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535141391</v>
      </c>
      <c r="D258" s="625">
        <f>+D44</f>
        <v>600821647</v>
      </c>
      <c r="E258" s="622">
        <f t="shared" ref="E258:E271" si="30">D258-C258</f>
        <v>65680256</v>
      </c>
    </row>
    <row r="259" spans="1:5" x14ac:dyDescent="0.2">
      <c r="A259" s="588">
        <v>2</v>
      </c>
      <c r="B259" s="587" t="s">
        <v>742</v>
      </c>
      <c r="C259" s="622">
        <f>+(C43-C76)</f>
        <v>190216886</v>
      </c>
      <c r="D259" s="625">
        <f>+(D43-D76)</f>
        <v>215489697</v>
      </c>
      <c r="E259" s="622">
        <f t="shared" si="30"/>
        <v>25272811</v>
      </c>
    </row>
    <row r="260" spans="1:5" x14ac:dyDescent="0.2">
      <c r="A260" s="588">
        <v>3</v>
      </c>
      <c r="B260" s="587" t="s">
        <v>746</v>
      </c>
      <c r="C260" s="622">
        <f>C195</f>
        <v>6128109</v>
      </c>
      <c r="D260" s="622">
        <f>D195</f>
        <v>2344951</v>
      </c>
      <c r="E260" s="622">
        <f t="shared" si="30"/>
        <v>-3783158</v>
      </c>
    </row>
    <row r="261" spans="1:5" x14ac:dyDescent="0.2">
      <c r="A261" s="588">
        <v>4</v>
      </c>
      <c r="B261" s="587" t="s">
        <v>747</v>
      </c>
      <c r="C261" s="622">
        <f>C188</f>
        <v>76755190</v>
      </c>
      <c r="D261" s="622">
        <f>D188</f>
        <v>100547668</v>
      </c>
      <c r="E261" s="622">
        <f t="shared" si="30"/>
        <v>23792478</v>
      </c>
    </row>
    <row r="262" spans="1:5" x14ac:dyDescent="0.2">
      <c r="A262" s="588">
        <v>5</v>
      </c>
      <c r="B262" s="587" t="s">
        <v>748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749</v>
      </c>
      <c r="C263" s="622">
        <f>+C259+C260+C261+C262</f>
        <v>273100185</v>
      </c>
      <c r="D263" s="622">
        <f>+D259+D260+D261+D262</f>
        <v>318382316</v>
      </c>
      <c r="E263" s="622">
        <f t="shared" si="30"/>
        <v>45282131</v>
      </c>
    </row>
    <row r="264" spans="1:5" x14ac:dyDescent="0.2">
      <c r="A264" s="588">
        <v>7</v>
      </c>
      <c r="B264" s="587" t="s">
        <v>654</v>
      </c>
      <c r="C264" s="622">
        <f>+C258-C263</f>
        <v>262041206</v>
      </c>
      <c r="D264" s="622">
        <f>+D258-D263</f>
        <v>282439331</v>
      </c>
      <c r="E264" s="622">
        <f t="shared" si="30"/>
        <v>20398125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262041206</v>
      </c>
      <c r="D266" s="622">
        <f>+D264+D265</f>
        <v>282439331</v>
      </c>
      <c r="E266" s="641">
        <f t="shared" si="30"/>
        <v>20398125</v>
      </c>
    </row>
    <row r="267" spans="1:5" x14ac:dyDescent="0.2">
      <c r="A267" s="588">
        <v>10</v>
      </c>
      <c r="B267" s="587" t="s">
        <v>837</v>
      </c>
      <c r="C267" s="642">
        <f>IF(C258=0,0,C266/C258)</f>
        <v>0.48966723637342419</v>
      </c>
      <c r="D267" s="642">
        <f>IF(D258=0,0,D266/D258)</f>
        <v>0.47008847369309248</v>
      </c>
      <c r="E267" s="643">
        <f t="shared" si="30"/>
        <v>-1.9578762680331707E-2</v>
      </c>
    </row>
    <row r="268" spans="1:5" x14ac:dyDescent="0.2">
      <c r="A268" s="588">
        <v>11</v>
      </c>
      <c r="B268" s="587" t="s">
        <v>716</v>
      </c>
      <c r="C268" s="622">
        <f>+C260*C267</f>
        <v>3000734.198225108</v>
      </c>
      <c r="D268" s="644">
        <f>+D260*D267</f>
        <v>1102334.4364750909</v>
      </c>
      <c r="E268" s="622">
        <f t="shared" si="30"/>
        <v>-1898399.7617500171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12507759.595781267</v>
      </c>
      <c r="D269" s="644">
        <f>((D17+D18+D28+D29)*D267)-(D50+D51+D61+D62)</f>
        <v>12684744.172322504</v>
      </c>
      <c r="E269" s="622">
        <f t="shared" si="30"/>
        <v>176984.57654123753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15508493.794006374</v>
      </c>
      <c r="D271" s="622">
        <f>+D268+D269+D270</f>
        <v>13787078.608797595</v>
      </c>
      <c r="E271" s="625">
        <f t="shared" si="30"/>
        <v>-1721415.1852087788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0.66064750929666505</v>
      </c>
      <c r="D276" s="623">
        <f t="shared" si="31"/>
        <v>0.56424494874866982</v>
      </c>
      <c r="E276" s="650">
        <f t="shared" ref="E276:E284" si="32">D276-C276</f>
        <v>-9.6402560547995231E-2</v>
      </c>
    </row>
    <row r="277" spans="1:5" x14ac:dyDescent="0.2">
      <c r="A277" s="588">
        <v>2</v>
      </c>
      <c r="B277" s="587" t="s">
        <v>635</v>
      </c>
      <c r="C277" s="623">
        <f t="shared" si="31"/>
        <v>0.5437080342341668</v>
      </c>
      <c r="D277" s="623">
        <f t="shared" si="31"/>
        <v>0.54469493135794955</v>
      </c>
      <c r="E277" s="650">
        <f t="shared" si="32"/>
        <v>9.8689712378274841E-4</v>
      </c>
    </row>
    <row r="278" spans="1:5" x14ac:dyDescent="0.2">
      <c r="A278" s="588">
        <v>3</v>
      </c>
      <c r="B278" s="587" t="s">
        <v>777</v>
      </c>
      <c r="C278" s="623">
        <f t="shared" si="31"/>
        <v>0.33980529710468249</v>
      </c>
      <c r="D278" s="623">
        <f t="shared" si="31"/>
        <v>0.36370268521888122</v>
      </c>
      <c r="E278" s="650">
        <f t="shared" si="32"/>
        <v>2.3897388114198725E-2</v>
      </c>
    </row>
    <row r="279" spans="1:5" x14ac:dyDescent="0.2">
      <c r="A279" s="588">
        <v>4</v>
      </c>
      <c r="B279" s="587" t="s">
        <v>115</v>
      </c>
      <c r="C279" s="623">
        <f t="shared" si="31"/>
        <v>0.33986107563103091</v>
      </c>
      <c r="D279" s="623">
        <f t="shared" si="31"/>
        <v>0.36376867210374714</v>
      </c>
      <c r="E279" s="650">
        <f t="shared" si="32"/>
        <v>2.390759647271623E-2</v>
      </c>
    </row>
    <row r="280" spans="1:5" x14ac:dyDescent="0.2">
      <c r="A280" s="588">
        <v>5</v>
      </c>
      <c r="B280" s="587" t="s">
        <v>743</v>
      </c>
      <c r="C280" s="623">
        <f t="shared" si="31"/>
        <v>0.3113000259064872</v>
      </c>
      <c r="D280" s="623">
        <f t="shared" si="31"/>
        <v>0.31227137492074331</v>
      </c>
      <c r="E280" s="650">
        <f t="shared" si="32"/>
        <v>9.7134901425610654E-4</v>
      </c>
    </row>
    <row r="281" spans="1:5" x14ac:dyDescent="0.2">
      <c r="A281" s="588">
        <v>6</v>
      </c>
      <c r="B281" s="587" t="s">
        <v>424</v>
      </c>
      <c r="C281" s="623">
        <f t="shared" si="31"/>
        <v>0.37881708799292846</v>
      </c>
      <c r="D281" s="623">
        <f t="shared" si="31"/>
        <v>0.36995606858457541</v>
      </c>
      <c r="E281" s="650">
        <f t="shared" si="32"/>
        <v>-8.8610194083530436E-3</v>
      </c>
    </row>
    <row r="282" spans="1:5" x14ac:dyDescent="0.2">
      <c r="A282" s="588">
        <v>7</v>
      </c>
      <c r="B282" s="587" t="s">
        <v>758</v>
      </c>
      <c r="C282" s="623">
        <f t="shared" si="31"/>
        <v>5.4596768417475475E-2</v>
      </c>
      <c r="D282" s="623">
        <f t="shared" si="31"/>
        <v>6.9968098225296232E-2</v>
      </c>
      <c r="E282" s="650">
        <f t="shared" si="32"/>
        <v>1.5371329807820758E-2</v>
      </c>
    </row>
    <row r="283" spans="1:5" ht="29.25" customHeight="1" x14ac:dyDescent="0.2">
      <c r="A283" s="588"/>
      <c r="B283" s="592" t="s">
        <v>844</v>
      </c>
      <c r="C283" s="651">
        <f t="shared" si="31"/>
        <v>0.48075174106573199</v>
      </c>
      <c r="D283" s="651">
        <f t="shared" si="31"/>
        <v>0.48350972121280433</v>
      </c>
      <c r="E283" s="652">
        <f t="shared" si="32"/>
        <v>2.7579801470723475E-3</v>
      </c>
    </row>
    <row r="284" spans="1:5" x14ac:dyDescent="0.2">
      <c r="A284" s="588"/>
      <c r="B284" s="592" t="s">
        <v>845</v>
      </c>
      <c r="C284" s="651">
        <f t="shared" si="31"/>
        <v>0.52562451289462964</v>
      </c>
      <c r="D284" s="651">
        <f t="shared" si="31"/>
        <v>0.50415719176841911</v>
      </c>
      <c r="E284" s="652">
        <f t="shared" si="32"/>
        <v>-2.1467321126210526E-2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0.59376475502756332</v>
      </c>
      <c r="D287" s="623">
        <f t="shared" si="33"/>
        <v>0.54287635803446677</v>
      </c>
      <c r="E287" s="650">
        <f t="shared" ref="E287:E295" si="34">D287-C287</f>
        <v>-5.0888396993096552E-2</v>
      </c>
    </row>
    <row r="288" spans="1:5" x14ac:dyDescent="0.2">
      <c r="A288" s="588">
        <v>2</v>
      </c>
      <c r="B288" s="587" t="s">
        <v>635</v>
      </c>
      <c r="C288" s="623">
        <f t="shared" si="33"/>
        <v>0.33959670225626887</v>
      </c>
      <c r="D288" s="623">
        <f t="shared" si="33"/>
        <v>0.33427333955122701</v>
      </c>
      <c r="E288" s="650">
        <f t="shared" si="34"/>
        <v>-5.3233627050418564E-3</v>
      </c>
    </row>
    <row r="289" spans="1:5" x14ac:dyDescent="0.2">
      <c r="A289" s="588">
        <v>3</v>
      </c>
      <c r="B289" s="587" t="s">
        <v>777</v>
      </c>
      <c r="C289" s="623">
        <f t="shared" si="33"/>
        <v>0.39746460361256952</v>
      </c>
      <c r="D289" s="623">
        <f t="shared" si="33"/>
        <v>0.37742359477877269</v>
      </c>
      <c r="E289" s="650">
        <f t="shared" si="34"/>
        <v>-2.0041008833796836E-2</v>
      </c>
    </row>
    <row r="290" spans="1:5" x14ac:dyDescent="0.2">
      <c r="A290" s="588">
        <v>4</v>
      </c>
      <c r="B290" s="587" t="s">
        <v>115</v>
      </c>
      <c r="C290" s="623">
        <f t="shared" si="33"/>
        <v>0.39649122490667599</v>
      </c>
      <c r="D290" s="623">
        <f t="shared" si="33"/>
        <v>0.37678865274786588</v>
      </c>
      <c r="E290" s="650">
        <f t="shared" si="34"/>
        <v>-1.9702572158810105E-2</v>
      </c>
    </row>
    <row r="291" spans="1:5" x14ac:dyDescent="0.2">
      <c r="A291" s="588">
        <v>5</v>
      </c>
      <c r="B291" s="587" t="s">
        <v>743</v>
      </c>
      <c r="C291" s="623">
        <f t="shared" si="33"/>
        <v>0.81178153400666353</v>
      </c>
      <c r="D291" s="623">
        <f t="shared" si="33"/>
        <v>0.73890322986841273</v>
      </c>
      <c r="E291" s="650">
        <f t="shared" si="34"/>
        <v>-7.2878304138250805E-2</v>
      </c>
    </row>
    <row r="292" spans="1:5" x14ac:dyDescent="0.2">
      <c r="A292" s="588">
        <v>6</v>
      </c>
      <c r="B292" s="587" t="s">
        <v>424</v>
      </c>
      <c r="C292" s="623">
        <f t="shared" si="33"/>
        <v>0.37547443425472909</v>
      </c>
      <c r="D292" s="623">
        <f t="shared" si="33"/>
        <v>0.39160851736305058</v>
      </c>
      <c r="E292" s="650">
        <f t="shared" si="34"/>
        <v>1.6134083108321484E-2</v>
      </c>
    </row>
    <row r="293" spans="1:5" x14ac:dyDescent="0.2">
      <c r="A293" s="588">
        <v>7</v>
      </c>
      <c r="B293" s="587" t="s">
        <v>758</v>
      </c>
      <c r="C293" s="623">
        <f t="shared" si="33"/>
        <v>0.20643949248770754</v>
      </c>
      <c r="D293" s="623">
        <f t="shared" si="33"/>
        <v>0.33138388776763383</v>
      </c>
      <c r="E293" s="650">
        <f t="shared" si="34"/>
        <v>0.12494439527992629</v>
      </c>
    </row>
    <row r="294" spans="1:5" ht="29.25" customHeight="1" x14ac:dyDescent="0.2">
      <c r="A294" s="588"/>
      <c r="B294" s="592" t="s">
        <v>847</v>
      </c>
      <c r="C294" s="651">
        <f t="shared" si="33"/>
        <v>0.35827883729688143</v>
      </c>
      <c r="D294" s="651">
        <f t="shared" si="33"/>
        <v>0.35010149648402816</v>
      </c>
      <c r="E294" s="652">
        <f t="shared" si="34"/>
        <v>-8.1773408128532621E-3</v>
      </c>
    </row>
    <row r="295" spans="1:5" x14ac:dyDescent="0.2">
      <c r="A295" s="588"/>
      <c r="B295" s="592" t="s">
        <v>848</v>
      </c>
      <c r="C295" s="651">
        <f t="shared" si="33"/>
        <v>0.47300461232743246</v>
      </c>
      <c r="D295" s="651">
        <f t="shared" si="33"/>
        <v>0.44220151418354042</v>
      </c>
      <c r="E295" s="652">
        <f t="shared" si="34"/>
        <v>-3.0803098143892038E-2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265368047</v>
      </c>
      <c r="D301" s="590">
        <f>+D48+D47+D50+D51+D52+D59+D58+D61+D62+D63</f>
        <v>281612771</v>
      </c>
      <c r="E301" s="590">
        <f>D301-C301</f>
        <v>16244724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265368047</v>
      </c>
      <c r="D303" s="593">
        <f>+D301+D302</f>
        <v>281612771</v>
      </c>
      <c r="E303" s="593">
        <f>D303-C303</f>
        <v>16244724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0</v>
      </c>
      <c r="D305" s="654">
        <v>0</v>
      </c>
      <c r="E305" s="655">
        <f>D305-C305</f>
        <v>0</v>
      </c>
    </row>
    <row r="306" spans="1:5" x14ac:dyDescent="0.2">
      <c r="A306" s="588">
        <v>4</v>
      </c>
      <c r="B306" s="592" t="s">
        <v>855</v>
      </c>
      <c r="C306" s="593">
        <f>+C303+C305+C194+C190-C191</f>
        <v>271018563</v>
      </c>
      <c r="D306" s="593">
        <f>+D303+D305</f>
        <v>281612771</v>
      </c>
      <c r="E306" s="656">
        <f>D306-C306</f>
        <v>10594208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265368041</v>
      </c>
      <c r="D308" s="589">
        <v>281612773</v>
      </c>
      <c r="E308" s="590">
        <f>D308-C308</f>
        <v>16244732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5650522</v>
      </c>
      <c r="D310" s="658">
        <f>D306-D308</f>
        <v>-2</v>
      </c>
      <c r="E310" s="656">
        <f>D310-C310</f>
        <v>-5650524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535141391</v>
      </c>
      <c r="D314" s="590">
        <f>+D14+D15+D16+D19+D25+D26+D27+D30</f>
        <v>600821647</v>
      </c>
      <c r="E314" s="590">
        <f>D314-C314</f>
        <v>65680256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535141391</v>
      </c>
      <c r="D316" s="657">
        <f>D314+D315</f>
        <v>600821647</v>
      </c>
      <c r="E316" s="593">
        <f>D316-C316</f>
        <v>65680256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535141392</v>
      </c>
      <c r="D318" s="589">
        <v>600821647</v>
      </c>
      <c r="E318" s="590">
        <f>D318-C318</f>
        <v>65680255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-1</v>
      </c>
      <c r="D320" s="657">
        <f>D316-D318</f>
        <v>0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6128109</v>
      </c>
      <c r="D324" s="589">
        <f>+D193+D194</f>
        <v>2344951</v>
      </c>
      <c r="E324" s="590">
        <f>D324-C324</f>
        <v>-3783158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6128109</v>
      </c>
      <c r="D326" s="657">
        <f>D324+D325</f>
        <v>2344951</v>
      </c>
      <c r="E326" s="593">
        <f>D326-C326</f>
        <v>-3783158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6128109</v>
      </c>
      <c r="D328" s="589">
        <v>2344951</v>
      </c>
      <c r="E328" s="590">
        <f>D328-C328</f>
        <v>-3783158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65750391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126635713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64003572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63921560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82012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705873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746040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191345158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257095549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164218402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114264847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63407774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63296593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111181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1835075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3705669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179507696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343726098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229968793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370852854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600821647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37099326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68977831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23278271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23252661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25610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261142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52199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92517244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129616570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89150288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38195692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23931590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23849438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82152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718631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1227999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62845913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151996201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126249614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155363157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281612771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2552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3822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2169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2162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7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35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6026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8578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1.3512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1.583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1.3780476717381283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1.3789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1.1148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1.0742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0.93859999999999999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1.506274211749087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1.4601388202378176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225517085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124969417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100547668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0.44585388286656863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823539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1521412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2344951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23409670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309096761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281612771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281612771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281612771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281612773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600821647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600821647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600821647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2344951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2344951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2344951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545</v>
      </c>
      <c r="D12" s="185">
        <v>403</v>
      </c>
      <c r="E12" s="185">
        <f>+D12-C12</f>
        <v>-142</v>
      </c>
      <c r="F12" s="77">
        <f>IF(C12=0,0,+E12/C12)</f>
        <v>-0.26055045871559634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282</v>
      </c>
      <c r="D13" s="185">
        <v>213</v>
      </c>
      <c r="E13" s="185">
        <f>+D13-C13</f>
        <v>-69</v>
      </c>
      <c r="F13" s="77">
        <f>IF(C13=0,0,+E13/C13)</f>
        <v>-0.24468085106382978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477593</v>
      </c>
      <c r="D15" s="76">
        <v>823539</v>
      </c>
      <c r="E15" s="76">
        <f>+D15-C15</f>
        <v>345946</v>
      </c>
      <c r="F15" s="77">
        <f>IF(C15=0,0,+E15/C15)</f>
        <v>0.72435316263010552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1693.5921985815603</v>
      </c>
      <c r="D16" s="79">
        <f>IF(D13=0,0,+D15/+D13)</f>
        <v>3866.3802816901407</v>
      </c>
      <c r="E16" s="79">
        <f>+D16-C16</f>
        <v>2172.7880831085804</v>
      </c>
      <c r="F16" s="80">
        <f>IF(C16=0,0,+E16/C16)</f>
        <v>1.28294644066521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0.490064</v>
      </c>
      <c r="D18" s="704">
        <v>0.53543300000000005</v>
      </c>
      <c r="E18" s="704">
        <f>+D18-C18</f>
        <v>4.5369000000000048E-2</v>
      </c>
      <c r="F18" s="77">
        <f>IF(C18=0,0,+E18/C18)</f>
        <v>9.257770413660267E-2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234051.13595200001</v>
      </c>
      <c r="D19" s="79">
        <f>+D15*D18</f>
        <v>440949.95738700003</v>
      </c>
      <c r="E19" s="79">
        <f>+D19-C19</f>
        <v>206898.82143500002</v>
      </c>
      <c r="F19" s="80">
        <f>IF(C19=0,0,+E19/C19)</f>
        <v>0.88398981954709044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829.96856720567382</v>
      </c>
      <c r="D20" s="79">
        <f>IF(D13=0,0,+D19/D13)</f>
        <v>2070.1875933661972</v>
      </c>
      <c r="E20" s="79">
        <f>+D20-C20</f>
        <v>1240.2190261605233</v>
      </c>
      <c r="F20" s="80">
        <f>IF(C20=0,0,+E20/C20)</f>
        <v>1.4942963808088237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91830</v>
      </c>
      <c r="D22" s="76">
        <v>153668</v>
      </c>
      <c r="E22" s="76">
        <f>+D22-C22</f>
        <v>61838</v>
      </c>
      <c r="F22" s="77">
        <f>IF(C22=0,0,+E22/C22)</f>
        <v>0.67339649352063591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236899</v>
      </c>
      <c r="D23" s="185">
        <v>449919</v>
      </c>
      <c r="E23" s="185">
        <f>+D23-C23</f>
        <v>213020</v>
      </c>
      <c r="F23" s="77">
        <f>IF(C23=0,0,+E23/C23)</f>
        <v>0.89920176953047504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148864</v>
      </c>
      <c r="D24" s="185">
        <v>219952</v>
      </c>
      <c r="E24" s="185">
        <f>+D24-C24</f>
        <v>71088</v>
      </c>
      <c r="F24" s="77">
        <f>IF(C24=0,0,+E24/C24)</f>
        <v>0.47753654342218399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477593</v>
      </c>
      <c r="D25" s="79">
        <f>+D22+D23+D24</f>
        <v>823539</v>
      </c>
      <c r="E25" s="79">
        <f>+E22+E23+E24</f>
        <v>345946</v>
      </c>
      <c r="F25" s="80">
        <f>IF(C25=0,0,+E25/C25)</f>
        <v>0.72435316263010552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78</v>
      </c>
      <c r="D27" s="185">
        <v>74</v>
      </c>
      <c r="E27" s="185">
        <f>+D27-C27</f>
        <v>-4</v>
      </c>
      <c r="F27" s="77">
        <f>IF(C27=0,0,+E27/C27)</f>
        <v>-5.128205128205128E-2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13</v>
      </c>
      <c r="D28" s="185">
        <v>12</v>
      </c>
      <c r="E28" s="185">
        <f>+D28-C28</f>
        <v>-1</v>
      </c>
      <c r="F28" s="77">
        <f>IF(C28=0,0,+E28/C28)</f>
        <v>-7.6923076923076927E-2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134</v>
      </c>
      <c r="D29" s="185">
        <v>184</v>
      </c>
      <c r="E29" s="185">
        <f>+D29-C29</f>
        <v>50</v>
      </c>
      <c r="F29" s="77">
        <f>IF(C29=0,0,+E29/C29)</f>
        <v>0.37313432835820898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559</v>
      </c>
      <c r="D30" s="185">
        <v>757</v>
      </c>
      <c r="E30" s="185">
        <f>+D30-C30</f>
        <v>198</v>
      </c>
      <c r="F30" s="77">
        <f>IF(C30=0,0,+E30/C30)</f>
        <v>0.35420393559928443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1868064</v>
      </c>
      <c r="D33" s="76">
        <v>463916</v>
      </c>
      <c r="E33" s="76">
        <f>+D33-C33</f>
        <v>-1404148</v>
      </c>
      <c r="F33" s="77">
        <f>IF(C33=0,0,+E33/C33)</f>
        <v>-0.7516594720523494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1856077</v>
      </c>
      <c r="D34" s="185">
        <v>500646</v>
      </c>
      <c r="E34" s="185">
        <f>+D34-C34</f>
        <v>-1355431</v>
      </c>
      <c r="F34" s="77">
        <f>IF(C34=0,0,+E34/C34)</f>
        <v>-0.73026657838009956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1926375</v>
      </c>
      <c r="D35" s="185">
        <v>556850</v>
      </c>
      <c r="E35" s="185">
        <f>+D35-C35</f>
        <v>-1369525</v>
      </c>
      <c r="F35" s="77">
        <f>IF(C35=0,0,+E35/C35)</f>
        <v>-0.7109337486211148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5650516</v>
      </c>
      <c r="D36" s="79">
        <f>+D33+D34+D35</f>
        <v>1521412</v>
      </c>
      <c r="E36" s="79">
        <f>+E33+E34+E35</f>
        <v>-4129104</v>
      </c>
      <c r="F36" s="80">
        <f>IF(C36=0,0,+E36/C36)</f>
        <v>-0.73074812990530424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477593</v>
      </c>
      <c r="D39" s="76">
        <f>+D25</f>
        <v>823539</v>
      </c>
      <c r="E39" s="76">
        <f>+D39-C39</f>
        <v>345946</v>
      </c>
      <c r="F39" s="77">
        <f>IF(C39=0,0,+E39/C39)</f>
        <v>0.72435316263010552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5650516</v>
      </c>
      <c r="D40" s="185">
        <f>+D36</f>
        <v>1521412</v>
      </c>
      <c r="E40" s="185">
        <f>+D40-C40</f>
        <v>-4129104</v>
      </c>
      <c r="F40" s="77">
        <f>IF(C40=0,0,+E40/C40)</f>
        <v>-0.73074812990530424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6128109</v>
      </c>
      <c r="D41" s="79">
        <f>+D39+D40</f>
        <v>2344951</v>
      </c>
      <c r="E41" s="79">
        <f>+E39+E40</f>
        <v>-3783158</v>
      </c>
      <c r="F41" s="80">
        <f>IF(C41=0,0,+E41/C41)</f>
        <v>-0.61734508965163637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1959894</v>
      </c>
      <c r="D43" s="76">
        <f t="shared" si="0"/>
        <v>617584</v>
      </c>
      <c r="E43" s="76">
        <f>+D43-C43</f>
        <v>-1342310</v>
      </c>
      <c r="F43" s="77">
        <f>IF(C43=0,0,+E43/C43)</f>
        <v>-0.68488908073599897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2092976</v>
      </c>
      <c r="D44" s="185">
        <f t="shared" si="0"/>
        <v>950565</v>
      </c>
      <c r="E44" s="185">
        <f>+D44-C44</f>
        <v>-1142411</v>
      </c>
      <c r="F44" s="77">
        <f>IF(C44=0,0,+E44/C44)</f>
        <v>-0.54583091253793636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2075239</v>
      </c>
      <c r="D45" s="185">
        <f t="shared" si="0"/>
        <v>776802</v>
      </c>
      <c r="E45" s="185">
        <f>+D45-C45</f>
        <v>-1298437</v>
      </c>
      <c r="F45" s="77">
        <f>IF(C45=0,0,+E45/C45)</f>
        <v>-0.62568070472846737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6128109</v>
      </c>
      <c r="D46" s="79">
        <f>+D43+D44+D45</f>
        <v>2344951</v>
      </c>
      <c r="E46" s="79">
        <f>+E43+E44+E45</f>
        <v>-3783158</v>
      </c>
      <c r="F46" s="80">
        <f>IF(C46=0,0,+E46/C46)</f>
        <v>-0.61734508965163637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201989626</v>
      </c>
      <c r="D15" s="76">
        <v>225517085</v>
      </c>
      <c r="E15" s="76">
        <f>+D15-C15</f>
        <v>23527459</v>
      </c>
      <c r="F15" s="77">
        <f>IF(C15=0,0,E15/C15)</f>
        <v>0.1164785512301508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76755190</v>
      </c>
      <c r="D17" s="76">
        <v>100547668</v>
      </c>
      <c r="E17" s="76">
        <f>+D17-C17</f>
        <v>23792478</v>
      </c>
      <c r="F17" s="77">
        <f>IF(C17=0,0,E17/C17)</f>
        <v>0.30997875192543983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125234436</v>
      </c>
      <c r="D19" s="79">
        <f>+D15-D17</f>
        <v>124969417</v>
      </c>
      <c r="E19" s="79">
        <f>+D19-C19</f>
        <v>-265019</v>
      </c>
      <c r="F19" s="80">
        <f>IF(C19=0,0,E19/C19)</f>
        <v>-2.1161831239452384E-3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0.37999570334369548</v>
      </c>
      <c r="D21" s="720">
        <f>IF(D15=0,0,D17/D15)</f>
        <v>0.44585388286656863</v>
      </c>
      <c r="E21" s="720">
        <f>+D21-C21</f>
        <v>6.585817952287315E-2</v>
      </c>
      <c r="F21" s="80">
        <f>IF(C21=0,0,E21/C21)</f>
        <v>0.17331295839233812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259180572</v>
      </c>
      <c r="D10" s="744">
        <v>232681945</v>
      </c>
      <c r="E10" s="744">
        <v>257095549</v>
      </c>
    </row>
    <row r="11" spans="1:6" ht="26.1" customHeight="1" x14ac:dyDescent="0.25">
      <c r="A11" s="742">
        <v>2</v>
      </c>
      <c r="B11" s="743" t="s">
        <v>932</v>
      </c>
      <c r="C11" s="744">
        <v>274542562</v>
      </c>
      <c r="D11" s="744">
        <v>302459446</v>
      </c>
      <c r="E11" s="744">
        <v>343726098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533723134</v>
      </c>
      <c r="D12" s="744">
        <f>+D11+D10</f>
        <v>535141391</v>
      </c>
      <c r="E12" s="744">
        <f>+E11+E10</f>
        <v>600821647</v>
      </c>
    </row>
    <row r="13" spans="1:6" ht="26.1" customHeight="1" x14ac:dyDescent="0.25">
      <c r="A13" s="742">
        <v>4</v>
      </c>
      <c r="B13" s="743" t="s">
        <v>507</v>
      </c>
      <c r="C13" s="744">
        <v>268117022</v>
      </c>
      <c r="D13" s="744">
        <v>278985670</v>
      </c>
      <c r="E13" s="744">
        <v>281412882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286852873</v>
      </c>
      <c r="D16" s="744">
        <v>303434488</v>
      </c>
      <c r="E16" s="744">
        <v>309096761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51614</v>
      </c>
      <c r="D19" s="747">
        <v>40295</v>
      </c>
      <c r="E19" s="747">
        <v>40704</v>
      </c>
    </row>
    <row r="20" spans="1:5" ht="26.1" customHeight="1" x14ac:dyDescent="0.25">
      <c r="A20" s="742">
        <v>2</v>
      </c>
      <c r="B20" s="743" t="s">
        <v>381</v>
      </c>
      <c r="C20" s="748">
        <v>9082</v>
      </c>
      <c r="D20" s="748">
        <v>8374</v>
      </c>
      <c r="E20" s="748">
        <v>8578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5.683109447258313</v>
      </c>
      <c r="D21" s="749">
        <f>IF(D20=0,0,+D19/D20)</f>
        <v>4.8119178409362311</v>
      </c>
      <c r="E21" s="749">
        <f>IF(E20=0,0,+E19/E20)</f>
        <v>4.7451620424341341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106287.23297314122</v>
      </c>
      <c r="D22" s="748">
        <f>IF(D10=0,0,D19*(D12/D10))</f>
        <v>92673.809952658761</v>
      </c>
      <c r="E22" s="748">
        <f>IF(E10=0,0,E19*(E12/E10))</f>
        <v>95123.561705410932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18702.302667145901</v>
      </c>
      <c r="D23" s="748">
        <f>IF(D10=0,0,D20*(D12/D10))</f>
        <v>19259.225326803931</v>
      </c>
      <c r="E23" s="748">
        <f>IF(E10=0,0,E20*(E12/E10))</f>
        <v>20046.430628660939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1.4545607245100198</v>
      </c>
      <c r="D26" s="750">
        <v>1.4200279078098879</v>
      </c>
      <c r="E26" s="750">
        <v>1.4601388202378176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75075.69723486017</v>
      </c>
      <c r="D27" s="748">
        <f>D19*D26</f>
        <v>57220.024545199434</v>
      </c>
      <c r="E27" s="748">
        <f>E19*E26</f>
        <v>59433.490538960126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13210.3205</v>
      </c>
      <c r="D28" s="748">
        <f>D20*D26</f>
        <v>11891.313700000001</v>
      </c>
      <c r="E28" s="748">
        <f>E20*E26</f>
        <v>12525.0708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154601.23459957755</v>
      </c>
      <c r="D29" s="748">
        <f>D22*D26</f>
        <v>131599.39645584518</v>
      </c>
      <c r="E29" s="748">
        <f>E22*E26</f>
        <v>138893.60516535796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27203.63491752942</v>
      </c>
      <c r="D30" s="748">
        <f>D23*D26</f>
        <v>27348.63744686059</v>
      </c>
      <c r="E30" s="748">
        <f>E23*E26</f>
        <v>29270.571568112235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10340.66598209788</v>
      </c>
      <c r="D33" s="744">
        <f>IF(D19=0,0,D12/D19)</f>
        <v>13280.590420647723</v>
      </c>
      <c r="E33" s="744">
        <f>IF(E19=0,0,E12/E19)</f>
        <v>14760.751940841195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58767.136533803125</v>
      </c>
      <c r="D34" s="744">
        <f>IF(D20=0,0,D12/D20)</f>
        <v>63905.109983281589</v>
      </c>
      <c r="E34" s="744">
        <f>IF(E20=0,0,E12/E20)</f>
        <v>70042.159827465613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5021.5168752664003</v>
      </c>
      <c r="D35" s="744">
        <f>IF(D22=0,0,D12/D22)</f>
        <v>5774.4619679861025</v>
      </c>
      <c r="E35" s="744">
        <f>IF(E22=0,0,E12/E22)</f>
        <v>6316.2231967374219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28537.829993393523</v>
      </c>
      <c r="D36" s="744">
        <f>IF(D23=0,0,D12/D23)</f>
        <v>27786.23656556007</v>
      </c>
      <c r="E36" s="744">
        <f>IF(E23=0,0,E12/E23)</f>
        <v>29971.5025647004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3452.2566096083324</v>
      </c>
      <c r="D37" s="744">
        <f>IF(D29=0,0,D12/D29)</f>
        <v>4066.442593295274</v>
      </c>
      <c r="E37" s="744">
        <f>IF(E29=0,0,E12/E29)</f>
        <v>4325.7689674387793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19619.552152425065</v>
      </c>
      <c r="D38" s="744">
        <f>IF(D30=0,0,D12/D30)</f>
        <v>19567.387663820526</v>
      </c>
      <c r="E38" s="744">
        <f>IF(E30=0,0,E12/E30)</f>
        <v>20526.474708629994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2438.4920441526119</v>
      </c>
      <c r="D39" s="744">
        <f>IF(D22=0,0,D10/D22)</f>
        <v>2510.7626968057384</v>
      </c>
      <c r="E39" s="744">
        <f>IF(E22=0,0,E10/E22)</f>
        <v>2702.7536016386944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13858.217173187943</v>
      </c>
      <c r="D40" s="744">
        <f>IF(D23=0,0,D10/D23)</f>
        <v>12081.583815116699</v>
      </c>
      <c r="E40" s="744">
        <f>IF(E23=0,0,E10/E23)</f>
        <v>12825.003800548082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5194.6569147905611</v>
      </c>
      <c r="D43" s="744">
        <f>IF(D19=0,0,D13/D19)</f>
        <v>6923.5803449559498</v>
      </c>
      <c r="E43" s="744">
        <f>IF(E19=0,0,E13/E19)</f>
        <v>6913.6419516509432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29521.803787711957</v>
      </c>
      <c r="D44" s="744">
        <f>IF(D20=0,0,D13/D20)</f>
        <v>33315.699785048964</v>
      </c>
      <c r="E44" s="744">
        <f>IF(E20=0,0,E13/E20)</f>
        <v>32806.351363954302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2522.570345468991</v>
      </c>
      <c r="D45" s="744">
        <f>IF(D22=0,0,D13/D22)</f>
        <v>3010.4046671062329</v>
      </c>
      <c r="E45" s="744">
        <f>IF(E22=0,0,E13/E22)</f>
        <v>2958.3930306511256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14336.043361708491</v>
      </c>
      <c r="D46" s="744">
        <f>IF(D23=0,0,D13/D23)</f>
        <v>14485.81992608618</v>
      </c>
      <c r="E46" s="744">
        <f>IF(E23=0,0,E13/E23)</f>
        <v>14038.054315647405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1734.2489061903818</v>
      </c>
      <c r="D47" s="744">
        <f>IF(D29=0,0,D13/D29)</f>
        <v>2119.9616222678233</v>
      </c>
      <c r="E47" s="744">
        <f>IF(E29=0,0,E13/E29)</f>
        <v>2026.1039496020539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9855.9263426679554</v>
      </c>
      <c r="D48" s="744">
        <f>IF(D30=0,0,D13/D30)</f>
        <v>10201.081152290655</v>
      </c>
      <c r="E48" s="744">
        <f>IF(E30=0,0,E13/E30)</f>
        <v>9614.1915556775493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5557.6563141783236</v>
      </c>
      <c r="D51" s="744">
        <f>IF(D19=0,0,D16/D19)</f>
        <v>7530.3260454150641</v>
      </c>
      <c r="E51" s="744">
        <f>IF(E19=0,0,E16/E19)</f>
        <v>7593.7686959512575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31584.769103721646</v>
      </c>
      <c r="D52" s="744">
        <f>IF(D20=0,0,D16/D20)</f>
        <v>36235.310245999521</v>
      </c>
      <c r="E52" s="744">
        <f>IF(E20=0,0,E16/E20)</f>
        <v>36033.662975052459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2698.8459947253282</v>
      </c>
      <c r="D53" s="744">
        <f>IF(D22=0,0,D16/D22)</f>
        <v>3274.2204961143352</v>
      </c>
      <c r="E53" s="744">
        <f>IF(E22=0,0,E16/E22)</f>
        <v>3249.4237543085774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15337.837169318771</v>
      </c>
      <c r="D54" s="744">
        <f>IF(D23=0,0,D16/D23)</f>
        <v>15755.28002041165</v>
      </c>
      <c r="E54" s="744">
        <f>IF(E23=0,0,E16/E23)</f>
        <v>15419.042258728881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1855.4371428078093</v>
      </c>
      <c r="D55" s="744">
        <f>IF(D29=0,0,D16/D29)</f>
        <v>2305.7437660955361</v>
      </c>
      <c r="E55" s="744">
        <f>IF(E29=0,0,E16/E29)</f>
        <v>2225.4211101512478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10544.652355085032</v>
      </c>
      <c r="D56" s="744">
        <f>IF(D30=0,0,D16/D30)</f>
        <v>11095.049564702607</v>
      </c>
      <c r="E56" s="744">
        <f>IF(E30=0,0,E16/E30)</f>
        <v>10559.983780321334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33899265</v>
      </c>
      <c r="D59" s="752">
        <v>35440601</v>
      </c>
      <c r="E59" s="752">
        <v>35730736</v>
      </c>
    </row>
    <row r="60" spans="1:6" ht="26.1" customHeight="1" x14ac:dyDescent="0.25">
      <c r="A60" s="742">
        <v>2</v>
      </c>
      <c r="B60" s="743" t="s">
        <v>968</v>
      </c>
      <c r="C60" s="752">
        <v>14671255</v>
      </c>
      <c r="D60" s="752">
        <v>14550177</v>
      </c>
      <c r="E60" s="752">
        <v>16166065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48570520</v>
      </c>
      <c r="D61" s="755">
        <f>D59+D60</f>
        <v>49990778</v>
      </c>
      <c r="E61" s="755">
        <f>E59+E60</f>
        <v>51896801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2350320</v>
      </c>
      <c r="D64" s="744">
        <v>2152218</v>
      </c>
      <c r="E64" s="752">
        <v>2771716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558790</v>
      </c>
      <c r="D65" s="752">
        <v>523653</v>
      </c>
      <c r="E65" s="752">
        <v>613879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2909110</v>
      </c>
      <c r="D66" s="757">
        <f>D64+D65</f>
        <v>2675871</v>
      </c>
      <c r="E66" s="757">
        <f>E64+E65</f>
        <v>3385595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59381744</v>
      </c>
      <c r="D69" s="752">
        <v>68454474</v>
      </c>
      <c r="E69" s="752">
        <v>71634404</v>
      </c>
    </row>
    <row r="70" spans="1:6" ht="26.1" customHeight="1" x14ac:dyDescent="0.25">
      <c r="A70" s="742">
        <v>2</v>
      </c>
      <c r="B70" s="743" t="s">
        <v>976</v>
      </c>
      <c r="C70" s="752">
        <v>26925351</v>
      </c>
      <c r="D70" s="752">
        <v>30957333</v>
      </c>
      <c r="E70" s="752">
        <v>33994236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86307095</v>
      </c>
      <c r="D71" s="755">
        <f>D69+D70</f>
        <v>99411807</v>
      </c>
      <c r="E71" s="755">
        <f>E69+E70</f>
        <v>105628640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95631329</v>
      </c>
      <c r="D75" s="744">
        <f t="shared" si="0"/>
        <v>106047293</v>
      </c>
      <c r="E75" s="744">
        <f t="shared" si="0"/>
        <v>110136856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42155396</v>
      </c>
      <c r="D76" s="744">
        <f t="shared" si="0"/>
        <v>46031163</v>
      </c>
      <c r="E76" s="744">
        <f t="shared" si="0"/>
        <v>50774180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137786725</v>
      </c>
      <c r="D77" s="757">
        <f>D75+D76</f>
        <v>152078456</v>
      </c>
      <c r="E77" s="757">
        <f>E75+E76</f>
        <v>160911036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592.4</v>
      </c>
      <c r="D80" s="749">
        <v>632.29999999999995</v>
      </c>
      <c r="E80" s="749">
        <v>640</v>
      </c>
    </row>
    <row r="81" spans="1:5" ht="26.1" customHeight="1" x14ac:dyDescent="0.25">
      <c r="A81" s="742">
        <v>2</v>
      </c>
      <c r="B81" s="743" t="s">
        <v>617</v>
      </c>
      <c r="C81" s="749">
        <v>30</v>
      </c>
      <c r="D81" s="749">
        <v>41.2</v>
      </c>
      <c r="E81" s="749">
        <v>42.7</v>
      </c>
    </row>
    <row r="82" spans="1:5" ht="26.1" customHeight="1" x14ac:dyDescent="0.25">
      <c r="A82" s="742">
        <v>3</v>
      </c>
      <c r="B82" s="743" t="s">
        <v>982</v>
      </c>
      <c r="C82" s="749">
        <v>662.9</v>
      </c>
      <c r="D82" s="749">
        <v>871.4</v>
      </c>
      <c r="E82" s="749">
        <v>910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1285.3</v>
      </c>
      <c r="D83" s="759">
        <f>D80+D81+D82</f>
        <v>1544.9</v>
      </c>
      <c r="E83" s="759">
        <f>E80+E81+E82</f>
        <v>1592.7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57223.607359891968</v>
      </c>
      <c r="D86" s="752">
        <f>IF(D80=0,0,D59/D80)</f>
        <v>56050.294164162588</v>
      </c>
      <c r="E86" s="752">
        <f>IF(E80=0,0,E59/E80)</f>
        <v>55829.275000000001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24765.79169480081</v>
      </c>
      <c r="D87" s="752">
        <f>IF(D80=0,0,D60/D80)</f>
        <v>23011.508777479048</v>
      </c>
      <c r="E87" s="752">
        <f>IF(E80=0,0,E60/E80)</f>
        <v>25259.4765625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81989.399054692782</v>
      </c>
      <c r="D88" s="755">
        <f>+D86+D87</f>
        <v>79061.802941641639</v>
      </c>
      <c r="E88" s="755">
        <f>+E86+E87</f>
        <v>81088.751562499994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78344</v>
      </c>
      <c r="D91" s="744">
        <f>IF(D81=0,0,D64/D81)</f>
        <v>52238.300970873781</v>
      </c>
      <c r="E91" s="744">
        <f>IF(E81=0,0,E64/E81)</f>
        <v>64911.381733021073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18626.333333333332</v>
      </c>
      <c r="D92" s="744">
        <f>IF(D81=0,0,D65/D81)</f>
        <v>12710.024271844659</v>
      </c>
      <c r="E92" s="744">
        <f>IF(E81=0,0,E65/E81)</f>
        <v>14376.557377049179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96970.333333333328</v>
      </c>
      <c r="D93" s="757">
        <f>+D91+D92</f>
        <v>64948.325242718442</v>
      </c>
      <c r="E93" s="757">
        <f>+E91+E92</f>
        <v>79287.939110070249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89578.735857595413</v>
      </c>
      <c r="D96" s="752">
        <f>IF(D82=0,0,D69/D82)</f>
        <v>78556.890061969243</v>
      </c>
      <c r="E96" s="752">
        <f>IF(E82=0,0,E69/E82)</f>
        <v>78719.125274725273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40617.515462362346</v>
      </c>
      <c r="D97" s="752">
        <f>IF(D82=0,0,D70/D82)</f>
        <v>35525.973146660544</v>
      </c>
      <c r="E97" s="752">
        <f>IF(E82=0,0,E70/E82)</f>
        <v>37356.3032967033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130196.25131995775</v>
      </c>
      <c r="D98" s="757">
        <f>+D96+D97</f>
        <v>114082.86320862979</v>
      </c>
      <c r="E98" s="757">
        <f>+E96+E97</f>
        <v>116075.42857142858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74403.897144635499</v>
      </c>
      <c r="D101" s="744">
        <f>IF(D83=0,0,D75/D83)</f>
        <v>68643.467538351993</v>
      </c>
      <c r="E101" s="744">
        <f>IF(E83=0,0,E75/E83)</f>
        <v>69151.036604508059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32798.098498405045</v>
      </c>
      <c r="D102" s="761">
        <f>IF(D83=0,0,D76/D83)</f>
        <v>29795.561525017798</v>
      </c>
      <c r="E102" s="761">
        <f>IF(E83=0,0,E76/E83)</f>
        <v>31879.311860362905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107201.99564304054</v>
      </c>
      <c r="D103" s="757">
        <f>+D101+D102</f>
        <v>98439.029063369788</v>
      </c>
      <c r="E103" s="757">
        <f>+E101+E102</f>
        <v>101030.34846487097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2669.56106870229</v>
      </c>
      <c r="D108" s="744">
        <f>IF(D19=0,0,D77/D19)</f>
        <v>3774.12721181288</v>
      </c>
      <c r="E108" s="744">
        <f>IF(E19=0,0,E77/E19)</f>
        <v>3953.199587264151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15171.407729574983</v>
      </c>
      <c r="D109" s="744">
        <f>IF(D20=0,0,D77/D20)</f>
        <v>18160.790064485311</v>
      </c>
      <c r="E109" s="744">
        <f>IF(E20=0,0,E77/E20)</f>
        <v>18758.572627652135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1296.361953790054</v>
      </c>
      <c r="D110" s="744">
        <f>IF(D22=0,0,D77/D22)</f>
        <v>1641.0079188250418</v>
      </c>
      <c r="E110" s="744">
        <f>IF(E22=0,0,E77/E22)</f>
        <v>1691.600199941282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7367.3668666505009</v>
      </c>
      <c r="D111" s="744">
        <f>IF(D23=0,0,D77/D23)</f>
        <v>7896.3952817118543</v>
      </c>
      <c r="E111" s="744">
        <f>IF(E23=0,0,E77/E23)</f>
        <v>8026.9170597353632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891.23948690883549</v>
      </c>
      <c r="D112" s="744">
        <f>IF(D29=0,0,D77/D29)</f>
        <v>1155.6166676723783</v>
      </c>
      <c r="E112" s="744">
        <f>IF(E29=0,0,E77/E29)</f>
        <v>1158.5201191115277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5065.0115478212538</v>
      </c>
      <c r="D113" s="744">
        <f>IF(D30=0,0,D77/D30)</f>
        <v>5560.7324604559935</v>
      </c>
      <c r="E113" s="744">
        <f>IF(E30=0,0,E77/E30)</f>
        <v>5497.3656946042938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547510368</v>
      </c>
      <c r="D12" s="76">
        <v>581954466</v>
      </c>
      <c r="E12" s="76">
        <f t="shared" ref="E12:E21" si="0">D12-C12</f>
        <v>34444098</v>
      </c>
      <c r="F12" s="77">
        <f t="shared" ref="F12:F21" si="1">IF(C12=0,0,E12/C12)</f>
        <v>6.2910403187104572E-2</v>
      </c>
    </row>
    <row r="13" spans="1:8" ht="23.1" customHeight="1" x14ac:dyDescent="0.2">
      <c r="A13" s="74">
        <v>2</v>
      </c>
      <c r="B13" s="75" t="s">
        <v>72</v>
      </c>
      <c r="C13" s="76">
        <v>267981589</v>
      </c>
      <c r="D13" s="76">
        <v>296389400</v>
      </c>
      <c r="E13" s="76">
        <f t="shared" si="0"/>
        <v>28407811</v>
      </c>
      <c r="F13" s="77">
        <f t="shared" si="1"/>
        <v>0.10600657719064424</v>
      </c>
    </row>
    <row r="14" spans="1:8" ht="23.1" customHeight="1" x14ac:dyDescent="0.2">
      <c r="A14" s="74">
        <v>3</v>
      </c>
      <c r="B14" s="75" t="s">
        <v>73</v>
      </c>
      <c r="C14" s="76">
        <v>543109</v>
      </c>
      <c r="D14" s="76">
        <v>801071</v>
      </c>
      <c r="E14" s="76">
        <f t="shared" si="0"/>
        <v>257962</v>
      </c>
      <c r="F14" s="77">
        <f t="shared" si="1"/>
        <v>0.47497279551618554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278985670</v>
      </c>
      <c r="D16" s="79">
        <f>D12-D13-D14-D15</f>
        <v>284763995</v>
      </c>
      <c r="E16" s="79">
        <f t="shared" si="0"/>
        <v>5778325</v>
      </c>
      <c r="F16" s="80">
        <f t="shared" si="1"/>
        <v>2.071190609897634E-2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3351113</v>
      </c>
      <c r="E17" s="76">
        <f t="shared" si="0"/>
        <v>3351113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278985670</v>
      </c>
      <c r="D18" s="79">
        <f>D16-D17</f>
        <v>281412882</v>
      </c>
      <c r="E18" s="79">
        <f t="shared" si="0"/>
        <v>2427212</v>
      </c>
      <c r="F18" s="80">
        <f t="shared" si="1"/>
        <v>8.7001314440272141E-3</v>
      </c>
    </row>
    <row r="19" spans="1:7" ht="23.1" customHeight="1" x14ac:dyDescent="0.2">
      <c r="A19" s="74">
        <v>6</v>
      </c>
      <c r="B19" s="75" t="s">
        <v>78</v>
      </c>
      <c r="C19" s="76">
        <v>15889186</v>
      </c>
      <c r="D19" s="76">
        <v>23634474</v>
      </c>
      <c r="E19" s="76">
        <f t="shared" si="0"/>
        <v>7745288</v>
      </c>
      <c r="F19" s="77">
        <f t="shared" si="1"/>
        <v>0.48745656322482472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294874856</v>
      </c>
      <c r="D21" s="79">
        <f>SUM(D18:D20)</f>
        <v>305047356</v>
      </c>
      <c r="E21" s="79">
        <f t="shared" si="0"/>
        <v>10172500</v>
      </c>
      <c r="F21" s="80">
        <f t="shared" si="1"/>
        <v>3.4497685350289749E-2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106047293</v>
      </c>
      <c r="D24" s="76">
        <v>110136856</v>
      </c>
      <c r="E24" s="76">
        <f t="shared" ref="E24:E33" si="2">D24-C24</f>
        <v>4089563</v>
      </c>
      <c r="F24" s="77">
        <f t="shared" ref="F24:F33" si="3">IF(C24=0,0,E24/C24)</f>
        <v>3.8563577478587782E-2</v>
      </c>
    </row>
    <row r="25" spans="1:7" ht="23.1" customHeight="1" x14ac:dyDescent="0.2">
      <c r="A25" s="74">
        <v>2</v>
      </c>
      <c r="B25" s="75" t="s">
        <v>83</v>
      </c>
      <c r="C25" s="76">
        <v>46031163</v>
      </c>
      <c r="D25" s="76">
        <v>50774180</v>
      </c>
      <c r="E25" s="76">
        <f t="shared" si="2"/>
        <v>4743017</v>
      </c>
      <c r="F25" s="77">
        <f t="shared" si="3"/>
        <v>0.1030392605983038</v>
      </c>
    </row>
    <row r="26" spans="1:7" ht="23.1" customHeight="1" x14ac:dyDescent="0.2">
      <c r="A26" s="74">
        <v>3</v>
      </c>
      <c r="B26" s="75" t="s">
        <v>84</v>
      </c>
      <c r="C26" s="76">
        <v>17482692</v>
      </c>
      <c r="D26" s="76">
        <v>14241190</v>
      </c>
      <c r="E26" s="76">
        <f t="shared" si="2"/>
        <v>-3241502</v>
      </c>
      <c r="F26" s="77">
        <f t="shared" si="3"/>
        <v>-0.18541206354261688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52316676</v>
      </c>
      <c r="D27" s="76">
        <v>51007924</v>
      </c>
      <c r="E27" s="76">
        <f t="shared" si="2"/>
        <v>-1308752</v>
      </c>
      <c r="F27" s="77">
        <f t="shared" si="3"/>
        <v>-2.5015962405562617E-2</v>
      </c>
    </row>
    <row r="28" spans="1:7" ht="23.1" customHeight="1" x14ac:dyDescent="0.2">
      <c r="A28" s="74">
        <v>5</v>
      </c>
      <c r="B28" s="75" t="s">
        <v>86</v>
      </c>
      <c r="C28" s="76">
        <v>8971611</v>
      </c>
      <c r="D28" s="76">
        <v>9500967</v>
      </c>
      <c r="E28" s="76">
        <f t="shared" si="2"/>
        <v>529356</v>
      </c>
      <c r="F28" s="77">
        <f t="shared" si="3"/>
        <v>5.9003449882078035E-2</v>
      </c>
    </row>
    <row r="29" spans="1:7" ht="23.1" customHeight="1" x14ac:dyDescent="0.2">
      <c r="A29" s="74">
        <v>6</v>
      </c>
      <c r="B29" s="75" t="s">
        <v>87</v>
      </c>
      <c r="C29" s="76">
        <v>5464999</v>
      </c>
      <c r="D29" s="76">
        <v>0</v>
      </c>
      <c r="E29" s="76">
        <f t="shared" si="2"/>
        <v>-5464999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64233</v>
      </c>
      <c r="D30" s="76">
        <v>0</v>
      </c>
      <c r="E30" s="76">
        <f t="shared" si="2"/>
        <v>-64233</v>
      </c>
      <c r="F30" s="77">
        <f t="shared" si="3"/>
        <v>-1</v>
      </c>
    </row>
    <row r="31" spans="1:7" ht="23.1" customHeight="1" x14ac:dyDescent="0.2">
      <c r="A31" s="74">
        <v>8</v>
      </c>
      <c r="B31" s="75" t="s">
        <v>89</v>
      </c>
      <c r="C31" s="76">
        <v>3413844</v>
      </c>
      <c r="D31" s="76">
        <v>3672492</v>
      </c>
      <c r="E31" s="76">
        <f t="shared" si="2"/>
        <v>258648</v>
      </c>
      <c r="F31" s="77">
        <f t="shared" si="3"/>
        <v>7.5764446178559999E-2</v>
      </c>
    </row>
    <row r="32" spans="1:7" ht="23.1" customHeight="1" x14ac:dyDescent="0.2">
      <c r="A32" s="74">
        <v>9</v>
      </c>
      <c r="B32" s="75" t="s">
        <v>90</v>
      </c>
      <c r="C32" s="76">
        <v>63641977</v>
      </c>
      <c r="D32" s="76">
        <v>69763152</v>
      </c>
      <c r="E32" s="76">
        <f t="shared" si="2"/>
        <v>6121175</v>
      </c>
      <c r="F32" s="77">
        <f t="shared" si="3"/>
        <v>9.6181408695081863E-2</v>
      </c>
    </row>
    <row r="33" spans="1:6" ht="23.1" customHeight="1" x14ac:dyDescent="0.25">
      <c r="A33" s="71"/>
      <c r="B33" s="78" t="s">
        <v>91</v>
      </c>
      <c r="C33" s="79">
        <f>SUM(C24:C32)</f>
        <v>303434488</v>
      </c>
      <c r="D33" s="79">
        <f>SUM(D24:D32)</f>
        <v>309096761</v>
      </c>
      <c r="E33" s="79">
        <f t="shared" si="2"/>
        <v>5662273</v>
      </c>
      <c r="F33" s="80">
        <f t="shared" si="3"/>
        <v>1.8660611182734113E-2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-8559632</v>
      </c>
      <c r="D35" s="79">
        <f>+D21-D33</f>
        <v>-4049405</v>
      </c>
      <c r="E35" s="79">
        <f>D35-C35</f>
        <v>4510227</v>
      </c>
      <c r="F35" s="80">
        <f>IF(C35=0,0,E35/C35)</f>
        <v>-0.52691833013381884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500000</v>
      </c>
      <c r="D39" s="76">
        <v>550000</v>
      </c>
      <c r="E39" s="76">
        <f>D39-C39</f>
        <v>50000</v>
      </c>
      <c r="F39" s="77">
        <f>IF(C39=0,0,E39/C39)</f>
        <v>0.1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-45449</v>
      </c>
      <c r="E40" s="76">
        <f>D40-C40</f>
        <v>-45449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500000</v>
      </c>
      <c r="D41" s="79">
        <f>SUM(D38:D40)</f>
        <v>504551</v>
      </c>
      <c r="E41" s="79">
        <f>D41-C41</f>
        <v>4551</v>
      </c>
      <c r="F41" s="80">
        <f>IF(C41=0,0,E41/C41)</f>
        <v>9.1020000000000007E-3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-8059632</v>
      </c>
      <c r="D43" s="79">
        <f>D35+D41</f>
        <v>-3544854</v>
      </c>
      <c r="E43" s="79">
        <f>D43-C43</f>
        <v>4514778</v>
      </c>
      <c r="F43" s="80">
        <f>IF(C43=0,0,E43/C43)</f>
        <v>-0.56017172992513797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8064466</v>
      </c>
      <c r="D47" s="76">
        <v>15178047</v>
      </c>
      <c r="E47" s="76">
        <f>D47-C47</f>
        <v>7113581</v>
      </c>
      <c r="F47" s="77">
        <f>IF(C47=0,0,E47/C47)</f>
        <v>0.8820895270685003</v>
      </c>
    </row>
    <row r="48" spans="1:6" ht="23.1" customHeight="1" x14ac:dyDescent="0.25">
      <c r="A48" s="83"/>
      <c r="B48" s="78" t="s">
        <v>102</v>
      </c>
      <c r="C48" s="79">
        <f>SUM(C46:C47)</f>
        <v>8064466</v>
      </c>
      <c r="D48" s="79">
        <f>SUM(D46:D47)</f>
        <v>15178047</v>
      </c>
      <c r="E48" s="79">
        <f>D48-C48</f>
        <v>7113581</v>
      </c>
      <c r="F48" s="80">
        <f>IF(C48=0,0,E48/C48)</f>
        <v>0.8820895270685003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4834</v>
      </c>
      <c r="D50" s="79">
        <f>D43+D48</f>
        <v>11633193</v>
      </c>
      <c r="E50" s="79">
        <f>D50-C50</f>
        <v>11628359</v>
      </c>
      <c r="F50" s="80">
        <f>IF(C50=0,0,E50/C50)</f>
        <v>2405.5355812991311</v>
      </c>
    </row>
    <row r="51" spans="1:6" ht="23.1" customHeight="1" x14ac:dyDescent="0.2">
      <c r="A51" s="85"/>
      <c r="B51" s="75" t="s">
        <v>104</v>
      </c>
      <c r="C51" s="76">
        <v>1445127</v>
      </c>
      <c r="D51" s="76">
        <v>887080</v>
      </c>
      <c r="E51" s="76">
        <f>D51-C51</f>
        <v>-558047</v>
      </c>
      <c r="F51" s="77">
        <f>IF(C51=0,0,E51/C51)</f>
        <v>-0.38615775637712119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100173873</v>
      </c>
      <c r="D14" s="113">
        <v>102164597</v>
      </c>
      <c r="E14" s="113">
        <f t="shared" ref="E14:E25" si="0">D14-C14</f>
        <v>1990724</v>
      </c>
      <c r="F14" s="114">
        <f t="shared" ref="F14:F25" si="1">IF(C14=0,0,E14/C14)</f>
        <v>1.9872686763343972E-2</v>
      </c>
    </row>
    <row r="15" spans="1:6" x14ac:dyDescent="0.2">
      <c r="A15" s="115">
        <v>2</v>
      </c>
      <c r="B15" s="116" t="s">
        <v>114</v>
      </c>
      <c r="C15" s="113">
        <v>20414895</v>
      </c>
      <c r="D15" s="113">
        <v>24471116</v>
      </c>
      <c r="E15" s="113">
        <f t="shared" si="0"/>
        <v>4056221</v>
      </c>
      <c r="F15" s="114">
        <f t="shared" si="1"/>
        <v>0.19868929034413355</v>
      </c>
    </row>
    <row r="16" spans="1:6" x14ac:dyDescent="0.2">
      <c r="A16" s="115">
        <v>3</v>
      </c>
      <c r="B16" s="116" t="s">
        <v>115</v>
      </c>
      <c r="C16" s="113">
        <v>51222507</v>
      </c>
      <c r="D16" s="113">
        <v>63921560</v>
      </c>
      <c r="E16" s="113">
        <f t="shared" si="0"/>
        <v>12699053</v>
      </c>
      <c r="F16" s="114">
        <f t="shared" si="1"/>
        <v>0.24791939605767441</v>
      </c>
    </row>
    <row r="17" spans="1:6" x14ac:dyDescent="0.2">
      <c r="A17" s="115">
        <v>4</v>
      </c>
      <c r="B17" s="116" t="s">
        <v>116</v>
      </c>
      <c r="C17" s="113">
        <v>2038991</v>
      </c>
      <c r="D17" s="113">
        <v>0</v>
      </c>
      <c r="E17" s="113">
        <f t="shared" si="0"/>
        <v>-2038991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687828</v>
      </c>
      <c r="D18" s="113">
        <v>705873</v>
      </c>
      <c r="E18" s="113">
        <f t="shared" si="0"/>
        <v>18045</v>
      </c>
      <c r="F18" s="114">
        <f t="shared" si="1"/>
        <v>2.6234756363509481E-2</v>
      </c>
    </row>
    <row r="19" spans="1:6" x14ac:dyDescent="0.2">
      <c r="A19" s="115">
        <v>6</v>
      </c>
      <c r="B19" s="116" t="s">
        <v>118</v>
      </c>
      <c r="C19" s="113">
        <v>382423</v>
      </c>
      <c r="D19" s="113">
        <v>334925</v>
      </c>
      <c r="E19" s="113">
        <f t="shared" si="0"/>
        <v>-47498</v>
      </c>
      <c r="F19" s="114">
        <f t="shared" si="1"/>
        <v>-0.12420278069049194</v>
      </c>
    </row>
    <row r="20" spans="1:6" x14ac:dyDescent="0.2">
      <c r="A20" s="115">
        <v>7</v>
      </c>
      <c r="B20" s="116" t="s">
        <v>119</v>
      </c>
      <c r="C20" s="113">
        <v>55276518</v>
      </c>
      <c r="D20" s="113">
        <v>63499007</v>
      </c>
      <c r="E20" s="113">
        <f t="shared" si="0"/>
        <v>8222489</v>
      </c>
      <c r="F20" s="114">
        <f t="shared" si="1"/>
        <v>0.1487519347727366</v>
      </c>
    </row>
    <row r="21" spans="1:6" x14ac:dyDescent="0.2">
      <c r="A21" s="115">
        <v>8</v>
      </c>
      <c r="B21" s="116" t="s">
        <v>120</v>
      </c>
      <c r="C21" s="113">
        <v>1724478</v>
      </c>
      <c r="D21" s="113">
        <v>1170419</v>
      </c>
      <c r="E21" s="113">
        <f t="shared" si="0"/>
        <v>-554059</v>
      </c>
      <c r="F21" s="114">
        <f t="shared" si="1"/>
        <v>-0.32129084859302354</v>
      </c>
    </row>
    <row r="22" spans="1:6" x14ac:dyDescent="0.2">
      <c r="A22" s="115">
        <v>9</v>
      </c>
      <c r="B22" s="116" t="s">
        <v>121</v>
      </c>
      <c r="C22" s="113">
        <v>656211</v>
      </c>
      <c r="D22" s="113">
        <v>746040</v>
      </c>
      <c r="E22" s="113">
        <f t="shared" si="0"/>
        <v>89829</v>
      </c>
      <c r="F22" s="114">
        <f t="shared" si="1"/>
        <v>0.13689042091644305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104221</v>
      </c>
      <c r="D24" s="113">
        <v>82012</v>
      </c>
      <c r="E24" s="113">
        <f t="shared" si="0"/>
        <v>-22209</v>
      </c>
      <c r="F24" s="114">
        <f t="shared" si="1"/>
        <v>-0.2130952495178515</v>
      </c>
    </row>
    <row r="25" spans="1:6" ht="15.75" x14ac:dyDescent="0.25">
      <c r="A25" s="117"/>
      <c r="B25" s="118" t="s">
        <v>124</v>
      </c>
      <c r="C25" s="119">
        <f>SUM(C14:C24)</f>
        <v>232681945</v>
      </c>
      <c r="D25" s="119">
        <f>SUM(D14:D24)</f>
        <v>257095549</v>
      </c>
      <c r="E25" s="119">
        <f t="shared" si="0"/>
        <v>24413604</v>
      </c>
      <c r="F25" s="120">
        <f t="shared" si="1"/>
        <v>0.10492264021602536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82547244</v>
      </c>
      <c r="D27" s="113">
        <v>88587616</v>
      </c>
      <c r="E27" s="113">
        <f t="shared" ref="E27:E38" si="2">D27-C27</f>
        <v>6040372</v>
      </c>
      <c r="F27" s="114">
        <f t="shared" ref="F27:F38" si="3">IF(C27=0,0,E27/C27)</f>
        <v>7.3174726463308692E-2</v>
      </c>
    </row>
    <row r="28" spans="1:6" x14ac:dyDescent="0.2">
      <c r="A28" s="115">
        <v>2</v>
      </c>
      <c r="B28" s="116" t="s">
        <v>114</v>
      </c>
      <c r="C28" s="113">
        <v>21774143</v>
      </c>
      <c r="D28" s="113">
        <v>25677231</v>
      </c>
      <c r="E28" s="113">
        <f t="shared" si="2"/>
        <v>3903088</v>
      </c>
      <c r="F28" s="114">
        <f t="shared" si="3"/>
        <v>0.17925334650369476</v>
      </c>
    </row>
    <row r="29" spans="1:6" x14ac:dyDescent="0.2">
      <c r="A29" s="115">
        <v>3</v>
      </c>
      <c r="B29" s="116" t="s">
        <v>115</v>
      </c>
      <c r="C29" s="113">
        <v>44727664</v>
      </c>
      <c r="D29" s="113">
        <v>63296593</v>
      </c>
      <c r="E29" s="113">
        <f t="shared" si="2"/>
        <v>18568929</v>
      </c>
      <c r="F29" s="114">
        <f t="shared" si="3"/>
        <v>0.41515534994181674</v>
      </c>
    </row>
    <row r="30" spans="1:6" x14ac:dyDescent="0.2">
      <c r="A30" s="115">
        <v>4</v>
      </c>
      <c r="B30" s="116" t="s">
        <v>116</v>
      </c>
      <c r="C30" s="113">
        <v>4074609</v>
      </c>
      <c r="D30" s="113">
        <v>0</v>
      </c>
      <c r="E30" s="113">
        <f t="shared" si="2"/>
        <v>-4074609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1866697</v>
      </c>
      <c r="D31" s="113">
        <v>1835075</v>
      </c>
      <c r="E31" s="113">
        <f t="shared" si="2"/>
        <v>-31622</v>
      </c>
      <c r="F31" s="114">
        <f t="shared" si="3"/>
        <v>-1.6940081866526811E-2</v>
      </c>
    </row>
    <row r="32" spans="1:6" x14ac:dyDescent="0.2">
      <c r="A32" s="115">
        <v>6</v>
      </c>
      <c r="B32" s="116" t="s">
        <v>118</v>
      </c>
      <c r="C32" s="113">
        <v>846275</v>
      </c>
      <c r="D32" s="113">
        <v>1120043</v>
      </c>
      <c r="E32" s="113">
        <f t="shared" si="2"/>
        <v>273768</v>
      </c>
      <c r="F32" s="114">
        <f t="shared" si="3"/>
        <v>0.32349768101385484</v>
      </c>
    </row>
    <row r="33" spans="1:6" x14ac:dyDescent="0.2">
      <c r="A33" s="115">
        <v>7</v>
      </c>
      <c r="B33" s="116" t="s">
        <v>119</v>
      </c>
      <c r="C33" s="113">
        <v>140455915</v>
      </c>
      <c r="D33" s="113">
        <v>155381238</v>
      </c>
      <c r="E33" s="113">
        <f t="shared" si="2"/>
        <v>14925323</v>
      </c>
      <c r="F33" s="114">
        <f t="shared" si="3"/>
        <v>0.10626339944458729</v>
      </c>
    </row>
    <row r="34" spans="1:6" x14ac:dyDescent="0.2">
      <c r="A34" s="115">
        <v>8</v>
      </c>
      <c r="B34" s="116" t="s">
        <v>120</v>
      </c>
      <c r="C34" s="113">
        <v>3304016</v>
      </c>
      <c r="D34" s="113">
        <v>4011452</v>
      </c>
      <c r="E34" s="113">
        <f t="shared" si="2"/>
        <v>707436</v>
      </c>
      <c r="F34" s="114">
        <f t="shared" si="3"/>
        <v>0.21411397523498676</v>
      </c>
    </row>
    <row r="35" spans="1:6" x14ac:dyDescent="0.2">
      <c r="A35" s="115">
        <v>9</v>
      </c>
      <c r="B35" s="116" t="s">
        <v>121</v>
      </c>
      <c r="C35" s="113">
        <v>2748229</v>
      </c>
      <c r="D35" s="113">
        <v>3705669</v>
      </c>
      <c r="E35" s="113">
        <f t="shared" si="2"/>
        <v>957440</v>
      </c>
      <c r="F35" s="114">
        <f t="shared" si="3"/>
        <v>0.34838435952753571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114654</v>
      </c>
      <c r="D37" s="113">
        <v>111181</v>
      </c>
      <c r="E37" s="113">
        <f t="shared" si="2"/>
        <v>-3473</v>
      </c>
      <c r="F37" s="114">
        <f t="shared" si="3"/>
        <v>-3.0291136811624542E-2</v>
      </c>
    </row>
    <row r="38" spans="1:6" ht="15.75" x14ac:dyDescent="0.25">
      <c r="A38" s="117"/>
      <c r="B38" s="118" t="s">
        <v>126</v>
      </c>
      <c r="C38" s="119">
        <f>SUM(C27:C37)</f>
        <v>302459446</v>
      </c>
      <c r="D38" s="119">
        <f>SUM(D27:D37)</f>
        <v>343726098</v>
      </c>
      <c r="E38" s="119">
        <f t="shared" si="2"/>
        <v>41266652</v>
      </c>
      <c r="F38" s="120">
        <f t="shared" si="3"/>
        <v>0.13643697542182234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182721117</v>
      </c>
      <c r="D41" s="119">
        <f t="shared" si="4"/>
        <v>190752213</v>
      </c>
      <c r="E41" s="123">
        <f t="shared" ref="E41:E52" si="5">D41-C41</f>
        <v>8031096</v>
      </c>
      <c r="F41" s="124">
        <f t="shared" ref="F41:F52" si="6">IF(C41=0,0,E41/C41)</f>
        <v>4.3952752324735403E-2</v>
      </c>
    </row>
    <row r="42" spans="1:6" ht="15.75" x14ac:dyDescent="0.25">
      <c r="A42" s="121">
        <v>2</v>
      </c>
      <c r="B42" s="122" t="s">
        <v>114</v>
      </c>
      <c r="C42" s="119">
        <f t="shared" si="4"/>
        <v>42189038</v>
      </c>
      <c r="D42" s="119">
        <f t="shared" si="4"/>
        <v>50148347</v>
      </c>
      <c r="E42" s="123">
        <f t="shared" si="5"/>
        <v>7959309</v>
      </c>
      <c r="F42" s="124">
        <f t="shared" si="6"/>
        <v>0.18865822444209324</v>
      </c>
    </row>
    <row r="43" spans="1:6" ht="15.75" x14ac:dyDescent="0.25">
      <c r="A43" s="121">
        <v>3</v>
      </c>
      <c r="B43" s="122" t="s">
        <v>115</v>
      </c>
      <c r="C43" s="119">
        <f t="shared" si="4"/>
        <v>95950171</v>
      </c>
      <c r="D43" s="119">
        <f t="shared" si="4"/>
        <v>127218153</v>
      </c>
      <c r="E43" s="123">
        <f t="shared" si="5"/>
        <v>31267982</v>
      </c>
      <c r="F43" s="124">
        <f t="shared" si="6"/>
        <v>0.32587729312123892</v>
      </c>
    </row>
    <row r="44" spans="1:6" ht="15.75" x14ac:dyDescent="0.25">
      <c r="A44" s="121">
        <v>4</v>
      </c>
      <c r="B44" s="122" t="s">
        <v>116</v>
      </c>
      <c r="C44" s="119">
        <f t="shared" si="4"/>
        <v>6113600</v>
      </c>
      <c r="D44" s="119">
        <f t="shared" si="4"/>
        <v>0</v>
      </c>
      <c r="E44" s="123">
        <f t="shared" si="5"/>
        <v>-6113600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2554525</v>
      </c>
      <c r="D45" s="119">
        <f t="shared" si="4"/>
        <v>2540948</v>
      </c>
      <c r="E45" s="123">
        <f t="shared" si="5"/>
        <v>-13577</v>
      </c>
      <c r="F45" s="124">
        <f t="shared" si="6"/>
        <v>-5.3148824145389066E-3</v>
      </c>
    </row>
    <row r="46" spans="1:6" ht="15.75" x14ac:dyDescent="0.25">
      <c r="A46" s="121">
        <v>6</v>
      </c>
      <c r="B46" s="122" t="s">
        <v>118</v>
      </c>
      <c r="C46" s="119">
        <f t="shared" si="4"/>
        <v>1228698</v>
      </c>
      <c r="D46" s="119">
        <f t="shared" si="4"/>
        <v>1454968</v>
      </c>
      <c r="E46" s="123">
        <f t="shared" si="5"/>
        <v>226270</v>
      </c>
      <c r="F46" s="124">
        <f t="shared" si="6"/>
        <v>0.1841542836400808</v>
      </c>
    </row>
    <row r="47" spans="1:6" ht="15.75" x14ac:dyDescent="0.25">
      <c r="A47" s="121">
        <v>7</v>
      </c>
      <c r="B47" s="122" t="s">
        <v>119</v>
      </c>
      <c r="C47" s="119">
        <f t="shared" si="4"/>
        <v>195732433</v>
      </c>
      <c r="D47" s="119">
        <f t="shared" si="4"/>
        <v>218880245</v>
      </c>
      <c r="E47" s="123">
        <f t="shared" si="5"/>
        <v>23147812</v>
      </c>
      <c r="F47" s="124">
        <f t="shared" si="6"/>
        <v>0.11826252627228109</v>
      </c>
    </row>
    <row r="48" spans="1:6" ht="15.75" x14ac:dyDescent="0.25">
      <c r="A48" s="121">
        <v>8</v>
      </c>
      <c r="B48" s="122" t="s">
        <v>120</v>
      </c>
      <c r="C48" s="119">
        <f t="shared" si="4"/>
        <v>5028494</v>
      </c>
      <c r="D48" s="119">
        <f t="shared" si="4"/>
        <v>5181871</v>
      </c>
      <c r="E48" s="123">
        <f t="shared" si="5"/>
        <v>153377</v>
      </c>
      <c r="F48" s="124">
        <f t="shared" si="6"/>
        <v>3.0501577609518875E-2</v>
      </c>
    </row>
    <row r="49" spans="1:6" ht="15.75" x14ac:dyDescent="0.25">
      <c r="A49" s="121">
        <v>9</v>
      </c>
      <c r="B49" s="122" t="s">
        <v>121</v>
      </c>
      <c r="C49" s="119">
        <f t="shared" si="4"/>
        <v>3404440</v>
      </c>
      <c r="D49" s="119">
        <f t="shared" si="4"/>
        <v>4451709</v>
      </c>
      <c r="E49" s="123">
        <f t="shared" si="5"/>
        <v>1047269</v>
      </c>
      <c r="F49" s="124">
        <f t="shared" si="6"/>
        <v>0.30761858044201101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218875</v>
      </c>
      <c r="D51" s="119">
        <f t="shared" si="4"/>
        <v>193193</v>
      </c>
      <c r="E51" s="123">
        <f t="shared" si="5"/>
        <v>-25682</v>
      </c>
      <c r="F51" s="124">
        <f t="shared" si="6"/>
        <v>-0.11733637921187892</v>
      </c>
    </row>
    <row r="52" spans="1:6" ht="18.75" customHeight="1" thickBot="1" x14ac:dyDescent="0.3">
      <c r="A52" s="125"/>
      <c r="B52" s="126" t="s">
        <v>128</v>
      </c>
      <c r="C52" s="127">
        <f>SUM(C41:C51)</f>
        <v>535141391</v>
      </c>
      <c r="D52" s="128">
        <f>SUM(D41:D51)</f>
        <v>600821647</v>
      </c>
      <c r="E52" s="127">
        <f t="shared" si="5"/>
        <v>65680256</v>
      </c>
      <c r="F52" s="129">
        <f t="shared" si="6"/>
        <v>0.12273439712309601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55483068</v>
      </c>
      <c r="D57" s="113">
        <v>56698058</v>
      </c>
      <c r="E57" s="113">
        <f t="shared" ref="E57:E68" si="7">D57-C57</f>
        <v>1214990</v>
      </c>
      <c r="F57" s="114">
        <f t="shared" ref="F57:F68" si="8">IF(C57=0,0,E57/C57)</f>
        <v>2.1898392496968625E-2</v>
      </c>
    </row>
    <row r="58" spans="1:6" x14ac:dyDescent="0.2">
      <c r="A58" s="115">
        <v>2</v>
      </c>
      <c r="B58" s="116" t="s">
        <v>114</v>
      </c>
      <c r="C58" s="113">
        <v>10082014</v>
      </c>
      <c r="D58" s="113">
        <v>12279773</v>
      </c>
      <c r="E58" s="113">
        <f t="shared" si="7"/>
        <v>2197759</v>
      </c>
      <c r="F58" s="114">
        <f t="shared" si="8"/>
        <v>0.21798809245851078</v>
      </c>
    </row>
    <row r="59" spans="1:6" x14ac:dyDescent="0.2">
      <c r="A59" s="115">
        <v>3</v>
      </c>
      <c r="B59" s="116" t="s">
        <v>115</v>
      </c>
      <c r="C59" s="113">
        <v>17585699</v>
      </c>
      <c r="D59" s="113">
        <v>23252661</v>
      </c>
      <c r="E59" s="113">
        <f t="shared" si="7"/>
        <v>5666962</v>
      </c>
      <c r="F59" s="114">
        <f t="shared" si="8"/>
        <v>0.3222483223441957</v>
      </c>
    </row>
    <row r="60" spans="1:6" x14ac:dyDescent="0.2">
      <c r="A60" s="115">
        <v>4</v>
      </c>
      <c r="B60" s="116" t="s">
        <v>116</v>
      </c>
      <c r="C60" s="113">
        <v>515811</v>
      </c>
      <c r="D60" s="113">
        <v>0</v>
      </c>
      <c r="E60" s="113">
        <f t="shared" si="7"/>
        <v>-515811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260561</v>
      </c>
      <c r="D61" s="113">
        <v>261142</v>
      </c>
      <c r="E61" s="113">
        <f t="shared" si="7"/>
        <v>581</v>
      </c>
      <c r="F61" s="114">
        <f t="shared" si="8"/>
        <v>2.2298041533460496E-3</v>
      </c>
    </row>
    <row r="62" spans="1:6" x14ac:dyDescent="0.2">
      <c r="A62" s="115">
        <v>6</v>
      </c>
      <c r="B62" s="116" t="s">
        <v>118</v>
      </c>
      <c r="C62" s="113">
        <v>292587</v>
      </c>
      <c r="D62" s="113">
        <v>268901</v>
      </c>
      <c r="E62" s="113">
        <f t="shared" si="7"/>
        <v>-23686</v>
      </c>
      <c r="F62" s="114">
        <f t="shared" si="8"/>
        <v>-8.0953699241593097E-2</v>
      </c>
    </row>
    <row r="63" spans="1:6" x14ac:dyDescent="0.2">
      <c r="A63" s="115">
        <v>7</v>
      </c>
      <c r="B63" s="116" t="s">
        <v>119</v>
      </c>
      <c r="C63" s="113">
        <v>36610760</v>
      </c>
      <c r="D63" s="113">
        <v>35730129</v>
      </c>
      <c r="E63" s="113">
        <f t="shared" si="7"/>
        <v>-880631</v>
      </c>
      <c r="F63" s="114">
        <f t="shared" si="8"/>
        <v>-2.4053884704933741E-2</v>
      </c>
    </row>
    <row r="64" spans="1:6" x14ac:dyDescent="0.2">
      <c r="A64" s="115">
        <v>8</v>
      </c>
      <c r="B64" s="116" t="s">
        <v>120</v>
      </c>
      <c r="C64" s="113">
        <v>1404563</v>
      </c>
      <c r="D64" s="113">
        <v>1048097</v>
      </c>
      <c r="E64" s="113">
        <f t="shared" si="7"/>
        <v>-356466</v>
      </c>
      <c r="F64" s="114">
        <f t="shared" si="8"/>
        <v>-0.25379139276771495</v>
      </c>
    </row>
    <row r="65" spans="1:6" x14ac:dyDescent="0.2">
      <c r="A65" s="115">
        <v>9</v>
      </c>
      <c r="B65" s="116" t="s">
        <v>121</v>
      </c>
      <c r="C65" s="113">
        <v>35827</v>
      </c>
      <c r="D65" s="113">
        <v>52199</v>
      </c>
      <c r="E65" s="113">
        <f t="shared" si="7"/>
        <v>16372</v>
      </c>
      <c r="F65" s="114">
        <f t="shared" si="8"/>
        <v>0.45697379071649874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32444</v>
      </c>
      <c r="D67" s="113">
        <v>25610</v>
      </c>
      <c r="E67" s="113">
        <f t="shared" si="7"/>
        <v>-6834</v>
      </c>
      <c r="F67" s="114">
        <f t="shared" si="8"/>
        <v>-0.21063987177906546</v>
      </c>
    </row>
    <row r="68" spans="1:6" ht="15.75" x14ac:dyDescent="0.25">
      <c r="A68" s="117"/>
      <c r="B68" s="118" t="s">
        <v>131</v>
      </c>
      <c r="C68" s="119">
        <f>SUM(C57:C67)</f>
        <v>122303334</v>
      </c>
      <c r="D68" s="119">
        <f>SUM(D57:D67)</f>
        <v>129616570</v>
      </c>
      <c r="E68" s="119">
        <f t="shared" si="7"/>
        <v>7313236</v>
      </c>
      <c r="F68" s="120">
        <f t="shared" si="8"/>
        <v>5.9795884223401465E-2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28278499</v>
      </c>
      <c r="D70" s="113">
        <v>30443037</v>
      </c>
      <c r="E70" s="113">
        <f t="shared" ref="E70:E81" si="9">D70-C70</f>
        <v>2164538</v>
      </c>
      <c r="F70" s="114">
        <f t="shared" ref="F70:F81" si="10">IF(C70=0,0,E70/C70)</f>
        <v>7.6543595895949071E-2</v>
      </c>
    </row>
    <row r="71" spans="1:6" x14ac:dyDescent="0.2">
      <c r="A71" s="115">
        <v>2</v>
      </c>
      <c r="B71" s="116" t="s">
        <v>114</v>
      </c>
      <c r="C71" s="113">
        <v>7148700</v>
      </c>
      <c r="D71" s="113">
        <v>7752655</v>
      </c>
      <c r="E71" s="113">
        <f t="shared" si="9"/>
        <v>603955</v>
      </c>
      <c r="F71" s="114">
        <f t="shared" si="10"/>
        <v>8.4484591604067877E-2</v>
      </c>
    </row>
    <row r="72" spans="1:6" x14ac:dyDescent="0.2">
      <c r="A72" s="115">
        <v>3</v>
      </c>
      <c r="B72" s="116" t="s">
        <v>115</v>
      </c>
      <c r="C72" s="113">
        <v>17506014</v>
      </c>
      <c r="D72" s="113">
        <v>23849438</v>
      </c>
      <c r="E72" s="113">
        <f t="shared" si="9"/>
        <v>6343424</v>
      </c>
      <c r="F72" s="114">
        <f t="shared" si="10"/>
        <v>0.36235684491055475</v>
      </c>
    </row>
    <row r="73" spans="1:6" x14ac:dyDescent="0.2">
      <c r="A73" s="115">
        <v>4</v>
      </c>
      <c r="B73" s="116" t="s">
        <v>116</v>
      </c>
      <c r="C73" s="113">
        <v>1843659</v>
      </c>
      <c r="D73" s="113">
        <v>0</v>
      </c>
      <c r="E73" s="113">
        <f t="shared" si="9"/>
        <v>-1843659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700897</v>
      </c>
      <c r="D74" s="113">
        <v>718631</v>
      </c>
      <c r="E74" s="113">
        <f t="shared" si="9"/>
        <v>17734</v>
      </c>
      <c r="F74" s="114">
        <f t="shared" si="10"/>
        <v>2.53018631838915E-2</v>
      </c>
    </row>
    <row r="75" spans="1:6" x14ac:dyDescent="0.2">
      <c r="A75" s="115">
        <v>6</v>
      </c>
      <c r="B75" s="116" t="s">
        <v>118</v>
      </c>
      <c r="C75" s="113">
        <v>627712</v>
      </c>
      <c r="D75" s="113">
        <v>770847</v>
      </c>
      <c r="E75" s="113">
        <f t="shared" si="9"/>
        <v>143135</v>
      </c>
      <c r="F75" s="114">
        <f t="shared" si="10"/>
        <v>0.22802654720636215</v>
      </c>
    </row>
    <row r="76" spans="1:6" x14ac:dyDescent="0.2">
      <c r="A76" s="115">
        <v>7</v>
      </c>
      <c r="B76" s="116" t="s">
        <v>119</v>
      </c>
      <c r="C76" s="113">
        <v>83671659</v>
      </c>
      <c r="D76" s="113">
        <v>83838159</v>
      </c>
      <c r="E76" s="113">
        <f t="shared" si="9"/>
        <v>166500</v>
      </c>
      <c r="F76" s="114">
        <f t="shared" si="10"/>
        <v>1.989921103392966E-3</v>
      </c>
    </row>
    <row r="77" spans="1:6" x14ac:dyDescent="0.2">
      <c r="A77" s="115">
        <v>8</v>
      </c>
      <c r="B77" s="116" t="s">
        <v>120</v>
      </c>
      <c r="C77" s="113">
        <v>2627156</v>
      </c>
      <c r="D77" s="113">
        <v>3313283</v>
      </c>
      <c r="E77" s="113">
        <f t="shared" si="9"/>
        <v>686127</v>
      </c>
      <c r="F77" s="114">
        <f t="shared" si="10"/>
        <v>0.26116720895142886</v>
      </c>
    </row>
    <row r="78" spans="1:6" x14ac:dyDescent="0.2">
      <c r="A78" s="115">
        <v>9</v>
      </c>
      <c r="B78" s="116" t="s">
        <v>121</v>
      </c>
      <c r="C78" s="113">
        <v>567343</v>
      </c>
      <c r="D78" s="113">
        <v>1227999</v>
      </c>
      <c r="E78" s="113">
        <f t="shared" si="9"/>
        <v>660656</v>
      </c>
      <c r="F78" s="114">
        <f t="shared" si="10"/>
        <v>1.1644736958065931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93074</v>
      </c>
      <c r="D80" s="113">
        <v>82152</v>
      </c>
      <c r="E80" s="113">
        <f t="shared" si="9"/>
        <v>-10922</v>
      </c>
      <c r="F80" s="114">
        <f t="shared" si="10"/>
        <v>-0.11734748694587102</v>
      </c>
    </row>
    <row r="81" spans="1:6" ht="15.75" x14ac:dyDescent="0.25">
      <c r="A81" s="117"/>
      <c r="B81" s="118" t="s">
        <v>133</v>
      </c>
      <c r="C81" s="119">
        <f>SUM(C70:C80)</f>
        <v>143064713</v>
      </c>
      <c r="D81" s="119">
        <f>SUM(D70:D80)</f>
        <v>151996201</v>
      </c>
      <c r="E81" s="119">
        <f t="shared" si="9"/>
        <v>8931488</v>
      </c>
      <c r="F81" s="120">
        <f t="shared" si="10"/>
        <v>6.2429706198760558E-2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83761567</v>
      </c>
      <c r="D84" s="119">
        <f t="shared" si="11"/>
        <v>87141095</v>
      </c>
      <c r="E84" s="119">
        <f t="shared" ref="E84:E95" si="12">D84-C84</f>
        <v>3379528</v>
      </c>
      <c r="F84" s="120">
        <f t="shared" ref="F84:F95" si="13">IF(C84=0,0,E84/C84)</f>
        <v>4.0347000671560981E-2</v>
      </c>
    </row>
    <row r="85" spans="1:6" ht="15.75" x14ac:dyDescent="0.25">
      <c r="A85" s="130">
        <v>2</v>
      </c>
      <c r="B85" s="122" t="s">
        <v>114</v>
      </c>
      <c r="C85" s="119">
        <f t="shared" si="11"/>
        <v>17230714</v>
      </c>
      <c r="D85" s="119">
        <f t="shared" si="11"/>
        <v>20032428</v>
      </c>
      <c r="E85" s="119">
        <f t="shared" si="12"/>
        <v>2801714</v>
      </c>
      <c r="F85" s="120">
        <f t="shared" si="13"/>
        <v>0.1625999944053392</v>
      </c>
    </row>
    <row r="86" spans="1:6" ht="15.75" x14ac:dyDescent="0.25">
      <c r="A86" s="130">
        <v>3</v>
      </c>
      <c r="B86" s="122" t="s">
        <v>115</v>
      </c>
      <c r="C86" s="119">
        <f t="shared" si="11"/>
        <v>35091713</v>
      </c>
      <c r="D86" s="119">
        <f t="shared" si="11"/>
        <v>47102099</v>
      </c>
      <c r="E86" s="119">
        <f t="shared" si="12"/>
        <v>12010386</v>
      </c>
      <c r="F86" s="120">
        <f t="shared" si="13"/>
        <v>0.34225704513199456</v>
      </c>
    </row>
    <row r="87" spans="1:6" ht="15.75" x14ac:dyDescent="0.25">
      <c r="A87" s="130">
        <v>4</v>
      </c>
      <c r="B87" s="122" t="s">
        <v>116</v>
      </c>
      <c r="C87" s="119">
        <f t="shared" si="11"/>
        <v>2359470</v>
      </c>
      <c r="D87" s="119">
        <f t="shared" si="11"/>
        <v>0</v>
      </c>
      <c r="E87" s="119">
        <f t="shared" si="12"/>
        <v>-2359470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961458</v>
      </c>
      <c r="D88" s="119">
        <f t="shared" si="11"/>
        <v>979773</v>
      </c>
      <c r="E88" s="119">
        <f t="shared" si="12"/>
        <v>18315</v>
      </c>
      <c r="F88" s="120">
        <f t="shared" si="13"/>
        <v>1.9049194036556978E-2</v>
      </c>
    </row>
    <row r="89" spans="1:6" ht="15.75" x14ac:dyDescent="0.25">
      <c r="A89" s="130">
        <v>6</v>
      </c>
      <c r="B89" s="122" t="s">
        <v>118</v>
      </c>
      <c r="C89" s="119">
        <f t="shared" si="11"/>
        <v>920299</v>
      </c>
      <c r="D89" s="119">
        <f t="shared" si="11"/>
        <v>1039748</v>
      </c>
      <c r="E89" s="119">
        <f t="shared" si="12"/>
        <v>119449</v>
      </c>
      <c r="F89" s="120">
        <f t="shared" si="13"/>
        <v>0.12979368661706683</v>
      </c>
    </row>
    <row r="90" spans="1:6" ht="15.75" x14ac:dyDescent="0.25">
      <c r="A90" s="130">
        <v>7</v>
      </c>
      <c r="B90" s="122" t="s">
        <v>119</v>
      </c>
      <c r="C90" s="119">
        <f t="shared" si="11"/>
        <v>120282419</v>
      </c>
      <c r="D90" s="119">
        <f t="shared" si="11"/>
        <v>119568288</v>
      </c>
      <c r="E90" s="119">
        <f t="shared" si="12"/>
        <v>-714131</v>
      </c>
      <c r="F90" s="120">
        <f t="shared" si="13"/>
        <v>-5.9371187072651075E-3</v>
      </c>
    </row>
    <row r="91" spans="1:6" ht="15.75" x14ac:dyDescent="0.25">
      <c r="A91" s="130">
        <v>8</v>
      </c>
      <c r="B91" s="122" t="s">
        <v>120</v>
      </c>
      <c r="C91" s="119">
        <f t="shared" si="11"/>
        <v>4031719</v>
      </c>
      <c r="D91" s="119">
        <f t="shared" si="11"/>
        <v>4361380</v>
      </c>
      <c r="E91" s="119">
        <f t="shared" si="12"/>
        <v>329661</v>
      </c>
      <c r="F91" s="120">
        <f t="shared" si="13"/>
        <v>8.1766859247879131E-2</v>
      </c>
    </row>
    <row r="92" spans="1:6" ht="15.75" x14ac:dyDescent="0.25">
      <c r="A92" s="130">
        <v>9</v>
      </c>
      <c r="B92" s="122" t="s">
        <v>121</v>
      </c>
      <c r="C92" s="119">
        <f t="shared" si="11"/>
        <v>603170</v>
      </c>
      <c r="D92" s="119">
        <f t="shared" si="11"/>
        <v>1280198</v>
      </c>
      <c r="E92" s="119">
        <f t="shared" si="12"/>
        <v>677028</v>
      </c>
      <c r="F92" s="120">
        <f t="shared" si="13"/>
        <v>1.1224497239584197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125518</v>
      </c>
      <c r="D94" s="119">
        <f t="shared" si="11"/>
        <v>107762</v>
      </c>
      <c r="E94" s="119">
        <f t="shared" si="12"/>
        <v>-17756</v>
      </c>
      <c r="F94" s="120">
        <f t="shared" si="13"/>
        <v>-0.1414617823738428</v>
      </c>
    </row>
    <row r="95" spans="1:6" ht="18.75" customHeight="1" thickBot="1" x14ac:dyDescent="0.3">
      <c r="A95" s="131"/>
      <c r="B95" s="132" t="s">
        <v>134</v>
      </c>
      <c r="C95" s="128">
        <f>SUM(C84:C94)</f>
        <v>265368047</v>
      </c>
      <c r="D95" s="128">
        <f>SUM(D84:D94)</f>
        <v>281612771</v>
      </c>
      <c r="E95" s="128">
        <f t="shared" si="12"/>
        <v>16244724</v>
      </c>
      <c r="F95" s="129">
        <f t="shared" si="13"/>
        <v>6.1215825279823534E-2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3101</v>
      </c>
      <c r="D100" s="133">
        <v>3098</v>
      </c>
      <c r="E100" s="133">
        <f t="shared" ref="E100:E111" si="14">D100-C100</f>
        <v>-3</v>
      </c>
      <c r="F100" s="114">
        <f t="shared" ref="F100:F111" si="15">IF(C100=0,0,E100/C100)</f>
        <v>-9.6742986133505321E-4</v>
      </c>
    </row>
    <row r="101" spans="1:6" x14ac:dyDescent="0.2">
      <c r="A101" s="115">
        <v>2</v>
      </c>
      <c r="B101" s="116" t="s">
        <v>114</v>
      </c>
      <c r="C101" s="133">
        <v>599</v>
      </c>
      <c r="D101" s="133">
        <v>724</v>
      </c>
      <c r="E101" s="133">
        <f t="shared" si="14"/>
        <v>125</v>
      </c>
      <c r="F101" s="114">
        <f t="shared" si="15"/>
        <v>0.20868113522537562</v>
      </c>
    </row>
    <row r="102" spans="1:6" x14ac:dyDescent="0.2">
      <c r="A102" s="115">
        <v>3</v>
      </c>
      <c r="B102" s="116" t="s">
        <v>115</v>
      </c>
      <c r="C102" s="133">
        <v>1939</v>
      </c>
      <c r="D102" s="133">
        <v>2162</v>
      </c>
      <c r="E102" s="133">
        <f t="shared" si="14"/>
        <v>223</v>
      </c>
      <c r="F102" s="114">
        <f t="shared" si="15"/>
        <v>0.11500773594636411</v>
      </c>
    </row>
    <row r="103" spans="1:6" x14ac:dyDescent="0.2">
      <c r="A103" s="115">
        <v>4</v>
      </c>
      <c r="B103" s="116" t="s">
        <v>116</v>
      </c>
      <c r="C103" s="133">
        <v>111</v>
      </c>
      <c r="D103" s="133">
        <v>0</v>
      </c>
      <c r="E103" s="133">
        <f t="shared" si="14"/>
        <v>-111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41</v>
      </c>
      <c r="D104" s="133">
        <v>35</v>
      </c>
      <c r="E104" s="133">
        <f t="shared" si="14"/>
        <v>-6</v>
      </c>
      <c r="F104" s="114">
        <f t="shared" si="15"/>
        <v>-0.14634146341463414</v>
      </c>
    </row>
    <row r="105" spans="1:6" x14ac:dyDescent="0.2">
      <c r="A105" s="115">
        <v>6</v>
      </c>
      <c r="B105" s="116" t="s">
        <v>118</v>
      </c>
      <c r="C105" s="133">
        <v>15</v>
      </c>
      <c r="D105" s="133">
        <v>14</v>
      </c>
      <c r="E105" s="133">
        <f t="shared" si="14"/>
        <v>-1</v>
      </c>
      <c r="F105" s="114">
        <f t="shared" si="15"/>
        <v>-6.6666666666666666E-2</v>
      </c>
    </row>
    <row r="106" spans="1:6" x14ac:dyDescent="0.2">
      <c r="A106" s="115">
        <v>7</v>
      </c>
      <c r="B106" s="116" t="s">
        <v>119</v>
      </c>
      <c r="C106" s="133">
        <v>2472</v>
      </c>
      <c r="D106" s="133">
        <v>2470</v>
      </c>
      <c r="E106" s="133">
        <f t="shared" si="14"/>
        <v>-2</v>
      </c>
      <c r="F106" s="114">
        <f t="shared" si="15"/>
        <v>-8.090614886731392E-4</v>
      </c>
    </row>
    <row r="107" spans="1:6" x14ac:dyDescent="0.2">
      <c r="A107" s="115">
        <v>8</v>
      </c>
      <c r="B107" s="116" t="s">
        <v>120</v>
      </c>
      <c r="C107" s="133">
        <v>54</v>
      </c>
      <c r="D107" s="133">
        <v>33</v>
      </c>
      <c r="E107" s="133">
        <f t="shared" si="14"/>
        <v>-21</v>
      </c>
      <c r="F107" s="114">
        <f t="shared" si="15"/>
        <v>-0.3888888888888889</v>
      </c>
    </row>
    <row r="108" spans="1:6" x14ac:dyDescent="0.2">
      <c r="A108" s="115">
        <v>9</v>
      </c>
      <c r="B108" s="116" t="s">
        <v>121</v>
      </c>
      <c r="C108" s="133">
        <v>39</v>
      </c>
      <c r="D108" s="133">
        <v>35</v>
      </c>
      <c r="E108" s="133">
        <f t="shared" si="14"/>
        <v>-4</v>
      </c>
      <c r="F108" s="114">
        <f t="shared" si="15"/>
        <v>-0.10256410256410256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3</v>
      </c>
      <c r="D110" s="133">
        <v>7</v>
      </c>
      <c r="E110" s="133">
        <f t="shared" si="14"/>
        <v>4</v>
      </c>
      <c r="F110" s="114">
        <f t="shared" si="15"/>
        <v>1.3333333333333333</v>
      </c>
    </row>
    <row r="111" spans="1:6" ht="15.75" x14ac:dyDescent="0.25">
      <c r="A111" s="117"/>
      <c r="B111" s="118" t="s">
        <v>138</v>
      </c>
      <c r="C111" s="134">
        <f>SUM(C100:C110)</f>
        <v>8374</v>
      </c>
      <c r="D111" s="134">
        <f>SUM(D100:D110)</f>
        <v>8578</v>
      </c>
      <c r="E111" s="134">
        <f t="shared" si="14"/>
        <v>204</v>
      </c>
      <c r="F111" s="120">
        <f t="shared" si="15"/>
        <v>2.4361117745402436E-2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16717</v>
      </c>
      <c r="D113" s="133">
        <v>15962</v>
      </c>
      <c r="E113" s="133">
        <f t="shared" ref="E113:E124" si="16">D113-C113</f>
        <v>-755</v>
      </c>
      <c r="F113" s="114">
        <f t="shared" ref="F113:F124" si="17">IF(C113=0,0,E113/C113)</f>
        <v>-4.5163605910151346E-2</v>
      </c>
    </row>
    <row r="114" spans="1:6" x14ac:dyDescent="0.2">
      <c r="A114" s="115">
        <v>2</v>
      </c>
      <c r="B114" s="116" t="s">
        <v>114</v>
      </c>
      <c r="C114" s="133">
        <v>2983</v>
      </c>
      <c r="D114" s="133">
        <v>3433</v>
      </c>
      <c r="E114" s="133">
        <f t="shared" si="16"/>
        <v>450</v>
      </c>
      <c r="F114" s="114">
        <f t="shared" si="17"/>
        <v>0.15085484411666109</v>
      </c>
    </row>
    <row r="115" spans="1:6" x14ac:dyDescent="0.2">
      <c r="A115" s="115">
        <v>3</v>
      </c>
      <c r="B115" s="116" t="s">
        <v>115</v>
      </c>
      <c r="C115" s="133">
        <v>10324</v>
      </c>
      <c r="D115" s="133">
        <v>10730</v>
      </c>
      <c r="E115" s="133">
        <f t="shared" si="16"/>
        <v>406</v>
      </c>
      <c r="F115" s="114">
        <f t="shared" si="17"/>
        <v>3.9325842696629212E-2</v>
      </c>
    </row>
    <row r="116" spans="1:6" x14ac:dyDescent="0.2">
      <c r="A116" s="115">
        <v>4</v>
      </c>
      <c r="B116" s="116" t="s">
        <v>116</v>
      </c>
      <c r="C116" s="133">
        <v>373</v>
      </c>
      <c r="D116" s="133">
        <v>0</v>
      </c>
      <c r="E116" s="133">
        <f t="shared" si="16"/>
        <v>-373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120</v>
      </c>
      <c r="D117" s="133">
        <v>105</v>
      </c>
      <c r="E117" s="133">
        <f t="shared" si="16"/>
        <v>-15</v>
      </c>
      <c r="F117" s="114">
        <f t="shared" si="17"/>
        <v>-0.125</v>
      </c>
    </row>
    <row r="118" spans="1:6" x14ac:dyDescent="0.2">
      <c r="A118" s="115">
        <v>6</v>
      </c>
      <c r="B118" s="116" t="s">
        <v>118</v>
      </c>
      <c r="C118" s="133">
        <v>114</v>
      </c>
      <c r="D118" s="133">
        <v>63</v>
      </c>
      <c r="E118" s="133">
        <f t="shared" si="16"/>
        <v>-51</v>
      </c>
      <c r="F118" s="114">
        <f t="shared" si="17"/>
        <v>-0.44736842105263158</v>
      </c>
    </row>
    <row r="119" spans="1:6" x14ac:dyDescent="0.2">
      <c r="A119" s="115">
        <v>7</v>
      </c>
      <c r="B119" s="116" t="s">
        <v>119</v>
      </c>
      <c r="C119" s="133">
        <v>9368</v>
      </c>
      <c r="D119" s="133">
        <v>10198</v>
      </c>
      <c r="E119" s="133">
        <f t="shared" si="16"/>
        <v>830</v>
      </c>
      <c r="F119" s="114">
        <f t="shared" si="17"/>
        <v>8.8599487617421008E-2</v>
      </c>
    </row>
    <row r="120" spans="1:6" x14ac:dyDescent="0.2">
      <c r="A120" s="115">
        <v>8</v>
      </c>
      <c r="B120" s="116" t="s">
        <v>120</v>
      </c>
      <c r="C120" s="133">
        <v>137</v>
      </c>
      <c r="D120" s="133">
        <v>82</v>
      </c>
      <c r="E120" s="133">
        <f t="shared" si="16"/>
        <v>-55</v>
      </c>
      <c r="F120" s="114">
        <f t="shared" si="17"/>
        <v>-0.40145985401459855</v>
      </c>
    </row>
    <row r="121" spans="1:6" x14ac:dyDescent="0.2">
      <c r="A121" s="115">
        <v>9</v>
      </c>
      <c r="B121" s="116" t="s">
        <v>121</v>
      </c>
      <c r="C121" s="133">
        <v>145</v>
      </c>
      <c r="D121" s="133">
        <v>118</v>
      </c>
      <c r="E121" s="133">
        <f t="shared" si="16"/>
        <v>-27</v>
      </c>
      <c r="F121" s="114">
        <f t="shared" si="17"/>
        <v>-0.18620689655172415</v>
      </c>
    </row>
    <row r="122" spans="1:6" x14ac:dyDescent="0.2">
      <c r="A122" s="115">
        <v>10</v>
      </c>
      <c r="B122" s="116" t="s">
        <v>122</v>
      </c>
      <c r="C122" s="133">
        <v>14</v>
      </c>
      <c r="D122" s="133">
        <v>0</v>
      </c>
      <c r="E122" s="133">
        <f t="shared" si="16"/>
        <v>-14</v>
      </c>
      <c r="F122" s="114">
        <f t="shared" si="17"/>
        <v>-1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13</v>
      </c>
      <c r="E123" s="133">
        <f t="shared" si="16"/>
        <v>13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40295</v>
      </c>
      <c r="D124" s="134">
        <f>SUM(D113:D123)</f>
        <v>40704</v>
      </c>
      <c r="E124" s="134">
        <f t="shared" si="16"/>
        <v>409</v>
      </c>
      <c r="F124" s="120">
        <f t="shared" si="17"/>
        <v>1.0150142697605162E-2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91876</v>
      </c>
      <c r="D126" s="133">
        <v>91566</v>
      </c>
      <c r="E126" s="133">
        <f t="shared" ref="E126:E137" si="18">D126-C126</f>
        <v>-310</v>
      </c>
      <c r="F126" s="114">
        <f t="shared" ref="F126:F137" si="19">IF(C126=0,0,E126/C126)</f>
        <v>-3.3741129348251993E-3</v>
      </c>
    </row>
    <row r="127" spans="1:6" x14ac:dyDescent="0.2">
      <c r="A127" s="115">
        <v>2</v>
      </c>
      <c r="B127" s="116" t="s">
        <v>114</v>
      </c>
      <c r="C127" s="133">
        <v>20443</v>
      </c>
      <c r="D127" s="133">
        <v>22941</v>
      </c>
      <c r="E127" s="133">
        <f t="shared" si="18"/>
        <v>2498</v>
      </c>
      <c r="F127" s="114">
        <f t="shared" si="19"/>
        <v>0.12219341583916254</v>
      </c>
    </row>
    <row r="128" spans="1:6" x14ac:dyDescent="0.2">
      <c r="A128" s="115">
        <v>3</v>
      </c>
      <c r="B128" s="116" t="s">
        <v>115</v>
      </c>
      <c r="C128" s="133">
        <v>57726</v>
      </c>
      <c r="D128" s="133">
        <v>69946</v>
      </c>
      <c r="E128" s="133">
        <f t="shared" si="18"/>
        <v>12220</v>
      </c>
      <c r="F128" s="114">
        <f t="shared" si="19"/>
        <v>0.21168970654471123</v>
      </c>
    </row>
    <row r="129" spans="1:6" x14ac:dyDescent="0.2">
      <c r="A129" s="115">
        <v>4</v>
      </c>
      <c r="B129" s="116" t="s">
        <v>116</v>
      </c>
      <c r="C129" s="133">
        <v>6513</v>
      </c>
      <c r="D129" s="133">
        <v>0</v>
      </c>
      <c r="E129" s="133">
        <f t="shared" si="18"/>
        <v>-6513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2196</v>
      </c>
      <c r="D130" s="133">
        <v>1964</v>
      </c>
      <c r="E130" s="133">
        <f t="shared" si="18"/>
        <v>-232</v>
      </c>
      <c r="F130" s="114">
        <f t="shared" si="19"/>
        <v>-0.10564663023679417</v>
      </c>
    </row>
    <row r="131" spans="1:6" x14ac:dyDescent="0.2">
      <c r="A131" s="115">
        <v>6</v>
      </c>
      <c r="B131" s="116" t="s">
        <v>118</v>
      </c>
      <c r="C131" s="133">
        <v>1335</v>
      </c>
      <c r="D131" s="133">
        <v>1223</v>
      </c>
      <c r="E131" s="133">
        <f t="shared" si="18"/>
        <v>-112</v>
      </c>
      <c r="F131" s="114">
        <f t="shared" si="19"/>
        <v>-8.3895131086142327E-2</v>
      </c>
    </row>
    <row r="132" spans="1:6" x14ac:dyDescent="0.2">
      <c r="A132" s="115">
        <v>7</v>
      </c>
      <c r="B132" s="116" t="s">
        <v>119</v>
      </c>
      <c r="C132" s="133">
        <v>157477</v>
      </c>
      <c r="D132" s="133">
        <v>158629</v>
      </c>
      <c r="E132" s="133">
        <f t="shared" si="18"/>
        <v>1152</v>
      </c>
      <c r="F132" s="114">
        <f t="shared" si="19"/>
        <v>7.3153539882014514E-3</v>
      </c>
    </row>
    <row r="133" spans="1:6" x14ac:dyDescent="0.2">
      <c r="A133" s="115">
        <v>8</v>
      </c>
      <c r="B133" s="116" t="s">
        <v>120</v>
      </c>
      <c r="C133" s="133">
        <v>2334</v>
      </c>
      <c r="D133" s="133">
        <v>2321</v>
      </c>
      <c r="E133" s="133">
        <f t="shared" si="18"/>
        <v>-13</v>
      </c>
      <c r="F133" s="114">
        <f t="shared" si="19"/>
        <v>-5.5698371893744643E-3</v>
      </c>
    </row>
    <row r="134" spans="1:6" x14ac:dyDescent="0.2">
      <c r="A134" s="115">
        <v>9</v>
      </c>
      <c r="B134" s="116" t="s">
        <v>121</v>
      </c>
      <c r="C134" s="133">
        <v>5882</v>
      </c>
      <c r="D134" s="133">
        <v>6157</v>
      </c>
      <c r="E134" s="133">
        <f t="shared" si="18"/>
        <v>275</v>
      </c>
      <c r="F134" s="114">
        <f t="shared" si="19"/>
        <v>4.6752805168310096E-2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747</v>
      </c>
      <c r="D136" s="133">
        <v>637</v>
      </c>
      <c r="E136" s="133">
        <f t="shared" si="18"/>
        <v>-110</v>
      </c>
      <c r="F136" s="114">
        <f t="shared" si="19"/>
        <v>-0.14725568942436412</v>
      </c>
    </row>
    <row r="137" spans="1:6" ht="15.75" x14ac:dyDescent="0.25">
      <c r="A137" s="117"/>
      <c r="B137" s="118" t="s">
        <v>142</v>
      </c>
      <c r="C137" s="134">
        <f>SUM(C126:C136)</f>
        <v>346529</v>
      </c>
      <c r="D137" s="134">
        <f>SUM(D126:D136)</f>
        <v>355384</v>
      </c>
      <c r="E137" s="134">
        <f t="shared" si="18"/>
        <v>8855</v>
      </c>
      <c r="F137" s="120">
        <f t="shared" si="19"/>
        <v>2.555341688574405E-2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8196976</v>
      </c>
      <c r="D142" s="113">
        <v>9508251</v>
      </c>
      <c r="E142" s="113">
        <f t="shared" ref="E142:E153" si="20">D142-C142</f>
        <v>1311275</v>
      </c>
      <c r="F142" s="114">
        <f t="shared" ref="F142:F153" si="21">IF(C142=0,0,E142/C142)</f>
        <v>0.15997057939415707</v>
      </c>
    </row>
    <row r="143" spans="1:6" x14ac:dyDescent="0.2">
      <c r="A143" s="115">
        <v>2</v>
      </c>
      <c r="B143" s="116" t="s">
        <v>114</v>
      </c>
      <c r="C143" s="113">
        <v>1826100</v>
      </c>
      <c r="D143" s="113">
        <v>2311941</v>
      </c>
      <c r="E143" s="113">
        <f t="shared" si="20"/>
        <v>485841</v>
      </c>
      <c r="F143" s="114">
        <f t="shared" si="21"/>
        <v>0.2660538853293905</v>
      </c>
    </row>
    <row r="144" spans="1:6" x14ac:dyDescent="0.2">
      <c r="A144" s="115">
        <v>3</v>
      </c>
      <c r="B144" s="116" t="s">
        <v>115</v>
      </c>
      <c r="C144" s="113">
        <v>6578990</v>
      </c>
      <c r="D144" s="113">
        <v>9756897</v>
      </c>
      <c r="E144" s="113">
        <f t="shared" si="20"/>
        <v>3177907</v>
      </c>
      <c r="F144" s="114">
        <f t="shared" si="21"/>
        <v>0.48303873390900426</v>
      </c>
    </row>
    <row r="145" spans="1:6" x14ac:dyDescent="0.2">
      <c r="A145" s="115">
        <v>4</v>
      </c>
      <c r="B145" s="116" t="s">
        <v>116</v>
      </c>
      <c r="C145" s="113">
        <v>617745</v>
      </c>
      <c r="D145" s="113">
        <v>0</v>
      </c>
      <c r="E145" s="113">
        <f t="shared" si="20"/>
        <v>-617745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172622</v>
      </c>
      <c r="D146" s="113">
        <v>182463</v>
      </c>
      <c r="E146" s="113">
        <f t="shared" si="20"/>
        <v>9841</v>
      </c>
      <c r="F146" s="114">
        <f t="shared" si="21"/>
        <v>5.7008955984752814E-2</v>
      </c>
    </row>
    <row r="147" spans="1:6" x14ac:dyDescent="0.2">
      <c r="A147" s="115">
        <v>6</v>
      </c>
      <c r="B147" s="116" t="s">
        <v>118</v>
      </c>
      <c r="C147" s="113">
        <v>244381</v>
      </c>
      <c r="D147" s="113">
        <v>231068</v>
      </c>
      <c r="E147" s="113">
        <f t="shared" si="20"/>
        <v>-13313</v>
      </c>
      <c r="F147" s="114">
        <f t="shared" si="21"/>
        <v>-5.4476411832343759E-2</v>
      </c>
    </row>
    <row r="148" spans="1:6" x14ac:dyDescent="0.2">
      <c r="A148" s="115">
        <v>7</v>
      </c>
      <c r="B148" s="116" t="s">
        <v>119</v>
      </c>
      <c r="C148" s="113">
        <v>14499056</v>
      </c>
      <c r="D148" s="113">
        <v>16577503</v>
      </c>
      <c r="E148" s="113">
        <f t="shared" si="20"/>
        <v>2078447</v>
      </c>
      <c r="F148" s="114">
        <f t="shared" si="21"/>
        <v>0.14335050502598237</v>
      </c>
    </row>
    <row r="149" spans="1:6" x14ac:dyDescent="0.2">
      <c r="A149" s="115">
        <v>8</v>
      </c>
      <c r="B149" s="116" t="s">
        <v>120</v>
      </c>
      <c r="C149" s="113">
        <v>649010</v>
      </c>
      <c r="D149" s="113">
        <v>805000</v>
      </c>
      <c r="E149" s="113">
        <f t="shared" si="20"/>
        <v>155990</v>
      </c>
      <c r="F149" s="114">
        <f t="shared" si="21"/>
        <v>0.24035068797090953</v>
      </c>
    </row>
    <row r="150" spans="1:6" x14ac:dyDescent="0.2">
      <c r="A150" s="115">
        <v>9</v>
      </c>
      <c r="B150" s="116" t="s">
        <v>121</v>
      </c>
      <c r="C150" s="113">
        <v>1447623</v>
      </c>
      <c r="D150" s="113">
        <v>1794943</v>
      </c>
      <c r="E150" s="113">
        <f t="shared" si="20"/>
        <v>347320</v>
      </c>
      <c r="F150" s="114">
        <f t="shared" si="21"/>
        <v>0.23992434494340031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98811</v>
      </c>
      <c r="D152" s="113">
        <v>93324</v>
      </c>
      <c r="E152" s="113">
        <f t="shared" si="20"/>
        <v>-5487</v>
      </c>
      <c r="F152" s="114">
        <f t="shared" si="21"/>
        <v>-5.5530254728724533E-2</v>
      </c>
    </row>
    <row r="153" spans="1:6" ht="33.75" customHeight="1" x14ac:dyDescent="0.25">
      <c r="A153" s="117"/>
      <c r="B153" s="118" t="s">
        <v>146</v>
      </c>
      <c r="C153" s="119">
        <f>SUM(C142:C152)</f>
        <v>34331314</v>
      </c>
      <c r="D153" s="119">
        <f>SUM(D142:D152)</f>
        <v>41261390</v>
      </c>
      <c r="E153" s="119">
        <f t="shared" si="20"/>
        <v>6930076</v>
      </c>
      <c r="F153" s="120">
        <f t="shared" si="21"/>
        <v>0.20185874621635513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2265688</v>
      </c>
      <c r="D155" s="113">
        <v>2416020</v>
      </c>
      <c r="E155" s="113">
        <f t="shared" ref="E155:E166" si="22">D155-C155</f>
        <v>150332</v>
      </c>
      <c r="F155" s="114">
        <f t="shared" ref="F155:F166" si="23">IF(C155=0,0,E155/C155)</f>
        <v>6.6351589450974718E-2</v>
      </c>
    </row>
    <row r="156" spans="1:6" x14ac:dyDescent="0.2">
      <c r="A156" s="115">
        <v>2</v>
      </c>
      <c r="B156" s="116" t="s">
        <v>114</v>
      </c>
      <c r="C156" s="113">
        <v>516916</v>
      </c>
      <c r="D156" s="113">
        <v>570877</v>
      </c>
      <c r="E156" s="113">
        <f t="shared" si="22"/>
        <v>53961</v>
      </c>
      <c r="F156" s="114">
        <f t="shared" si="23"/>
        <v>0.10439026843819886</v>
      </c>
    </row>
    <row r="157" spans="1:6" x14ac:dyDescent="0.2">
      <c r="A157" s="115">
        <v>3</v>
      </c>
      <c r="B157" s="116" t="s">
        <v>115</v>
      </c>
      <c r="C157" s="113">
        <v>1743729</v>
      </c>
      <c r="D157" s="113">
        <v>2252055</v>
      </c>
      <c r="E157" s="113">
        <f t="shared" si="22"/>
        <v>508326</v>
      </c>
      <c r="F157" s="114">
        <f t="shared" si="23"/>
        <v>0.29151662901746772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57520</v>
      </c>
      <c r="D159" s="113">
        <v>44670</v>
      </c>
      <c r="E159" s="113">
        <f t="shared" si="22"/>
        <v>-12850</v>
      </c>
      <c r="F159" s="114">
        <f t="shared" si="23"/>
        <v>-0.22340055632823366</v>
      </c>
    </row>
    <row r="160" spans="1:6" x14ac:dyDescent="0.2">
      <c r="A160" s="115">
        <v>6</v>
      </c>
      <c r="B160" s="116" t="s">
        <v>118</v>
      </c>
      <c r="C160" s="113">
        <v>143312</v>
      </c>
      <c r="D160" s="113">
        <v>138306</v>
      </c>
      <c r="E160" s="113">
        <f t="shared" si="22"/>
        <v>-5006</v>
      </c>
      <c r="F160" s="114">
        <f t="shared" si="23"/>
        <v>-3.4930780395221614E-2</v>
      </c>
    </row>
    <row r="161" spans="1:6" x14ac:dyDescent="0.2">
      <c r="A161" s="115">
        <v>7</v>
      </c>
      <c r="B161" s="116" t="s">
        <v>119</v>
      </c>
      <c r="C161" s="113">
        <v>7777024</v>
      </c>
      <c r="D161" s="113">
        <v>8082780</v>
      </c>
      <c r="E161" s="113">
        <f t="shared" si="22"/>
        <v>305756</v>
      </c>
      <c r="F161" s="114">
        <f t="shared" si="23"/>
        <v>3.9315295928108229E-2</v>
      </c>
    </row>
    <row r="162" spans="1:6" x14ac:dyDescent="0.2">
      <c r="A162" s="115">
        <v>8</v>
      </c>
      <c r="B162" s="116" t="s">
        <v>120</v>
      </c>
      <c r="C162" s="113">
        <v>520268</v>
      </c>
      <c r="D162" s="113">
        <v>597111</v>
      </c>
      <c r="E162" s="113">
        <f t="shared" si="22"/>
        <v>76843</v>
      </c>
      <c r="F162" s="114">
        <f t="shared" si="23"/>
        <v>0.14769887827042985</v>
      </c>
    </row>
    <row r="163" spans="1:6" x14ac:dyDescent="0.2">
      <c r="A163" s="115">
        <v>9</v>
      </c>
      <c r="B163" s="116" t="s">
        <v>121</v>
      </c>
      <c r="C163" s="113">
        <v>102410</v>
      </c>
      <c r="D163" s="113">
        <v>115623</v>
      </c>
      <c r="E163" s="113">
        <f t="shared" si="22"/>
        <v>13213</v>
      </c>
      <c r="F163" s="114">
        <f t="shared" si="23"/>
        <v>0.12902060345669369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6105</v>
      </c>
      <c r="D165" s="113">
        <v>6022</v>
      </c>
      <c r="E165" s="113">
        <f t="shared" si="22"/>
        <v>-83</v>
      </c>
      <c r="F165" s="114">
        <f t="shared" si="23"/>
        <v>-1.3595413595413596E-2</v>
      </c>
    </row>
    <row r="166" spans="1:6" ht="33.75" customHeight="1" x14ac:dyDescent="0.25">
      <c r="A166" s="117"/>
      <c r="B166" s="118" t="s">
        <v>148</v>
      </c>
      <c r="C166" s="119">
        <f>SUM(C155:C165)</f>
        <v>13132972</v>
      </c>
      <c r="D166" s="119">
        <f>SUM(D155:D165)</f>
        <v>14223464</v>
      </c>
      <c r="E166" s="119">
        <f t="shared" si="22"/>
        <v>1090492</v>
      </c>
      <c r="F166" s="120">
        <f t="shared" si="23"/>
        <v>8.3034670293974586E-2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4817</v>
      </c>
      <c r="D168" s="133">
        <v>4607</v>
      </c>
      <c r="E168" s="133">
        <f t="shared" ref="E168:E179" si="24">D168-C168</f>
        <v>-210</v>
      </c>
      <c r="F168" s="114">
        <f t="shared" ref="F168:F179" si="25">IF(C168=0,0,E168/C168)</f>
        <v>-4.3595598920489934E-2</v>
      </c>
    </row>
    <row r="169" spans="1:6" x14ac:dyDescent="0.2">
      <c r="A169" s="115">
        <v>2</v>
      </c>
      <c r="B169" s="116" t="s">
        <v>114</v>
      </c>
      <c r="C169" s="133">
        <v>1077</v>
      </c>
      <c r="D169" s="133">
        <v>1126</v>
      </c>
      <c r="E169" s="133">
        <f t="shared" si="24"/>
        <v>49</v>
      </c>
      <c r="F169" s="114">
        <f t="shared" si="25"/>
        <v>4.5496750232126279E-2</v>
      </c>
    </row>
    <row r="170" spans="1:6" x14ac:dyDescent="0.2">
      <c r="A170" s="115">
        <v>3</v>
      </c>
      <c r="B170" s="116" t="s">
        <v>115</v>
      </c>
      <c r="C170" s="133">
        <v>5258</v>
      </c>
      <c r="D170" s="133">
        <v>6301</v>
      </c>
      <c r="E170" s="133">
        <f t="shared" si="24"/>
        <v>1043</v>
      </c>
      <c r="F170" s="114">
        <f t="shared" si="25"/>
        <v>0.19836439710916698</v>
      </c>
    </row>
    <row r="171" spans="1:6" x14ac:dyDescent="0.2">
      <c r="A171" s="115">
        <v>4</v>
      </c>
      <c r="B171" s="116" t="s">
        <v>116</v>
      </c>
      <c r="C171" s="133">
        <v>617</v>
      </c>
      <c r="D171" s="133">
        <v>0</v>
      </c>
      <c r="E171" s="133">
        <f t="shared" si="24"/>
        <v>-617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142</v>
      </c>
      <c r="D172" s="133">
        <v>120</v>
      </c>
      <c r="E172" s="133">
        <f t="shared" si="24"/>
        <v>-22</v>
      </c>
      <c r="F172" s="114">
        <f t="shared" si="25"/>
        <v>-0.15492957746478872</v>
      </c>
    </row>
    <row r="173" spans="1:6" x14ac:dyDescent="0.2">
      <c r="A173" s="115">
        <v>6</v>
      </c>
      <c r="B173" s="116" t="s">
        <v>118</v>
      </c>
      <c r="C173" s="133">
        <v>188</v>
      </c>
      <c r="D173" s="133">
        <v>140</v>
      </c>
      <c r="E173" s="133">
        <f t="shared" si="24"/>
        <v>-48</v>
      </c>
      <c r="F173" s="114">
        <f t="shared" si="25"/>
        <v>-0.25531914893617019</v>
      </c>
    </row>
    <row r="174" spans="1:6" x14ac:dyDescent="0.2">
      <c r="A174" s="115">
        <v>7</v>
      </c>
      <c r="B174" s="116" t="s">
        <v>119</v>
      </c>
      <c r="C174" s="133">
        <v>10304</v>
      </c>
      <c r="D174" s="133">
        <v>9441</v>
      </c>
      <c r="E174" s="133">
        <f t="shared" si="24"/>
        <v>-863</v>
      </c>
      <c r="F174" s="114">
        <f t="shared" si="25"/>
        <v>-8.3753881987577633E-2</v>
      </c>
    </row>
    <row r="175" spans="1:6" x14ac:dyDescent="0.2">
      <c r="A175" s="115">
        <v>8</v>
      </c>
      <c r="B175" s="116" t="s">
        <v>120</v>
      </c>
      <c r="C175" s="133">
        <v>689</v>
      </c>
      <c r="D175" s="133">
        <v>621</v>
      </c>
      <c r="E175" s="133">
        <f t="shared" si="24"/>
        <v>-68</v>
      </c>
      <c r="F175" s="114">
        <f t="shared" si="25"/>
        <v>-9.8693759071117562E-2</v>
      </c>
    </row>
    <row r="176" spans="1:6" x14ac:dyDescent="0.2">
      <c r="A176" s="115">
        <v>9</v>
      </c>
      <c r="B176" s="116" t="s">
        <v>121</v>
      </c>
      <c r="C176" s="133">
        <v>1255</v>
      </c>
      <c r="D176" s="133">
        <v>1221</v>
      </c>
      <c r="E176" s="133">
        <f t="shared" si="24"/>
        <v>-34</v>
      </c>
      <c r="F176" s="114">
        <f t="shared" si="25"/>
        <v>-2.7091633466135457E-2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83</v>
      </c>
      <c r="D178" s="133">
        <v>63</v>
      </c>
      <c r="E178" s="133">
        <f t="shared" si="24"/>
        <v>-20</v>
      </c>
      <c r="F178" s="114">
        <f t="shared" si="25"/>
        <v>-0.24096385542168675</v>
      </c>
    </row>
    <row r="179" spans="1:6" ht="33.75" customHeight="1" x14ac:dyDescent="0.25">
      <c r="A179" s="117"/>
      <c r="B179" s="118" t="s">
        <v>150</v>
      </c>
      <c r="C179" s="134">
        <f>SUM(C168:C178)</f>
        <v>24430</v>
      </c>
      <c r="D179" s="134">
        <f>SUM(D168:D178)</f>
        <v>23640</v>
      </c>
      <c r="E179" s="134">
        <f t="shared" si="24"/>
        <v>-790</v>
      </c>
      <c r="F179" s="120">
        <f t="shared" si="25"/>
        <v>-3.2337290216946375E-2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35440601</v>
      </c>
      <c r="D15" s="157">
        <v>35730736</v>
      </c>
      <c r="E15" s="157">
        <f>+D15-C15</f>
        <v>290135</v>
      </c>
      <c r="F15" s="161">
        <f>IF(C15=0,0,E15/C15)</f>
        <v>8.1865146699967081E-3</v>
      </c>
    </row>
    <row r="16" spans="1:6" ht="15" customHeight="1" x14ac:dyDescent="0.2">
      <c r="A16" s="147">
        <v>2</v>
      </c>
      <c r="B16" s="160" t="s">
        <v>157</v>
      </c>
      <c r="C16" s="157">
        <v>2152218</v>
      </c>
      <c r="D16" s="157">
        <v>2771716</v>
      </c>
      <c r="E16" s="157">
        <f>+D16-C16</f>
        <v>619498</v>
      </c>
      <c r="F16" s="161">
        <f>IF(C16=0,0,E16/C16)</f>
        <v>0.28784165916277998</v>
      </c>
    </row>
    <row r="17" spans="1:6" ht="15" customHeight="1" x14ac:dyDescent="0.2">
      <c r="A17" s="147">
        <v>3</v>
      </c>
      <c r="B17" s="160" t="s">
        <v>158</v>
      </c>
      <c r="C17" s="157">
        <v>68454474</v>
      </c>
      <c r="D17" s="157">
        <v>71634404</v>
      </c>
      <c r="E17" s="157">
        <f>+D17-C17</f>
        <v>3179930</v>
      </c>
      <c r="F17" s="161">
        <f>IF(C17=0,0,E17/C17)</f>
        <v>4.6453209179578243E-2</v>
      </c>
    </row>
    <row r="18" spans="1:6" ht="15.75" customHeight="1" x14ac:dyDescent="0.25">
      <c r="A18" s="147"/>
      <c r="B18" s="162" t="s">
        <v>159</v>
      </c>
      <c r="C18" s="158">
        <f>SUM(C15:C17)</f>
        <v>106047293</v>
      </c>
      <c r="D18" s="158">
        <f>SUM(D15:D17)</f>
        <v>110136856</v>
      </c>
      <c r="E18" s="158">
        <f>+D18-C18</f>
        <v>4089563</v>
      </c>
      <c r="F18" s="159">
        <f>IF(C18=0,0,E18/C18)</f>
        <v>3.8563577478587782E-2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14550177</v>
      </c>
      <c r="D21" s="157">
        <v>16166065</v>
      </c>
      <c r="E21" s="157">
        <f>+D21-C21</f>
        <v>1615888</v>
      </c>
      <c r="F21" s="161">
        <f>IF(C21=0,0,E21/C21)</f>
        <v>0.11105624350824049</v>
      </c>
    </row>
    <row r="22" spans="1:6" ht="15" customHeight="1" x14ac:dyDescent="0.2">
      <c r="A22" s="147">
        <v>2</v>
      </c>
      <c r="B22" s="160" t="s">
        <v>162</v>
      </c>
      <c r="C22" s="157">
        <v>523653</v>
      </c>
      <c r="D22" s="157">
        <v>613879</v>
      </c>
      <c r="E22" s="157">
        <f>+D22-C22</f>
        <v>90226</v>
      </c>
      <c r="F22" s="161">
        <f>IF(C22=0,0,E22/C22)</f>
        <v>0.17230112307195797</v>
      </c>
    </row>
    <row r="23" spans="1:6" ht="15" customHeight="1" x14ac:dyDescent="0.2">
      <c r="A23" s="147">
        <v>3</v>
      </c>
      <c r="B23" s="160" t="s">
        <v>163</v>
      </c>
      <c r="C23" s="157">
        <v>30957333</v>
      </c>
      <c r="D23" s="157">
        <v>33994236</v>
      </c>
      <c r="E23" s="157">
        <f>+D23-C23</f>
        <v>3036903</v>
      </c>
      <c r="F23" s="161">
        <f>IF(C23=0,0,E23/C23)</f>
        <v>9.8099632807516074E-2</v>
      </c>
    </row>
    <row r="24" spans="1:6" ht="15.75" customHeight="1" x14ac:dyDescent="0.25">
      <c r="A24" s="147"/>
      <c r="B24" s="162" t="s">
        <v>164</v>
      </c>
      <c r="C24" s="158">
        <f>SUM(C21:C23)</f>
        <v>46031163</v>
      </c>
      <c r="D24" s="158">
        <f>SUM(D21:D23)</f>
        <v>50774180</v>
      </c>
      <c r="E24" s="158">
        <f>+D24-C24</f>
        <v>4743017</v>
      </c>
      <c r="F24" s="159">
        <f>IF(C24=0,0,E24/C24)</f>
        <v>0.1030392605983038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4619728</v>
      </c>
      <c r="D27" s="157">
        <v>5277613</v>
      </c>
      <c r="E27" s="157">
        <f>+D27-C27</f>
        <v>657885</v>
      </c>
      <c r="F27" s="161">
        <f>IF(C27=0,0,E27/C27)</f>
        <v>0.14240773482767816</v>
      </c>
    </row>
    <row r="28" spans="1:6" ht="15" customHeight="1" x14ac:dyDescent="0.2">
      <c r="A28" s="147">
        <v>2</v>
      </c>
      <c r="B28" s="160" t="s">
        <v>167</v>
      </c>
      <c r="C28" s="157">
        <v>17482692</v>
      </c>
      <c r="D28" s="157">
        <v>14241190</v>
      </c>
      <c r="E28" s="157">
        <f>+D28-C28</f>
        <v>-3241502</v>
      </c>
      <c r="F28" s="161">
        <f>IF(C28=0,0,E28/C28)</f>
        <v>-0.18541206354261688</v>
      </c>
    </row>
    <row r="29" spans="1:6" ht="15" customHeight="1" x14ac:dyDescent="0.2">
      <c r="A29" s="147">
        <v>3</v>
      </c>
      <c r="B29" s="160" t="s">
        <v>168</v>
      </c>
      <c r="C29" s="157">
        <v>17083878</v>
      </c>
      <c r="D29" s="157">
        <v>17328729</v>
      </c>
      <c r="E29" s="157">
        <f>+D29-C29</f>
        <v>244851</v>
      </c>
      <c r="F29" s="161">
        <f>IF(C29=0,0,E29/C29)</f>
        <v>1.4332284508236362E-2</v>
      </c>
    </row>
    <row r="30" spans="1:6" ht="15.75" customHeight="1" x14ac:dyDescent="0.25">
      <c r="A30" s="147"/>
      <c r="B30" s="162" t="s">
        <v>169</v>
      </c>
      <c r="C30" s="158">
        <f>SUM(C27:C29)</f>
        <v>39186298</v>
      </c>
      <c r="D30" s="158">
        <f>SUM(D27:D29)</f>
        <v>36847532</v>
      </c>
      <c r="E30" s="158">
        <f>+D30-C30</f>
        <v>-2338766</v>
      </c>
      <c r="F30" s="159">
        <f>IF(C30=0,0,E30/C30)</f>
        <v>-5.9683259694498315E-2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35015591</v>
      </c>
      <c r="D33" s="157">
        <v>34366657</v>
      </c>
      <c r="E33" s="157">
        <f>+D33-C33</f>
        <v>-648934</v>
      </c>
      <c r="F33" s="161">
        <f>IF(C33=0,0,E33/C33)</f>
        <v>-1.8532715897898167E-2</v>
      </c>
    </row>
    <row r="34" spans="1:6" ht="15" customHeight="1" x14ac:dyDescent="0.2">
      <c r="A34" s="147">
        <v>2</v>
      </c>
      <c r="B34" s="160" t="s">
        <v>173</v>
      </c>
      <c r="C34" s="157">
        <v>17301085</v>
      </c>
      <c r="D34" s="157">
        <v>16641267</v>
      </c>
      <c r="E34" s="157">
        <f>+D34-C34</f>
        <v>-659818</v>
      </c>
      <c r="F34" s="161">
        <f>IF(C34=0,0,E34/C34)</f>
        <v>-3.8137376933296378E-2</v>
      </c>
    </row>
    <row r="35" spans="1:6" ht="15.75" customHeight="1" x14ac:dyDescent="0.25">
      <c r="A35" s="147"/>
      <c r="B35" s="162" t="s">
        <v>174</v>
      </c>
      <c r="C35" s="158">
        <f>SUM(C33:C34)</f>
        <v>52316676</v>
      </c>
      <c r="D35" s="158">
        <f>SUM(D33:D34)</f>
        <v>51007924</v>
      </c>
      <c r="E35" s="158">
        <f>+D35-C35</f>
        <v>-1308752</v>
      </c>
      <c r="F35" s="159">
        <f>IF(C35=0,0,E35/C35)</f>
        <v>-2.5015962405562617E-2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2795076</v>
      </c>
      <c r="D38" s="157">
        <v>2739885</v>
      </c>
      <c r="E38" s="157">
        <f>+D38-C38</f>
        <v>-55191</v>
      </c>
      <c r="F38" s="161">
        <f>IF(C38=0,0,E38/C38)</f>
        <v>-1.9745795820936534E-2</v>
      </c>
    </row>
    <row r="39" spans="1:6" ht="15" customHeight="1" x14ac:dyDescent="0.2">
      <c r="A39" s="147">
        <v>2</v>
      </c>
      <c r="B39" s="160" t="s">
        <v>178</v>
      </c>
      <c r="C39" s="157">
        <v>6176535</v>
      </c>
      <c r="D39" s="157">
        <v>6761082</v>
      </c>
      <c r="E39" s="157">
        <f>+D39-C39</f>
        <v>584547</v>
      </c>
      <c r="F39" s="161">
        <f>IF(C39=0,0,E39/C39)</f>
        <v>9.4639955897602782E-2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8971611</v>
      </c>
      <c r="D41" s="158">
        <f>SUM(D38:D40)</f>
        <v>9500967</v>
      </c>
      <c r="E41" s="158">
        <f>+D41-C41</f>
        <v>529356</v>
      </c>
      <c r="F41" s="159">
        <f>IF(C41=0,0,E41/C41)</f>
        <v>5.9003449882078035E-2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5464999</v>
      </c>
      <c r="D44" s="157">
        <v>0</v>
      </c>
      <c r="E44" s="157">
        <f>+D44-C44</f>
        <v>-5464999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64233</v>
      </c>
      <c r="D47" s="157">
        <v>0</v>
      </c>
      <c r="E47" s="157">
        <f>+D47-C47</f>
        <v>-64233</v>
      </c>
      <c r="F47" s="161">
        <f>IF(C47=0,0,E47/C47)</f>
        <v>-1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3413844</v>
      </c>
      <c r="D50" s="157">
        <v>3672492</v>
      </c>
      <c r="E50" s="157">
        <f>+D50-C50</f>
        <v>258648</v>
      </c>
      <c r="F50" s="161">
        <f>IF(C50=0,0,E50/C50)</f>
        <v>7.5764446178559999E-2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78771</v>
      </c>
      <c r="D53" s="157">
        <v>75950</v>
      </c>
      <c r="E53" s="157">
        <f t="shared" ref="E53:E59" si="0">+D53-C53</f>
        <v>-2821</v>
      </c>
      <c r="F53" s="161">
        <f t="shared" ref="F53:F59" si="1">IF(C53=0,0,E53/C53)</f>
        <v>-3.5812672176308541E-2</v>
      </c>
    </row>
    <row r="54" spans="1:6" ht="15" customHeight="1" x14ac:dyDescent="0.2">
      <c r="A54" s="147">
        <v>2</v>
      </c>
      <c r="B54" s="160" t="s">
        <v>189</v>
      </c>
      <c r="C54" s="157">
        <v>400333</v>
      </c>
      <c r="D54" s="157">
        <v>351215</v>
      </c>
      <c r="E54" s="157">
        <f t="shared" si="0"/>
        <v>-49118</v>
      </c>
      <c r="F54" s="161">
        <f t="shared" si="1"/>
        <v>-0.1226928581955522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2137323</v>
      </c>
      <c r="D56" s="157">
        <v>1478406</v>
      </c>
      <c r="E56" s="157">
        <f t="shared" si="0"/>
        <v>-658917</v>
      </c>
      <c r="F56" s="161">
        <f t="shared" si="1"/>
        <v>-0.30829079179889984</v>
      </c>
    </row>
    <row r="57" spans="1:6" ht="15" customHeight="1" x14ac:dyDescent="0.2">
      <c r="A57" s="147">
        <v>5</v>
      </c>
      <c r="B57" s="160" t="s">
        <v>192</v>
      </c>
      <c r="C57" s="157">
        <v>704209</v>
      </c>
      <c r="D57" s="157">
        <v>707167</v>
      </c>
      <c r="E57" s="157">
        <f t="shared" si="0"/>
        <v>2958</v>
      </c>
      <c r="F57" s="161">
        <f t="shared" si="1"/>
        <v>4.2004575346239539E-3</v>
      </c>
    </row>
    <row r="58" spans="1:6" ht="15" customHeight="1" x14ac:dyDescent="0.2">
      <c r="A58" s="147">
        <v>6</v>
      </c>
      <c r="B58" s="160" t="s">
        <v>193</v>
      </c>
      <c r="C58" s="157">
        <v>70170</v>
      </c>
      <c r="D58" s="157">
        <v>80179</v>
      </c>
      <c r="E58" s="157">
        <f t="shared" si="0"/>
        <v>10009</v>
      </c>
      <c r="F58" s="161">
        <f t="shared" si="1"/>
        <v>0.14263930454610232</v>
      </c>
    </row>
    <row r="59" spans="1:6" ht="15.75" customHeight="1" x14ac:dyDescent="0.25">
      <c r="A59" s="147"/>
      <c r="B59" s="162" t="s">
        <v>194</v>
      </c>
      <c r="C59" s="158">
        <f>SUM(C53:C58)</f>
        <v>3390806</v>
      </c>
      <c r="D59" s="158">
        <f>SUM(D53:D58)</f>
        <v>2692917</v>
      </c>
      <c r="E59" s="158">
        <f t="shared" si="0"/>
        <v>-697889</v>
      </c>
      <c r="F59" s="159">
        <f t="shared" si="1"/>
        <v>-0.20581802674644317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79430</v>
      </c>
      <c r="D62" s="157">
        <v>101642</v>
      </c>
      <c r="E62" s="157">
        <f t="shared" ref="E62:E90" si="2">+D62-C62</f>
        <v>22212</v>
      </c>
      <c r="F62" s="161">
        <f t="shared" ref="F62:F90" si="3">IF(C62=0,0,E62/C62)</f>
        <v>0.27964245247387637</v>
      </c>
    </row>
    <row r="63" spans="1:6" ht="15" customHeight="1" x14ac:dyDescent="0.2">
      <c r="A63" s="147">
        <v>2</v>
      </c>
      <c r="B63" s="160" t="s">
        <v>198</v>
      </c>
      <c r="C63" s="157">
        <v>421336</v>
      </c>
      <c r="D63" s="157">
        <v>230760</v>
      </c>
      <c r="E63" s="157">
        <f t="shared" si="2"/>
        <v>-190576</v>
      </c>
      <c r="F63" s="161">
        <f t="shared" si="3"/>
        <v>-0.45231359295194334</v>
      </c>
    </row>
    <row r="64" spans="1:6" ht="15" customHeight="1" x14ac:dyDescent="0.2">
      <c r="A64" s="147">
        <v>3</v>
      </c>
      <c r="B64" s="160" t="s">
        <v>199</v>
      </c>
      <c r="C64" s="157">
        <v>0</v>
      </c>
      <c r="D64" s="157">
        <v>0</v>
      </c>
      <c r="E64" s="157">
        <f t="shared" si="2"/>
        <v>0</v>
      </c>
      <c r="F64" s="161">
        <f t="shared" si="3"/>
        <v>0</v>
      </c>
    </row>
    <row r="65" spans="1:6" ht="15" customHeight="1" x14ac:dyDescent="0.2">
      <c r="A65" s="147">
        <v>4</v>
      </c>
      <c r="B65" s="160" t="s">
        <v>200</v>
      </c>
      <c r="C65" s="157">
        <v>873708</v>
      </c>
      <c r="D65" s="157">
        <v>728859</v>
      </c>
      <c r="E65" s="157">
        <f t="shared" si="2"/>
        <v>-144849</v>
      </c>
      <c r="F65" s="161">
        <f t="shared" si="3"/>
        <v>-0.1657865099094892</v>
      </c>
    </row>
    <row r="66" spans="1:6" ht="15" customHeight="1" x14ac:dyDescent="0.2">
      <c r="A66" s="147">
        <v>5</v>
      </c>
      <c r="B66" s="160" t="s">
        <v>201</v>
      </c>
      <c r="C66" s="157">
        <v>1699890</v>
      </c>
      <c r="D66" s="157">
        <v>1836090</v>
      </c>
      <c r="E66" s="157">
        <f t="shared" si="2"/>
        <v>136200</v>
      </c>
      <c r="F66" s="161">
        <f t="shared" si="3"/>
        <v>8.0122831477330889E-2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6815697</v>
      </c>
      <c r="D68" s="157">
        <v>7671014</v>
      </c>
      <c r="E68" s="157">
        <f t="shared" si="2"/>
        <v>855317</v>
      </c>
      <c r="F68" s="161">
        <f t="shared" si="3"/>
        <v>0.1254922277208039</v>
      </c>
    </row>
    <row r="69" spans="1:6" ht="15" customHeight="1" x14ac:dyDescent="0.2">
      <c r="A69" s="147">
        <v>8</v>
      </c>
      <c r="B69" s="160" t="s">
        <v>204</v>
      </c>
      <c r="C69" s="157">
        <v>312779</v>
      </c>
      <c r="D69" s="157">
        <v>349811</v>
      </c>
      <c r="E69" s="157">
        <f t="shared" si="2"/>
        <v>37032</v>
      </c>
      <c r="F69" s="161">
        <f t="shared" si="3"/>
        <v>0.1183966954303198</v>
      </c>
    </row>
    <row r="70" spans="1:6" ht="15" customHeight="1" x14ac:dyDescent="0.2">
      <c r="A70" s="147">
        <v>9</v>
      </c>
      <c r="B70" s="160" t="s">
        <v>205</v>
      </c>
      <c r="C70" s="157">
        <v>139616</v>
      </c>
      <c r="D70" s="157">
        <v>153655</v>
      </c>
      <c r="E70" s="157">
        <f t="shared" si="2"/>
        <v>14039</v>
      </c>
      <c r="F70" s="161">
        <f t="shared" si="3"/>
        <v>0.10055437772175109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0</v>
      </c>
      <c r="D73" s="157">
        <v>0</v>
      </c>
      <c r="E73" s="157">
        <f t="shared" si="2"/>
        <v>0</v>
      </c>
      <c r="F73" s="161">
        <f t="shared" si="3"/>
        <v>0</v>
      </c>
    </row>
    <row r="74" spans="1:6" ht="15" customHeight="1" x14ac:dyDescent="0.2">
      <c r="A74" s="147">
        <v>13</v>
      </c>
      <c r="B74" s="160" t="s">
        <v>209</v>
      </c>
      <c r="C74" s="157">
        <v>529288</v>
      </c>
      <c r="D74" s="157">
        <v>294817</v>
      </c>
      <c r="E74" s="157">
        <f t="shared" si="2"/>
        <v>-234471</v>
      </c>
      <c r="F74" s="161">
        <f t="shared" si="3"/>
        <v>-0.44299322863922858</v>
      </c>
    </row>
    <row r="75" spans="1:6" ht="15" customHeight="1" x14ac:dyDescent="0.2">
      <c r="A75" s="147">
        <v>14</v>
      </c>
      <c r="B75" s="160" t="s">
        <v>210</v>
      </c>
      <c r="C75" s="157">
        <v>310179</v>
      </c>
      <c r="D75" s="157">
        <v>115696</v>
      </c>
      <c r="E75" s="157">
        <f t="shared" si="2"/>
        <v>-194483</v>
      </c>
      <c r="F75" s="161">
        <f t="shared" si="3"/>
        <v>-0.62700247276572563</v>
      </c>
    </row>
    <row r="76" spans="1:6" ht="15" customHeight="1" x14ac:dyDescent="0.2">
      <c r="A76" s="147">
        <v>15</v>
      </c>
      <c r="B76" s="160" t="s">
        <v>211</v>
      </c>
      <c r="C76" s="157">
        <v>1572950</v>
      </c>
      <c r="D76" s="157">
        <v>1353610</v>
      </c>
      <c r="E76" s="157">
        <f t="shared" si="2"/>
        <v>-219340</v>
      </c>
      <c r="F76" s="161">
        <f t="shared" si="3"/>
        <v>-0.1394449918942115</v>
      </c>
    </row>
    <row r="77" spans="1:6" ht="15" customHeight="1" x14ac:dyDescent="0.2">
      <c r="A77" s="147">
        <v>16</v>
      </c>
      <c r="B77" s="160" t="s">
        <v>212</v>
      </c>
      <c r="C77" s="157">
        <v>2798360</v>
      </c>
      <c r="D77" s="157">
        <v>3378080</v>
      </c>
      <c r="E77" s="157">
        <f t="shared" si="2"/>
        <v>579720</v>
      </c>
      <c r="F77" s="161">
        <f t="shared" si="3"/>
        <v>0.20716419617204362</v>
      </c>
    </row>
    <row r="78" spans="1:6" ht="15" customHeight="1" x14ac:dyDescent="0.2">
      <c r="A78" s="147">
        <v>17</v>
      </c>
      <c r="B78" s="160" t="s">
        <v>213</v>
      </c>
      <c r="C78" s="157">
        <v>2840419</v>
      </c>
      <c r="D78" s="157">
        <v>2763201</v>
      </c>
      <c r="E78" s="157">
        <f t="shared" si="2"/>
        <v>-77218</v>
      </c>
      <c r="F78" s="161">
        <f t="shared" si="3"/>
        <v>-2.718542581217771E-2</v>
      </c>
    </row>
    <row r="79" spans="1:6" ht="15" customHeight="1" x14ac:dyDescent="0.2">
      <c r="A79" s="147">
        <v>18</v>
      </c>
      <c r="B79" s="160" t="s">
        <v>214</v>
      </c>
      <c r="C79" s="157">
        <v>10470</v>
      </c>
      <c r="D79" s="157">
        <v>94976</v>
      </c>
      <c r="E79" s="157">
        <f t="shared" si="2"/>
        <v>84506</v>
      </c>
      <c r="F79" s="161">
        <f t="shared" si="3"/>
        <v>8.0712511938872975</v>
      </c>
    </row>
    <row r="80" spans="1:6" ht="15" customHeight="1" x14ac:dyDescent="0.2">
      <c r="A80" s="147">
        <v>19</v>
      </c>
      <c r="B80" s="160" t="s">
        <v>215</v>
      </c>
      <c r="C80" s="157">
        <v>3163957</v>
      </c>
      <c r="D80" s="157">
        <v>4455528</v>
      </c>
      <c r="E80" s="157">
        <f t="shared" si="2"/>
        <v>1291571</v>
      </c>
      <c r="F80" s="161">
        <f t="shared" si="3"/>
        <v>0.40821382844330689</v>
      </c>
    </row>
    <row r="81" spans="1:6" ht="15" customHeight="1" x14ac:dyDescent="0.2">
      <c r="A81" s="147">
        <v>20</v>
      </c>
      <c r="B81" s="160" t="s">
        <v>216</v>
      </c>
      <c r="C81" s="157">
        <v>1877872</v>
      </c>
      <c r="D81" s="157">
        <v>1864677</v>
      </c>
      <c r="E81" s="157">
        <f t="shared" si="2"/>
        <v>-13195</v>
      </c>
      <c r="F81" s="161">
        <f t="shared" si="3"/>
        <v>-7.0265705010778157E-3</v>
      </c>
    </row>
    <row r="82" spans="1:6" ht="15" customHeight="1" x14ac:dyDescent="0.2">
      <c r="A82" s="147">
        <v>21</v>
      </c>
      <c r="B82" s="160" t="s">
        <v>217</v>
      </c>
      <c r="C82" s="157">
        <v>323971</v>
      </c>
      <c r="D82" s="157">
        <v>331134</v>
      </c>
      <c r="E82" s="157">
        <f t="shared" si="2"/>
        <v>7163</v>
      </c>
      <c r="F82" s="161">
        <f t="shared" si="3"/>
        <v>2.2110003673168278E-2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756359</v>
      </c>
      <c r="D84" s="157">
        <v>896100</v>
      </c>
      <c r="E84" s="157">
        <f t="shared" si="2"/>
        <v>139741</v>
      </c>
      <c r="F84" s="161">
        <f t="shared" si="3"/>
        <v>0.18475485847329112</v>
      </c>
    </row>
    <row r="85" spans="1:6" ht="15" customHeight="1" x14ac:dyDescent="0.2">
      <c r="A85" s="147">
        <v>24</v>
      </c>
      <c r="B85" s="160" t="s">
        <v>220</v>
      </c>
      <c r="C85" s="157">
        <v>320452</v>
      </c>
      <c r="D85" s="157">
        <v>687214</v>
      </c>
      <c r="E85" s="157">
        <f t="shared" si="2"/>
        <v>366762</v>
      </c>
      <c r="F85" s="161">
        <f t="shared" si="3"/>
        <v>1.1445146230948784</v>
      </c>
    </row>
    <row r="86" spans="1:6" ht="15" customHeight="1" x14ac:dyDescent="0.2">
      <c r="A86" s="147">
        <v>25</v>
      </c>
      <c r="B86" s="160" t="s">
        <v>221</v>
      </c>
      <c r="C86" s="157">
        <v>1537</v>
      </c>
      <c r="D86" s="157">
        <v>2020</v>
      </c>
      <c r="E86" s="157">
        <f t="shared" si="2"/>
        <v>483</v>
      </c>
      <c r="F86" s="161">
        <f t="shared" si="3"/>
        <v>0.31424853610930381</v>
      </c>
    </row>
    <row r="87" spans="1:6" ht="15" customHeight="1" x14ac:dyDescent="0.2">
      <c r="A87" s="147">
        <v>26</v>
      </c>
      <c r="B87" s="160" t="s">
        <v>222</v>
      </c>
      <c r="C87" s="157">
        <v>3083095</v>
      </c>
      <c r="D87" s="157">
        <v>2883183</v>
      </c>
      <c r="E87" s="157">
        <f t="shared" si="2"/>
        <v>-199912</v>
      </c>
      <c r="F87" s="161">
        <f t="shared" si="3"/>
        <v>-6.4841336384379986E-2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7886499</v>
      </c>
      <c r="D89" s="157">
        <v>9757249</v>
      </c>
      <c r="E89" s="157">
        <f t="shared" si="2"/>
        <v>1870750</v>
      </c>
      <c r="F89" s="161">
        <f t="shared" si="3"/>
        <v>0.23720918496280796</v>
      </c>
    </row>
    <row r="90" spans="1:6" ht="15.75" customHeight="1" x14ac:dyDescent="0.25">
      <c r="A90" s="147"/>
      <c r="B90" s="162" t="s">
        <v>225</v>
      </c>
      <c r="C90" s="158">
        <f>SUM(C62:C89)</f>
        <v>35817864</v>
      </c>
      <c r="D90" s="158">
        <f>SUM(D62:D89)</f>
        <v>39949316</v>
      </c>
      <c r="E90" s="158">
        <f t="shared" si="2"/>
        <v>4131452</v>
      </c>
      <c r="F90" s="159">
        <f t="shared" si="3"/>
        <v>0.11534613007632169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2729701</v>
      </c>
      <c r="D93" s="157">
        <v>4514577</v>
      </c>
      <c r="E93" s="157">
        <f>+D93-C93</f>
        <v>1784876</v>
      </c>
      <c r="F93" s="161">
        <f>IF(C93=0,0,E93/C93)</f>
        <v>0.65387234719113929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303434488</v>
      </c>
      <c r="D95" s="158">
        <f>+D93+D90+D59+D50+D47+D44+D41+D35+D30+D24+D18</f>
        <v>309096761</v>
      </c>
      <c r="E95" s="158">
        <f>+D95-C95</f>
        <v>5662273</v>
      </c>
      <c r="F95" s="159">
        <f>IF(C95=0,0,E95/C95)</f>
        <v>1.8660611182734113E-2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9665777</v>
      </c>
      <c r="D103" s="157">
        <v>10890199</v>
      </c>
      <c r="E103" s="157">
        <f t="shared" ref="E103:E121" si="4">D103-C103</f>
        <v>1224422</v>
      </c>
      <c r="F103" s="161">
        <f t="shared" ref="F103:F121" si="5">IF(C103=0,0,E103/C103)</f>
        <v>0.12667600338803595</v>
      </c>
    </row>
    <row r="104" spans="1:6" ht="15" customHeight="1" x14ac:dyDescent="0.2">
      <c r="A104" s="147">
        <v>2</v>
      </c>
      <c r="B104" s="169" t="s">
        <v>234</v>
      </c>
      <c r="C104" s="157">
        <v>407757</v>
      </c>
      <c r="D104" s="157">
        <v>180630</v>
      </c>
      <c r="E104" s="157">
        <f t="shared" si="4"/>
        <v>-227127</v>
      </c>
      <c r="F104" s="161">
        <f t="shared" si="5"/>
        <v>-0.55701557545302716</v>
      </c>
    </row>
    <row r="105" spans="1:6" ht="15" customHeight="1" x14ac:dyDescent="0.2">
      <c r="A105" s="147">
        <v>3</v>
      </c>
      <c r="B105" s="169" t="s">
        <v>235</v>
      </c>
      <c r="C105" s="157">
        <v>10296082</v>
      </c>
      <c r="D105" s="157">
        <v>4607862</v>
      </c>
      <c r="E105" s="157">
        <f t="shared" si="4"/>
        <v>-5688220</v>
      </c>
      <c r="F105" s="161">
        <f t="shared" si="5"/>
        <v>-0.55246451999896662</v>
      </c>
    </row>
    <row r="106" spans="1:6" ht="15" customHeight="1" x14ac:dyDescent="0.2">
      <c r="A106" s="147">
        <v>4</v>
      </c>
      <c r="B106" s="169" t="s">
        <v>236</v>
      </c>
      <c r="C106" s="157">
        <v>2102770</v>
      </c>
      <c r="D106" s="157">
        <v>2399275</v>
      </c>
      <c r="E106" s="157">
        <f t="shared" si="4"/>
        <v>296505</v>
      </c>
      <c r="F106" s="161">
        <f t="shared" si="5"/>
        <v>0.14100686237676968</v>
      </c>
    </row>
    <row r="107" spans="1:6" ht="15" customHeight="1" x14ac:dyDescent="0.2">
      <c r="A107" s="147">
        <v>5</v>
      </c>
      <c r="B107" s="169" t="s">
        <v>237</v>
      </c>
      <c r="C107" s="157">
        <v>2061049</v>
      </c>
      <c r="D107" s="157">
        <v>3704478</v>
      </c>
      <c r="E107" s="157">
        <f t="shared" si="4"/>
        <v>1643429</v>
      </c>
      <c r="F107" s="161">
        <f t="shared" si="5"/>
        <v>0.79737502601830423</v>
      </c>
    </row>
    <row r="108" spans="1:6" ht="15" customHeight="1" x14ac:dyDescent="0.2">
      <c r="A108" s="147">
        <v>6</v>
      </c>
      <c r="B108" s="169" t="s">
        <v>238</v>
      </c>
      <c r="C108" s="157">
        <v>363089</v>
      </c>
      <c r="D108" s="157">
        <v>393733</v>
      </c>
      <c r="E108" s="157">
        <f t="shared" si="4"/>
        <v>30644</v>
      </c>
      <c r="F108" s="161">
        <f t="shared" si="5"/>
        <v>8.4398040149935696E-2</v>
      </c>
    </row>
    <row r="109" spans="1:6" ht="15" customHeight="1" x14ac:dyDescent="0.2">
      <c r="A109" s="147">
        <v>7</v>
      </c>
      <c r="B109" s="169" t="s">
        <v>239</v>
      </c>
      <c r="C109" s="157">
        <v>257399</v>
      </c>
      <c r="D109" s="157">
        <v>161495</v>
      </c>
      <c r="E109" s="157">
        <f t="shared" si="4"/>
        <v>-95904</v>
      </c>
      <c r="F109" s="161">
        <f t="shared" si="5"/>
        <v>-0.3725888600965816</v>
      </c>
    </row>
    <row r="110" spans="1:6" ht="15" customHeight="1" x14ac:dyDescent="0.2">
      <c r="A110" s="147">
        <v>8</v>
      </c>
      <c r="B110" s="169" t="s">
        <v>240</v>
      </c>
      <c r="C110" s="157">
        <v>321602</v>
      </c>
      <c r="D110" s="157">
        <v>606373</v>
      </c>
      <c r="E110" s="157">
        <f t="shared" si="4"/>
        <v>284771</v>
      </c>
      <c r="F110" s="161">
        <f t="shared" si="5"/>
        <v>0.88547645847973577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3334877</v>
      </c>
      <c r="D112" s="157">
        <v>4659341</v>
      </c>
      <c r="E112" s="157">
        <f t="shared" si="4"/>
        <v>1324464</v>
      </c>
      <c r="F112" s="161">
        <f t="shared" si="5"/>
        <v>0.39715527739104023</v>
      </c>
    </row>
    <row r="113" spans="1:6" ht="15" customHeight="1" x14ac:dyDescent="0.2">
      <c r="A113" s="147">
        <v>11</v>
      </c>
      <c r="B113" s="169" t="s">
        <v>243</v>
      </c>
      <c r="C113" s="157">
        <v>4128232</v>
      </c>
      <c r="D113" s="157">
        <v>4797961</v>
      </c>
      <c r="E113" s="157">
        <f t="shared" si="4"/>
        <v>669729</v>
      </c>
      <c r="F113" s="161">
        <f t="shared" si="5"/>
        <v>0.16223143466743148</v>
      </c>
    </row>
    <row r="114" spans="1:6" ht="15" customHeight="1" x14ac:dyDescent="0.2">
      <c r="A114" s="147">
        <v>12</v>
      </c>
      <c r="B114" s="169" t="s">
        <v>244</v>
      </c>
      <c r="C114" s="157">
        <v>881677</v>
      </c>
      <c r="D114" s="157">
        <v>1063753</v>
      </c>
      <c r="E114" s="157">
        <f t="shared" si="4"/>
        <v>182076</v>
      </c>
      <c r="F114" s="161">
        <f t="shared" si="5"/>
        <v>0.20651100119431492</v>
      </c>
    </row>
    <row r="115" spans="1:6" ht="15" customHeight="1" x14ac:dyDescent="0.2">
      <c r="A115" s="147">
        <v>13</v>
      </c>
      <c r="B115" s="169" t="s">
        <v>245</v>
      </c>
      <c r="C115" s="157">
        <v>4740168</v>
      </c>
      <c r="D115" s="157">
        <v>4218074</v>
      </c>
      <c r="E115" s="157">
        <f t="shared" si="4"/>
        <v>-522094</v>
      </c>
      <c r="F115" s="161">
        <f t="shared" si="5"/>
        <v>-0.11014250971695518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4101010</v>
      </c>
      <c r="D117" s="157">
        <v>4182427</v>
      </c>
      <c r="E117" s="157">
        <f t="shared" si="4"/>
        <v>81417</v>
      </c>
      <c r="F117" s="161">
        <f t="shared" si="5"/>
        <v>1.9852914282091485E-2</v>
      </c>
    </row>
    <row r="118" spans="1:6" ht="15" customHeight="1" x14ac:dyDescent="0.2">
      <c r="A118" s="147">
        <v>16</v>
      </c>
      <c r="B118" s="169" t="s">
        <v>247</v>
      </c>
      <c r="C118" s="157">
        <v>1816059</v>
      </c>
      <c r="D118" s="157">
        <v>2428785</v>
      </c>
      <c r="E118" s="157">
        <f t="shared" si="4"/>
        <v>612726</v>
      </c>
      <c r="F118" s="161">
        <f t="shared" si="5"/>
        <v>0.33739322345804845</v>
      </c>
    </row>
    <row r="119" spans="1:6" ht="15" customHeight="1" x14ac:dyDescent="0.2">
      <c r="A119" s="147">
        <v>17</v>
      </c>
      <c r="B119" s="169" t="s">
        <v>248</v>
      </c>
      <c r="C119" s="157">
        <v>22588514</v>
      </c>
      <c r="D119" s="157">
        <v>21647206</v>
      </c>
      <c r="E119" s="157">
        <f t="shared" si="4"/>
        <v>-941308</v>
      </c>
      <c r="F119" s="161">
        <f t="shared" si="5"/>
        <v>-4.167197541192838E-2</v>
      </c>
    </row>
    <row r="120" spans="1:6" ht="15" customHeight="1" x14ac:dyDescent="0.2">
      <c r="A120" s="147">
        <v>18</v>
      </c>
      <c r="B120" s="169" t="s">
        <v>249</v>
      </c>
      <c r="C120" s="157">
        <v>13192751</v>
      </c>
      <c r="D120" s="157">
        <v>14127204</v>
      </c>
      <c r="E120" s="157">
        <f t="shared" si="4"/>
        <v>934453</v>
      </c>
      <c r="F120" s="161">
        <f t="shared" si="5"/>
        <v>7.083079184925116E-2</v>
      </c>
    </row>
    <row r="121" spans="1:6" ht="15.75" customHeight="1" x14ac:dyDescent="0.25">
      <c r="A121" s="147"/>
      <c r="B121" s="165" t="s">
        <v>250</v>
      </c>
      <c r="C121" s="158">
        <f>SUM(C103:C120)</f>
        <v>80258813</v>
      </c>
      <c r="D121" s="158">
        <f>SUM(D103:D120)</f>
        <v>80068796</v>
      </c>
      <c r="E121" s="158">
        <f t="shared" si="4"/>
        <v>-190017</v>
      </c>
      <c r="F121" s="159">
        <f t="shared" si="5"/>
        <v>-2.3675530810554099E-3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400179</v>
      </c>
      <c r="D124" s="157">
        <v>451305</v>
      </c>
      <c r="E124" s="157">
        <f t="shared" ref="E124:E130" si="6">D124-C124</f>
        <v>51126</v>
      </c>
      <c r="F124" s="161">
        <f t="shared" ref="F124:F130" si="7">IF(C124=0,0,E124/C124)</f>
        <v>0.12775782837180361</v>
      </c>
    </row>
    <row r="125" spans="1:6" ht="15" customHeight="1" x14ac:dyDescent="0.2">
      <c r="A125" s="147">
        <v>2</v>
      </c>
      <c r="B125" s="169" t="s">
        <v>253</v>
      </c>
      <c r="C125" s="157">
        <v>17504452</v>
      </c>
      <c r="D125" s="157">
        <v>14262924</v>
      </c>
      <c r="E125" s="157">
        <f t="shared" si="6"/>
        <v>-3241528</v>
      </c>
      <c r="F125" s="161">
        <f t="shared" si="7"/>
        <v>-0.18518306085788919</v>
      </c>
    </row>
    <row r="126" spans="1:6" ht="15" customHeight="1" x14ac:dyDescent="0.2">
      <c r="A126" s="147">
        <v>3</v>
      </c>
      <c r="B126" s="169" t="s">
        <v>254</v>
      </c>
      <c r="C126" s="157">
        <v>7116893</v>
      </c>
      <c r="D126" s="157">
        <v>6207278</v>
      </c>
      <c r="E126" s="157">
        <f t="shared" si="6"/>
        <v>-909615</v>
      </c>
      <c r="F126" s="161">
        <f t="shared" si="7"/>
        <v>-0.12781068929938949</v>
      </c>
    </row>
    <row r="127" spans="1:6" ht="15" customHeight="1" x14ac:dyDescent="0.2">
      <c r="A127" s="147">
        <v>4</v>
      </c>
      <c r="B127" s="169" t="s">
        <v>255</v>
      </c>
      <c r="C127" s="157">
        <v>7111655</v>
      </c>
      <c r="D127" s="157">
        <v>7447560</v>
      </c>
      <c r="E127" s="157">
        <f t="shared" si="6"/>
        <v>335905</v>
      </c>
      <c r="F127" s="161">
        <f t="shared" si="7"/>
        <v>4.7233028036371277E-2</v>
      </c>
    </row>
    <row r="128" spans="1:6" ht="15" customHeight="1" x14ac:dyDescent="0.2">
      <c r="A128" s="147">
        <v>5</v>
      </c>
      <c r="B128" s="169" t="s">
        <v>256</v>
      </c>
      <c r="C128" s="157">
        <v>778605</v>
      </c>
      <c r="D128" s="157">
        <v>970269</v>
      </c>
      <c r="E128" s="157">
        <f t="shared" si="6"/>
        <v>191664</v>
      </c>
      <c r="F128" s="161">
        <f t="shared" si="7"/>
        <v>0.2461633305719845</v>
      </c>
    </row>
    <row r="129" spans="1:6" ht="15" customHeight="1" x14ac:dyDescent="0.2">
      <c r="A129" s="147">
        <v>6</v>
      </c>
      <c r="B129" s="169" t="s">
        <v>257</v>
      </c>
      <c r="C129" s="157">
        <v>3142653</v>
      </c>
      <c r="D129" s="157">
        <v>3283758</v>
      </c>
      <c r="E129" s="157">
        <f t="shared" si="6"/>
        <v>141105</v>
      </c>
      <c r="F129" s="161">
        <f t="shared" si="7"/>
        <v>4.4899961911162321E-2</v>
      </c>
    </row>
    <row r="130" spans="1:6" ht="15.75" customHeight="1" x14ac:dyDescent="0.25">
      <c r="A130" s="147"/>
      <c r="B130" s="165" t="s">
        <v>258</v>
      </c>
      <c r="C130" s="158">
        <f>SUM(C124:C129)</f>
        <v>36054437</v>
      </c>
      <c r="D130" s="158">
        <f>SUM(D124:D129)</f>
        <v>32623094</v>
      </c>
      <c r="E130" s="158">
        <f t="shared" si="6"/>
        <v>-3431343</v>
      </c>
      <c r="F130" s="159">
        <f t="shared" si="7"/>
        <v>-9.5171171304103297E-2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25297699</v>
      </c>
      <c r="D133" s="157">
        <v>25371176</v>
      </c>
      <c r="E133" s="157">
        <f t="shared" ref="E133:E167" si="8">D133-C133</f>
        <v>73477</v>
      </c>
      <c r="F133" s="161">
        <f t="shared" ref="F133:F167" si="9">IF(C133=0,0,E133/C133)</f>
        <v>2.9044934086693021E-3</v>
      </c>
    </row>
    <row r="134" spans="1:6" ht="15" customHeight="1" x14ac:dyDescent="0.2">
      <c r="A134" s="147">
        <v>2</v>
      </c>
      <c r="B134" s="169" t="s">
        <v>261</v>
      </c>
      <c r="C134" s="157">
        <v>3449656</v>
      </c>
      <c r="D134" s="157">
        <v>3668670</v>
      </c>
      <c r="E134" s="157">
        <f t="shared" si="8"/>
        <v>219014</v>
      </c>
      <c r="F134" s="161">
        <f t="shared" si="9"/>
        <v>6.3488649303002964E-2</v>
      </c>
    </row>
    <row r="135" spans="1:6" ht="15" customHeight="1" x14ac:dyDescent="0.2">
      <c r="A135" s="147">
        <v>3</v>
      </c>
      <c r="B135" s="169" t="s">
        <v>262</v>
      </c>
      <c r="C135" s="157">
        <v>2923864</v>
      </c>
      <c r="D135" s="157">
        <v>4005777</v>
      </c>
      <c r="E135" s="157">
        <f t="shared" si="8"/>
        <v>1081913</v>
      </c>
      <c r="F135" s="161">
        <f t="shared" si="9"/>
        <v>0.37002849653745867</v>
      </c>
    </row>
    <row r="136" spans="1:6" ht="15" customHeight="1" x14ac:dyDescent="0.2">
      <c r="A136" s="147">
        <v>4</v>
      </c>
      <c r="B136" s="169" t="s">
        <v>263</v>
      </c>
      <c r="C136" s="157">
        <v>2902226</v>
      </c>
      <c r="D136" s="157">
        <v>2969860</v>
      </c>
      <c r="E136" s="157">
        <f t="shared" si="8"/>
        <v>67634</v>
      </c>
      <c r="F136" s="161">
        <f t="shared" si="9"/>
        <v>2.3304180997620449E-2</v>
      </c>
    </row>
    <row r="137" spans="1:6" ht="15" customHeight="1" x14ac:dyDescent="0.2">
      <c r="A137" s="147">
        <v>5</v>
      </c>
      <c r="B137" s="169" t="s">
        <v>264</v>
      </c>
      <c r="C137" s="157">
        <v>8368753</v>
      </c>
      <c r="D137" s="157">
        <v>8769176</v>
      </c>
      <c r="E137" s="157">
        <f t="shared" si="8"/>
        <v>400423</v>
      </c>
      <c r="F137" s="161">
        <f t="shared" si="9"/>
        <v>4.7847391361652086E-2</v>
      </c>
    </row>
    <row r="138" spans="1:6" ht="15" customHeight="1" x14ac:dyDescent="0.2">
      <c r="A138" s="147">
        <v>6</v>
      </c>
      <c r="B138" s="169" t="s">
        <v>265</v>
      </c>
      <c r="C138" s="157">
        <v>671833</v>
      </c>
      <c r="D138" s="157">
        <v>688945</v>
      </c>
      <c r="E138" s="157">
        <f t="shared" si="8"/>
        <v>17112</v>
      </c>
      <c r="F138" s="161">
        <f t="shared" si="9"/>
        <v>2.5470615465450493E-2</v>
      </c>
    </row>
    <row r="139" spans="1:6" ht="15" customHeight="1" x14ac:dyDescent="0.2">
      <c r="A139" s="147">
        <v>7</v>
      </c>
      <c r="B139" s="169" t="s">
        <v>266</v>
      </c>
      <c r="C139" s="157">
        <v>1623070</v>
      </c>
      <c r="D139" s="157">
        <v>1940436</v>
      </c>
      <c r="E139" s="157">
        <f t="shared" si="8"/>
        <v>317366</v>
      </c>
      <c r="F139" s="161">
        <f t="shared" si="9"/>
        <v>0.19553438853530655</v>
      </c>
    </row>
    <row r="140" spans="1:6" ht="15" customHeight="1" x14ac:dyDescent="0.2">
      <c r="A140" s="147">
        <v>8</v>
      </c>
      <c r="B140" s="169" t="s">
        <v>267</v>
      </c>
      <c r="C140" s="157">
        <v>1406285</v>
      </c>
      <c r="D140" s="157">
        <v>1325104</v>
      </c>
      <c r="E140" s="157">
        <f t="shared" si="8"/>
        <v>-81181</v>
      </c>
      <c r="F140" s="161">
        <f t="shared" si="9"/>
        <v>-5.7727274343394121E-2</v>
      </c>
    </row>
    <row r="141" spans="1:6" ht="15" customHeight="1" x14ac:dyDescent="0.2">
      <c r="A141" s="147">
        <v>9</v>
      </c>
      <c r="B141" s="169" t="s">
        <v>268</v>
      </c>
      <c r="C141" s="157">
        <v>851004</v>
      </c>
      <c r="D141" s="157">
        <v>723979</v>
      </c>
      <c r="E141" s="157">
        <f t="shared" si="8"/>
        <v>-127025</v>
      </c>
      <c r="F141" s="161">
        <f t="shared" si="9"/>
        <v>-0.14926486832024291</v>
      </c>
    </row>
    <row r="142" spans="1:6" ht="15" customHeight="1" x14ac:dyDescent="0.2">
      <c r="A142" s="147">
        <v>10</v>
      </c>
      <c r="B142" s="169" t="s">
        <v>269</v>
      </c>
      <c r="C142" s="157">
        <v>14029209</v>
      </c>
      <c r="D142" s="157">
        <v>14660224</v>
      </c>
      <c r="E142" s="157">
        <f t="shared" si="8"/>
        <v>631015</v>
      </c>
      <c r="F142" s="161">
        <f t="shared" si="9"/>
        <v>4.4978658454656997E-2</v>
      </c>
    </row>
    <row r="143" spans="1:6" ht="15" customHeight="1" x14ac:dyDescent="0.2">
      <c r="A143" s="147">
        <v>11</v>
      </c>
      <c r="B143" s="169" t="s">
        <v>270</v>
      </c>
      <c r="C143" s="157">
        <v>3004838</v>
      </c>
      <c r="D143" s="157">
        <v>2905095</v>
      </c>
      <c r="E143" s="157">
        <f t="shared" si="8"/>
        <v>-99743</v>
      </c>
      <c r="F143" s="161">
        <f t="shared" si="9"/>
        <v>-3.3194135590670776E-2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3400280</v>
      </c>
      <c r="D145" s="157">
        <v>3987012</v>
      </c>
      <c r="E145" s="157">
        <f t="shared" si="8"/>
        <v>586732</v>
      </c>
      <c r="F145" s="161">
        <f t="shared" si="9"/>
        <v>0.17255402496265013</v>
      </c>
    </row>
    <row r="146" spans="1:6" ht="15" customHeight="1" x14ac:dyDescent="0.2">
      <c r="A146" s="147">
        <v>14</v>
      </c>
      <c r="B146" s="169" t="s">
        <v>273</v>
      </c>
      <c r="C146" s="157">
        <v>307146</v>
      </c>
      <c r="D146" s="157">
        <v>303080</v>
      </c>
      <c r="E146" s="157">
        <f t="shared" si="8"/>
        <v>-4066</v>
      </c>
      <c r="F146" s="161">
        <f t="shared" si="9"/>
        <v>-1.323800407623736E-2</v>
      </c>
    </row>
    <row r="147" spans="1:6" ht="15" customHeight="1" x14ac:dyDescent="0.2">
      <c r="A147" s="147">
        <v>15</v>
      </c>
      <c r="B147" s="169" t="s">
        <v>274</v>
      </c>
      <c r="C147" s="157">
        <v>201984</v>
      </c>
      <c r="D147" s="157">
        <v>0</v>
      </c>
      <c r="E147" s="157">
        <f t="shared" si="8"/>
        <v>-201984</v>
      </c>
      <c r="F147" s="161">
        <f t="shared" si="9"/>
        <v>-1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3476943</v>
      </c>
      <c r="D150" s="157">
        <v>3608250</v>
      </c>
      <c r="E150" s="157">
        <f t="shared" si="8"/>
        <v>131307</v>
      </c>
      <c r="F150" s="161">
        <f t="shared" si="9"/>
        <v>3.7765071213419377E-2</v>
      </c>
    </row>
    <row r="151" spans="1:6" ht="15" customHeight="1" x14ac:dyDescent="0.2">
      <c r="A151" s="147">
        <v>19</v>
      </c>
      <c r="B151" s="169" t="s">
        <v>278</v>
      </c>
      <c r="C151" s="157">
        <v>553830</v>
      </c>
      <c r="D151" s="157">
        <v>525948</v>
      </c>
      <c r="E151" s="157">
        <f t="shared" si="8"/>
        <v>-27882</v>
      </c>
      <c r="F151" s="161">
        <f t="shared" si="9"/>
        <v>-5.0343968365744E-2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216458</v>
      </c>
      <c r="D153" s="157">
        <v>207528</v>
      </c>
      <c r="E153" s="157">
        <f t="shared" si="8"/>
        <v>-8930</v>
      </c>
      <c r="F153" s="161">
        <f t="shared" si="9"/>
        <v>-4.1255116466011883E-2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463962</v>
      </c>
      <c r="D155" s="157">
        <v>376982</v>
      </c>
      <c r="E155" s="157">
        <f t="shared" si="8"/>
        <v>-86980</v>
      </c>
      <c r="F155" s="161">
        <f t="shared" si="9"/>
        <v>-0.18747224988253347</v>
      </c>
    </row>
    <row r="156" spans="1:6" ht="15" customHeight="1" x14ac:dyDescent="0.2">
      <c r="A156" s="147">
        <v>24</v>
      </c>
      <c r="B156" s="169" t="s">
        <v>283</v>
      </c>
      <c r="C156" s="157">
        <v>9582932</v>
      </c>
      <c r="D156" s="157">
        <v>10868436</v>
      </c>
      <c r="E156" s="157">
        <f t="shared" si="8"/>
        <v>1285504</v>
      </c>
      <c r="F156" s="161">
        <f t="shared" si="9"/>
        <v>0.13414516559232603</v>
      </c>
    </row>
    <row r="157" spans="1:6" ht="15" customHeight="1" x14ac:dyDescent="0.2">
      <c r="A157" s="147">
        <v>25</v>
      </c>
      <c r="B157" s="169" t="s">
        <v>284</v>
      </c>
      <c r="C157" s="157">
        <v>694118</v>
      </c>
      <c r="D157" s="157">
        <v>738975</v>
      </c>
      <c r="E157" s="157">
        <f t="shared" si="8"/>
        <v>44857</v>
      </c>
      <c r="F157" s="161">
        <f t="shared" si="9"/>
        <v>6.4624458665529488E-2</v>
      </c>
    </row>
    <row r="158" spans="1:6" ht="15" customHeight="1" x14ac:dyDescent="0.2">
      <c r="A158" s="147">
        <v>26</v>
      </c>
      <c r="B158" s="169" t="s">
        <v>285</v>
      </c>
      <c r="C158" s="157">
        <v>400450</v>
      </c>
      <c r="D158" s="157">
        <v>346158</v>
      </c>
      <c r="E158" s="157">
        <f t="shared" si="8"/>
        <v>-54292</v>
      </c>
      <c r="F158" s="161">
        <f t="shared" si="9"/>
        <v>-0.13557747534024223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679457</v>
      </c>
      <c r="D161" s="157">
        <v>632493</v>
      </c>
      <c r="E161" s="157">
        <f t="shared" si="8"/>
        <v>-46964</v>
      </c>
      <c r="F161" s="161">
        <f t="shared" si="9"/>
        <v>-6.9119900155565406E-2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7442403</v>
      </c>
      <c r="D163" s="157">
        <v>6697665</v>
      </c>
      <c r="E163" s="157">
        <f t="shared" si="8"/>
        <v>-744738</v>
      </c>
      <c r="F163" s="161">
        <f t="shared" si="9"/>
        <v>-0.10006687356220834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10731832</v>
      </c>
      <c r="D165" s="157">
        <v>10476216</v>
      </c>
      <c r="E165" s="157">
        <f t="shared" si="8"/>
        <v>-255616</v>
      </c>
      <c r="F165" s="161">
        <f t="shared" si="9"/>
        <v>-2.3818486908852094E-2</v>
      </c>
    </row>
    <row r="166" spans="1:6" ht="15" customHeight="1" x14ac:dyDescent="0.2">
      <c r="A166" s="147">
        <v>34</v>
      </c>
      <c r="B166" s="169" t="s">
        <v>293</v>
      </c>
      <c r="C166" s="157">
        <v>1821356</v>
      </c>
      <c r="D166" s="157">
        <v>2136912</v>
      </c>
      <c r="E166" s="157">
        <f t="shared" si="8"/>
        <v>315556</v>
      </c>
      <c r="F166" s="161">
        <f t="shared" si="9"/>
        <v>0.17325333432892856</v>
      </c>
    </row>
    <row r="167" spans="1:6" ht="15.75" customHeight="1" x14ac:dyDescent="0.25">
      <c r="A167" s="147"/>
      <c r="B167" s="165" t="s">
        <v>294</v>
      </c>
      <c r="C167" s="158">
        <f>SUM(C133:C166)</f>
        <v>104501588</v>
      </c>
      <c r="D167" s="158">
        <f>SUM(D133:D166)</f>
        <v>107934097</v>
      </c>
      <c r="E167" s="158">
        <f t="shared" si="8"/>
        <v>3432509</v>
      </c>
      <c r="F167" s="159">
        <f t="shared" si="9"/>
        <v>3.2846476935833743E-2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29962948</v>
      </c>
      <c r="D170" s="157">
        <v>31901073</v>
      </c>
      <c r="E170" s="157">
        <f t="shared" ref="E170:E183" si="10">D170-C170</f>
        <v>1938125</v>
      </c>
      <c r="F170" s="161">
        <f t="shared" ref="F170:F183" si="11">IF(C170=0,0,E170/C170)</f>
        <v>6.4684055787835024E-2</v>
      </c>
    </row>
    <row r="171" spans="1:6" ht="15" customHeight="1" x14ac:dyDescent="0.2">
      <c r="A171" s="147">
        <v>2</v>
      </c>
      <c r="B171" s="169" t="s">
        <v>297</v>
      </c>
      <c r="C171" s="157">
        <v>7145184</v>
      </c>
      <c r="D171" s="157">
        <v>7881104</v>
      </c>
      <c r="E171" s="157">
        <f t="shared" si="10"/>
        <v>735920</v>
      </c>
      <c r="F171" s="161">
        <f t="shared" si="11"/>
        <v>0.10299524826792424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6111092</v>
      </c>
      <c r="D173" s="157">
        <v>6264859</v>
      </c>
      <c r="E173" s="157">
        <f t="shared" si="10"/>
        <v>153767</v>
      </c>
      <c r="F173" s="161">
        <f t="shared" si="11"/>
        <v>2.5161951415557153E-2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996073</v>
      </c>
      <c r="D176" s="157">
        <v>1065601</v>
      </c>
      <c r="E176" s="157">
        <f t="shared" si="10"/>
        <v>69528</v>
      </c>
      <c r="F176" s="161">
        <f t="shared" si="11"/>
        <v>6.980211289734789E-2</v>
      </c>
    </row>
    <row r="177" spans="1:6" ht="15" customHeight="1" x14ac:dyDescent="0.2">
      <c r="A177" s="147">
        <v>8</v>
      </c>
      <c r="B177" s="169" t="s">
        <v>303</v>
      </c>
      <c r="C177" s="157">
        <v>12854544</v>
      </c>
      <c r="D177" s="157">
        <v>14501865</v>
      </c>
      <c r="E177" s="157">
        <f t="shared" si="10"/>
        <v>1647321</v>
      </c>
      <c r="F177" s="161">
        <f t="shared" si="11"/>
        <v>0.12815087022923566</v>
      </c>
    </row>
    <row r="178" spans="1:6" ht="15" customHeight="1" x14ac:dyDescent="0.2">
      <c r="A178" s="147">
        <v>9</v>
      </c>
      <c r="B178" s="169" t="s">
        <v>304</v>
      </c>
      <c r="C178" s="157">
        <v>3717240</v>
      </c>
      <c r="D178" s="157">
        <v>3857533</v>
      </c>
      <c r="E178" s="157">
        <f t="shared" si="10"/>
        <v>140293</v>
      </c>
      <c r="F178" s="161">
        <f t="shared" si="11"/>
        <v>3.7741173558877017E-2</v>
      </c>
    </row>
    <row r="179" spans="1:6" ht="15" customHeight="1" x14ac:dyDescent="0.2">
      <c r="A179" s="147">
        <v>10</v>
      </c>
      <c r="B179" s="169" t="s">
        <v>305</v>
      </c>
      <c r="C179" s="157">
        <v>9073382</v>
      </c>
      <c r="D179" s="157">
        <v>9160684</v>
      </c>
      <c r="E179" s="157">
        <f t="shared" si="10"/>
        <v>87302</v>
      </c>
      <c r="F179" s="161">
        <f t="shared" si="11"/>
        <v>9.621770581245229E-3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12759187</v>
      </c>
      <c r="D181" s="157">
        <v>13838055</v>
      </c>
      <c r="E181" s="157">
        <f t="shared" si="10"/>
        <v>1078868</v>
      </c>
      <c r="F181" s="161">
        <f t="shared" si="11"/>
        <v>8.4556171172975203E-2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82619650</v>
      </c>
      <c r="D183" s="158">
        <f>SUM(D170:D182)</f>
        <v>88470774</v>
      </c>
      <c r="E183" s="158">
        <f t="shared" si="10"/>
        <v>5851124</v>
      </c>
      <c r="F183" s="159">
        <f t="shared" si="11"/>
        <v>7.08200046841157E-2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303434488</v>
      </c>
      <c r="D188" s="158">
        <f>+D186+D183+D167+D130+D121</f>
        <v>309096761</v>
      </c>
      <c r="E188" s="158">
        <f>D188-C188</f>
        <v>5662273</v>
      </c>
      <c r="F188" s="159">
        <f>IF(C188=0,0,E188/C188)</f>
        <v>1.8660611182734113E-2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268117022</v>
      </c>
      <c r="D11" s="183">
        <v>278985670</v>
      </c>
      <c r="E11" s="76">
        <v>281412882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1954663</v>
      </c>
      <c r="D12" s="185">
        <v>15889186</v>
      </c>
      <c r="E12" s="185">
        <v>23634474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270071685</v>
      </c>
      <c r="D13" s="76">
        <f>+D11+D12</f>
        <v>294874856</v>
      </c>
      <c r="E13" s="76">
        <f>+E11+E12</f>
        <v>305047356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286852873</v>
      </c>
      <c r="D14" s="185">
        <v>303434488</v>
      </c>
      <c r="E14" s="185">
        <v>309096761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-16781188</v>
      </c>
      <c r="D15" s="76">
        <f>+D13-D14</f>
        <v>-8559632</v>
      </c>
      <c r="E15" s="76">
        <f>+E13-E14</f>
        <v>-4049405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19409872</v>
      </c>
      <c r="D16" s="185">
        <v>8564466</v>
      </c>
      <c r="E16" s="185">
        <v>15682598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2628684</v>
      </c>
      <c r="D17" s="76">
        <f>D15+D16</f>
        <v>4834</v>
      </c>
      <c r="E17" s="76">
        <f>E15+E16</f>
        <v>11633193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-5.7969800127888632E-2</v>
      </c>
      <c r="D20" s="189">
        <f>IF(+D27=0,0,+D24/+D27)</f>
        <v>-2.8208710537522226E-2</v>
      </c>
      <c r="E20" s="189">
        <f>IF(+E27=0,0,+E24/+E27)</f>
        <v>-1.262559031202929E-2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6.705046152560247E-2</v>
      </c>
      <c r="D21" s="189">
        <f>IF(D27=0,0,+D26/D27)</f>
        <v>2.8224641234862763E-2</v>
      </c>
      <c r="E21" s="189">
        <f>IF(E27=0,0,+E26/E27)</f>
        <v>4.889658045472111E-2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9.0806613977138448E-3</v>
      </c>
      <c r="D22" s="189">
        <f>IF(D27=0,0,+D28/D27)</f>
        <v>1.5930697340537821E-5</v>
      </c>
      <c r="E22" s="189">
        <f>IF(E27=0,0,+E28/E27)</f>
        <v>3.627099014269182E-2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-16781188</v>
      </c>
      <c r="D24" s="76">
        <f>+D15</f>
        <v>-8559632</v>
      </c>
      <c r="E24" s="76">
        <f>+E15</f>
        <v>-4049405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270071685</v>
      </c>
      <c r="D25" s="76">
        <f>+D13</f>
        <v>294874856</v>
      </c>
      <c r="E25" s="76">
        <f>+E13</f>
        <v>305047356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19409872</v>
      </c>
      <c r="D26" s="76">
        <f>+D16</f>
        <v>8564466</v>
      </c>
      <c r="E26" s="76">
        <f>+E16</f>
        <v>15682598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289481557</v>
      </c>
      <c r="D27" s="76">
        <f>+D25+D26</f>
        <v>303439322</v>
      </c>
      <c r="E27" s="76">
        <f>+E25+E26</f>
        <v>320729954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2628684</v>
      </c>
      <c r="D28" s="76">
        <f>+D17</f>
        <v>4834</v>
      </c>
      <c r="E28" s="76">
        <f>+E17</f>
        <v>11633193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67969446</v>
      </c>
      <c r="D31" s="76">
        <v>68041405</v>
      </c>
      <c r="E31" s="76">
        <v>79674598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68036570</v>
      </c>
      <c r="D32" s="76">
        <v>68041405</v>
      </c>
      <c r="E32" s="76">
        <v>79674598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2628684</v>
      </c>
      <c r="D33" s="76">
        <f>+D32-C32</f>
        <v>4835</v>
      </c>
      <c r="E33" s="76">
        <f>+E32-D32</f>
        <v>11633193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1.0401</v>
      </c>
      <c r="D34" s="193">
        <f>IF(C32=0,0,+D33/C32)</f>
        <v>7.1064722986476238E-5</v>
      </c>
      <c r="E34" s="193">
        <f>IF(D32=0,0,+E33/D32)</f>
        <v>0.17097226313889316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0.53458350921827424</v>
      </c>
      <c r="D38" s="195">
        <f>IF((D40+D41)=0,0,+D39/(D40+D41))</f>
        <v>0.54791296757226071</v>
      </c>
      <c r="E38" s="195">
        <f>IF((E40+E41)=0,0,+E39/(E40+E41))</f>
        <v>0.49516381601213383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286852873</v>
      </c>
      <c r="D39" s="76">
        <v>303434488</v>
      </c>
      <c r="E39" s="196">
        <v>309096761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533723134</v>
      </c>
      <c r="D40" s="76">
        <v>535141391</v>
      </c>
      <c r="E40" s="196">
        <v>600821647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2868190</v>
      </c>
      <c r="D41" s="76">
        <v>18659132</v>
      </c>
      <c r="E41" s="196">
        <v>23409670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1.0356719278501518</v>
      </c>
      <c r="D43" s="197">
        <f>IF(D38=0,0,IF((D46-D47)=0,0,((+D44-D45)/(D46-D47)/D38)))</f>
        <v>1.1315744312891651</v>
      </c>
      <c r="E43" s="197">
        <f>IF(E38=0,0,IF((E46-E47)=0,0,((+E44-E45)/(E46-E47)/E38)))</f>
        <v>1.1191167392223647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118943654</v>
      </c>
      <c r="D44" s="76">
        <v>125837607</v>
      </c>
      <c r="E44" s="196">
        <v>126249614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573078</v>
      </c>
      <c r="D45" s="76">
        <v>603170</v>
      </c>
      <c r="E45" s="196">
        <v>1280198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217432469</v>
      </c>
      <c r="D46" s="76">
        <v>205394065</v>
      </c>
      <c r="E46" s="196">
        <v>229968793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3633307</v>
      </c>
      <c r="D47" s="76">
        <v>3404440</v>
      </c>
      <c r="E47" s="76">
        <v>4451709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0.918765896363676</v>
      </c>
      <c r="D49" s="198">
        <f>IF(D38=0,0,IF(D51=0,0,(D50/D51)/D38))</f>
        <v>0.81953505943099236</v>
      </c>
      <c r="E49" s="198">
        <f>IF(E38=0,0,IF(E51=0,0,(E50/E51)/E38))</f>
        <v>0.89846423990696533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101332103</v>
      </c>
      <c r="D50" s="199">
        <v>100992281</v>
      </c>
      <c r="E50" s="199">
        <v>107173523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206313018</v>
      </c>
      <c r="D51" s="199">
        <v>224910155</v>
      </c>
      <c r="E51" s="199">
        <v>240900560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0.68903594933105505</v>
      </c>
      <c r="D53" s="198">
        <f>IF(D38=0,0,IF(D55=0,0,(D54/D55)/D38))</f>
        <v>0.66970316464436996</v>
      </c>
      <c r="E53" s="198">
        <f>IF(E38=0,0,IF(E55=0,0,(E54/E55)/E38))</f>
        <v>0.74772564094008698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38857271</v>
      </c>
      <c r="D54" s="199">
        <v>37451183</v>
      </c>
      <c r="E54" s="199">
        <v>47102099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105490866</v>
      </c>
      <c r="D55" s="199">
        <v>102063771</v>
      </c>
      <c r="E55" s="199">
        <v>127218153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1810719.8790837699</v>
      </c>
      <c r="D57" s="88">
        <f>+D60*D38</f>
        <v>3357670.387796279</v>
      </c>
      <c r="E57" s="88">
        <f>+E60*E38</f>
        <v>1161134.8855214692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873533</v>
      </c>
      <c r="D58" s="199">
        <v>477593</v>
      </c>
      <c r="E58" s="199">
        <v>823539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2513627</v>
      </c>
      <c r="D59" s="199">
        <v>5650516</v>
      </c>
      <c r="E59" s="199">
        <v>1521412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3387160</v>
      </c>
      <c r="D60" s="76">
        <v>6128109</v>
      </c>
      <c r="E60" s="201">
        <v>2344951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6.3123644541073498E-3</v>
      </c>
      <c r="D62" s="202">
        <f>IF(D63=0,0,+D57/D63)</f>
        <v>1.1065552930147739E-2</v>
      </c>
      <c r="E62" s="202">
        <f>IF(E63=0,0,+E57/E63)</f>
        <v>3.7565417436434059E-3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286852873</v>
      </c>
      <c r="D63" s="199">
        <v>303434488</v>
      </c>
      <c r="E63" s="199">
        <v>309096761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1.5937135586604028</v>
      </c>
      <c r="D67" s="203">
        <f>IF(D69=0,0,D68/D69)</f>
        <v>1.2215830227003386</v>
      </c>
      <c r="E67" s="203">
        <f>IF(E69=0,0,E68/E69)</f>
        <v>1.3886534327352962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56503903</v>
      </c>
      <c r="D68" s="204">
        <v>48211880</v>
      </c>
      <c r="E68" s="204">
        <v>54534538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35454240</v>
      </c>
      <c r="D69" s="204">
        <v>39466724</v>
      </c>
      <c r="E69" s="204">
        <v>39271525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2.0740830719907581</v>
      </c>
      <c r="D71" s="203">
        <f>IF((D77/365)=0,0,+D74/(D77/365))</f>
        <v>0</v>
      </c>
      <c r="E71" s="203">
        <f>IF((E77/365)=0,0,+E74/(E77/365))</f>
        <v>0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1577178</v>
      </c>
      <c r="D72" s="183">
        <v>0</v>
      </c>
      <c r="E72" s="183">
        <v>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1577178</v>
      </c>
      <c r="D74" s="204">
        <f>+D72+D73</f>
        <v>0</v>
      </c>
      <c r="E74" s="204">
        <f>+E72+E73</f>
        <v>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286852873</v>
      </c>
      <c r="D75" s="204">
        <f>+D14</f>
        <v>303434488</v>
      </c>
      <c r="E75" s="204">
        <f>+E14</f>
        <v>309096761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9298913</v>
      </c>
      <c r="D76" s="204">
        <v>8971611</v>
      </c>
      <c r="E76" s="204">
        <v>9500967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277553960</v>
      </c>
      <c r="D77" s="204">
        <f>+D75-D76</f>
        <v>294462877</v>
      </c>
      <c r="E77" s="204">
        <f>+E75-E76</f>
        <v>299595794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28.719507857281812</v>
      </c>
      <c r="D79" s="203">
        <f>IF((D84/365)=0,0,+D83/(D84/365))</f>
        <v>32.434204004098135</v>
      </c>
      <c r="E79" s="203">
        <f>IF((E84/365)=0,0,+E83/(E84/365))</f>
        <v>44.492873126540097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30512285</v>
      </c>
      <c r="D80" s="212">
        <v>31531470</v>
      </c>
      <c r="E80" s="212">
        <v>37017707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9415877</v>
      </c>
      <c r="D82" s="212">
        <v>6740571</v>
      </c>
      <c r="E82" s="212">
        <v>2713960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21096408</v>
      </c>
      <c r="D83" s="212">
        <f>+D80+D81-D82</f>
        <v>24790899</v>
      </c>
      <c r="E83" s="212">
        <f>+E80+E81-E82</f>
        <v>34303747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268117022</v>
      </c>
      <c r="D84" s="204">
        <f>+D11</f>
        <v>278985670</v>
      </c>
      <c r="E84" s="204">
        <f>+E11</f>
        <v>281412882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46.624438721753421</v>
      </c>
      <c r="D86" s="203">
        <f>IF((D90/365)=0,0,+D87/(D90/365))</f>
        <v>48.920782160258526</v>
      </c>
      <c r="E86" s="203">
        <f>IF((E90/365)=0,0,+E87/(E90/365))</f>
        <v>47.844819293424393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35454240</v>
      </c>
      <c r="D87" s="76">
        <f>+D69</f>
        <v>39466724</v>
      </c>
      <c r="E87" s="76">
        <f>+E69</f>
        <v>39271525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286852873</v>
      </c>
      <c r="D88" s="76">
        <f t="shared" si="0"/>
        <v>303434488</v>
      </c>
      <c r="E88" s="76">
        <f t="shared" si="0"/>
        <v>309096761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9298913</v>
      </c>
      <c r="D89" s="201">
        <f t="shared" si="0"/>
        <v>8971611</v>
      </c>
      <c r="E89" s="201">
        <f t="shared" si="0"/>
        <v>9500967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277553960</v>
      </c>
      <c r="D90" s="76">
        <f>+D88-D89</f>
        <v>294462877</v>
      </c>
      <c r="E90" s="76">
        <f>+E88-E89</f>
        <v>299595794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60.635763992283152</v>
      </c>
      <c r="D94" s="214">
        <f>IF(D96=0,0,(D95/D96)*100)</f>
        <v>58.783314533111543</v>
      </c>
      <c r="E94" s="214">
        <f>IF(E96=0,0,(E95/E96)*100)</f>
        <v>62.408511343527728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68036570</v>
      </c>
      <c r="D95" s="76">
        <f>+D32</f>
        <v>68041405</v>
      </c>
      <c r="E95" s="76">
        <f>+E32</f>
        <v>79674598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112205348</v>
      </c>
      <c r="D96" s="76">
        <v>115749521</v>
      </c>
      <c r="E96" s="76">
        <v>127666237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33.252812603308698</v>
      </c>
      <c r="D98" s="214">
        <f>IF(D104=0,0,(D101/D104)*100)</f>
        <v>22.744337736266125</v>
      </c>
      <c r="E98" s="214">
        <f>IF(E104=0,0,(E101/E104)*100)</f>
        <v>53.815480809568761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2628684</v>
      </c>
      <c r="D99" s="76">
        <f>+D28</f>
        <v>4834</v>
      </c>
      <c r="E99" s="76">
        <f>+E28</f>
        <v>11633193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9298913</v>
      </c>
      <c r="D100" s="201">
        <f>+D76</f>
        <v>8971611</v>
      </c>
      <c r="E100" s="201">
        <f>+E76</f>
        <v>9500967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11927597</v>
      </c>
      <c r="D101" s="76">
        <f>+D99+D100</f>
        <v>8976445</v>
      </c>
      <c r="E101" s="76">
        <f>+E99+E100</f>
        <v>21134160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35454240</v>
      </c>
      <c r="D102" s="204">
        <f>+D69</f>
        <v>39466724</v>
      </c>
      <c r="E102" s="204">
        <f>+E69</f>
        <v>39271525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415198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35869438</v>
      </c>
      <c r="D104" s="204">
        <f>+D102+D103</f>
        <v>39466724</v>
      </c>
      <c r="E104" s="204">
        <f>+E102+E103</f>
        <v>39271525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0.60655555310127274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415198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68036570</v>
      </c>
      <c r="D108" s="204">
        <f>+D32</f>
        <v>68041405</v>
      </c>
      <c r="E108" s="204">
        <f>+E32</f>
        <v>79674598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68451768</v>
      </c>
      <c r="D109" s="204">
        <f>+D107+D108</f>
        <v>68041405</v>
      </c>
      <c r="E109" s="204">
        <f>+E107+E108</f>
        <v>79674598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5.4600848485177282</v>
      </c>
      <c r="D111" s="214">
        <f>IF((+D113+D115)=0,0,((+D112+D113+D114)/(+D113+D115)))</f>
        <v>5.989742672390947</v>
      </c>
      <c r="E111" s="214">
        <f>IF((+E113+E115)=0,0,((+E112+E113+E114)/(+E113+E115)))</f>
        <v>23.824412679803398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2628684</v>
      </c>
      <c r="D112" s="76">
        <f>+D17</f>
        <v>4834</v>
      </c>
      <c r="E112" s="76">
        <f>+E17</f>
        <v>11633193</v>
      </c>
    </row>
    <row r="113" spans="1:8" ht="24" customHeight="1" x14ac:dyDescent="0.2">
      <c r="A113" s="85">
        <v>17</v>
      </c>
      <c r="B113" s="75" t="s">
        <v>88</v>
      </c>
      <c r="C113" s="218">
        <v>149794</v>
      </c>
      <c r="D113" s="76">
        <v>64233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9298913</v>
      </c>
      <c r="D114" s="76">
        <v>8971611</v>
      </c>
      <c r="E114" s="76">
        <v>9500967</v>
      </c>
    </row>
    <row r="115" spans="1:8" ht="24" customHeight="1" x14ac:dyDescent="0.2">
      <c r="A115" s="85">
        <v>19</v>
      </c>
      <c r="B115" s="75" t="s">
        <v>104</v>
      </c>
      <c r="C115" s="218">
        <v>2062148</v>
      </c>
      <c r="D115" s="76">
        <v>1445127</v>
      </c>
      <c r="E115" s="76">
        <v>887080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14.870284946208228</v>
      </c>
      <c r="D119" s="214">
        <f>IF(+D121=0,0,(+D120)/(+D121))</f>
        <v>16.412782163649315</v>
      </c>
      <c r="E119" s="214">
        <f>IF(+E121=0,0,(+E120)/(+E121))</f>
        <v>16.182934221327155</v>
      </c>
    </row>
    <row r="120" spans="1:8" ht="24" customHeight="1" x14ac:dyDescent="0.2">
      <c r="A120" s="85">
        <v>21</v>
      </c>
      <c r="B120" s="75" t="s">
        <v>378</v>
      </c>
      <c r="C120" s="218">
        <v>138277486</v>
      </c>
      <c r="D120" s="218">
        <v>147249097</v>
      </c>
      <c r="E120" s="218">
        <v>153753524</v>
      </c>
    </row>
    <row r="121" spans="1:8" ht="24" customHeight="1" x14ac:dyDescent="0.2">
      <c r="A121" s="85">
        <v>22</v>
      </c>
      <c r="B121" s="75" t="s">
        <v>374</v>
      </c>
      <c r="C121" s="218">
        <v>9298913</v>
      </c>
      <c r="D121" s="218">
        <v>8971611</v>
      </c>
      <c r="E121" s="218">
        <v>9500967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51614</v>
      </c>
      <c r="D124" s="218">
        <v>40295</v>
      </c>
      <c r="E124" s="218">
        <v>40704</v>
      </c>
    </row>
    <row r="125" spans="1:8" ht="24" customHeight="1" x14ac:dyDescent="0.2">
      <c r="A125" s="85">
        <v>2</v>
      </c>
      <c r="B125" s="75" t="s">
        <v>381</v>
      </c>
      <c r="C125" s="218">
        <v>9082</v>
      </c>
      <c r="D125" s="218">
        <v>8374</v>
      </c>
      <c r="E125" s="218">
        <v>8578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5.683109447258313</v>
      </c>
      <c r="D126" s="219">
        <f>IF(D125=0,0,D124/D125)</f>
        <v>4.8119178409362311</v>
      </c>
      <c r="E126" s="219">
        <f>IF(E125=0,0,E124/E125)</f>
        <v>4.7451620424341341</v>
      </c>
    </row>
    <row r="127" spans="1:8" ht="24" customHeight="1" x14ac:dyDescent="0.2">
      <c r="A127" s="85">
        <v>4</v>
      </c>
      <c r="B127" s="75" t="s">
        <v>383</v>
      </c>
      <c r="C127" s="218">
        <v>150</v>
      </c>
      <c r="D127" s="218">
        <v>184</v>
      </c>
      <c r="E127" s="218">
        <v>184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234</v>
      </c>
      <c r="E128" s="218">
        <v>234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224</v>
      </c>
      <c r="D129" s="218">
        <v>234</v>
      </c>
      <c r="E129" s="218">
        <v>234</v>
      </c>
    </row>
    <row r="130" spans="1:7" ht="24" customHeight="1" x14ac:dyDescent="0.2">
      <c r="A130" s="85">
        <v>7</v>
      </c>
      <c r="B130" s="75" t="s">
        <v>386</v>
      </c>
      <c r="C130" s="193">
        <v>0.94269999999999998</v>
      </c>
      <c r="D130" s="193">
        <v>0.59989999999999999</v>
      </c>
      <c r="E130" s="193">
        <v>0.60599999999999998</v>
      </c>
    </row>
    <row r="131" spans="1:7" ht="24" customHeight="1" x14ac:dyDescent="0.2">
      <c r="A131" s="85">
        <v>8</v>
      </c>
      <c r="B131" s="75" t="s">
        <v>387</v>
      </c>
      <c r="C131" s="193">
        <v>0.63119999999999998</v>
      </c>
      <c r="D131" s="193">
        <v>0.47170000000000001</v>
      </c>
      <c r="E131" s="193">
        <v>0.47649999999999998</v>
      </c>
    </row>
    <row r="132" spans="1:7" ht="24" customHeight="1" x14ac:dyDescent="0.2">
      <c r="A132" s="85">
        <v>9</v>
      </c>
      <c r="B132" s="75" t="s">
        <v>388</v>
      </c>
      <c r="C132" s="219">
        <v>1285.3</v>
      </c>
      <c r="D132" s="219">
        <v>1544.9</v>
      </c>
      <c r="E132" s="219">
        <v>1592.7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0.40058065386388142</v>
      </c>
      <c r="D135" s="227">
        <f>IF(D149=0,0,D143/D149)</f>
        <v>0.3774509473515944</v>
      </c>
      <c r="E135" s="227">
        <f>IF(E149=0,0,E143/E149)</f>
        <v>0.37534780100890741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0.38655438533042863</v>
      </c>
      <c r="D136" s="227">
        <f>IF(D149=0,0,D144/D149)</f>
        <v>0.42028174008315494</v>
      </c>
      <c r="E136" s="227">
        <f>IF(E149=0,0,E144/E149)</f>
        <v>0.40095186517139586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0.19765091539015059</v>
      </c>
      <c r="D137" s="227">
        <f>IF(D149=0,0,D145/D149)</f>
        <v>0.19072299903634252</v>
      </c>
      <c r="E137" s="227">
        <f>IF(E149=0,0,E145/E149)</f>
        <v>0.21174029536921796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7.8174988757373216E-4</v>
      </c>
      <c r="D138" s="227">
        <f>IF(D149=0,0,D146/D149)</f>
        <v>4.0900405702312795E-4</v>
      </c>
      <c r="E138" s="227">
        <f>IF(E149=0,0,E146/E149)</f>
        <v>3.2154800174834578E-4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6.8074752030516253E-3</v>
      </c>
      <c r="D139" s="227">
        <f>IF(D149=0,0,D147/D149)</f>
        <v>6.3617579526753518E-3</v>
      </c>
      <c r="E139" s="227">
        <f>IF(E149=0,0,E147/E149)</f>
        <v>7.4093685243001904E-3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7.6248203249140029E-3</v>
      </c>
      <c r="D140" s="227">
        <f>IF(D149=0,0,D148/D149)</f>
        <v>4.7735515192096215E-3</v>
      </c>
      <c r="E140" s="227">
        <f>IF(E149=0,0,E148/E149)</f>
        <v>4.229121924430263E-3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213799162</v>
      </c>
      <c r="D143" s="229">
        <f>+D46-D147</f>
        <v>201989625</v>
      </c>
      <c r="E143" s="229">
        <f>+E46-E147</f>
        <v>225517084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206313018</v>
      </c>
      <c r="D144" s="229">
        <f>+D51</f>
        <v>224910155</v>
      </c>
      <c r="E144" s="229">
        <f>+E51</f>
        <v>240900560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105490866</v>
      </c>
      <c r="D145" s="229">
        <f>+D55</f>
        <v>102063771</v>
      </c>
      <c r="E145" s="229">
        <f>+E55</f>
        <v>127218153</v>
      </c>
    </row>
    <row r="146" spans="1:7" ht="20.100000000000001" customHeight="1" x14ac:dyDescent="0.2">
      <c r="A146" s="226">
        <v>11</v>
      </c>
      <c r="B146" s="224" t="s">
        <v>400</v>
      </c>
      <c r="C146" s="228">
        <v>417238</v>
      </c>
      <c r="D146" s="229">
        <v>218875</v>
      </c>
      <c r="E146" s="229">
        <v>193193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3633307</v>
      </c>
      <c r="D147" s="229">
        <f>+D47</f>
        <v>3404440</v>
      </c>
      <c r="E147" s="229">
        <f>+E47</f>
        <v>4451709</v>
      </c>
    </row>
    <row r="148" spans="1:7" ht="20.100000000000001" customHeight="1" x14ac:dyDescent="0.2">
      <c r="A148" s="226">
        <v>13</v>
      </c>
      <c r="B148" s="224" t="s">
        <v>402</v>
      </c>
      <c r="C148" s="230">
        <v>4069543</v>
      </c>
      <c r="D148" s="229">
        <v>2554525</v>
      </c>
      <c r="E148" s="229">
        <v>2540948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533723134</v>
      </c>
      <c r="D149" s="229">
        <f>SUM(D143:D148)</f>
        <v>535141391</v>
      </c>
      <c r="E149" s="229">
        <f>SUM(E143:E148)</f>
        <v>600821647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0.45430200760518663</v>
      </c>
      <c r="D152" s="227">
        <f>IF(D166=0,0,D160/D166)</f>
        <v>0.47192734172701661</v>
      </c>
      <c r="E152" s="227">
        <f>IF(E166=0,0,E160/E166)</f>
        <v>0.44376331214041426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0.38890896186697238</v>
      </c>
      <c r="D153" s="227">
        <f>IF(D166=0,0,D161/D166)</f>
        <v>0.38057438392347215</v>
      </c>
      <c r="E153" s="227">
        <f>IF(E166=0,0,E161/E166)</f>
        <v>0.38057053527590196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0.14913280666437576</v>
      </c>
      <c r="D154" s="227">
        <f>IF(D166=0,0,D162/D166)</f>
        <v>0.14112921063175327</v>
      </c>
      <c r="E154" s="227">
        <f>IF(E166=0,0,E162/E166)</f>
        <v>0.16725839113312088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2.2131619321133562E-4</v>
      </c>
      <c r="D155" s="227">
        <f>IF(D166=0,0,D163/D166)</f>
        <v>4.7299590670010094E-4</v>
      </c>
      <c r="E155" s="227">
        <f>IF(E166=0,0,E163/E166)</f>
        <v>3.8266020258008823E-4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2.1994527247579257E-3</v>
      </c>
      <c r="D156" s="227">
        <f>IF(D166=0,0,D164/D166)</f>
        <v>2.2729563970450444E-3</v>
      </c>
      <c r="E156" s="227">
        <f>IF(E166=0,0,E164/E166)</f>
        <v>4.5459515044507697E-3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5.2354549454959988E-3</v>
      </c>
      <c r="D157" s="227">
        <f>IF(D166=0,0,D165/D166)</f>
        <v>3.6231114140128557E-3</v>
      </c>
      <c r="E157" s="227">
        <f>IF(E166=0,0,E165/E166)</f>
        <v>3.4791497435320501E-3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118370576</v>
      </c>
      <c r="D160" s="229">
        <f>+D44-D164</f>
        <v>125234437</v>
      </c>
      <c r="E160" s="229">
        <f>+E44-E164</f>
        <v>124969416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101332103</v>
      </c>
      <c r="D161" s="229">
        <f>+D50</f>
        <v>100992281</v>
      </c>
      <c r="E161" s="229">
        <f>+E50</f>
        <v>107173523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38857271</v>
      </c>
      <c r="D162" s="229">
        <f>+D54</f>
        <v>37451183</v>
      </c>
      <c r="E162" s="229">
        <f>+E54</f>
        <v>47102099</v>
      </c>
    </row>
    <row r="163" spans="1:6" ht="20.100000000000001" customHeight="1" x14ac:dyDescent="0.2">
      <c r="A163" s="226">
        <v>11</v>
      </c>
      <c r="B163" s="224" t="s">
        <v>415</v>
      </c>
      <c r="C163" s="228">
        <v>57665</v>
      </c>
      <c r="D163" s="229">
        <v>125518</v>
      </c>
      <c r="E163" s="229">
        <v>107762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573078</v>
      </c>
      <c r="D164" s="229">
        <f>+D45</f>
        <v>603170</v>
      </c>
      <c r="E164" s="229">
        <f>+E45</f>
        <v>1280198</v>
      </c>
    </row>
    <row r="165" spans="1:6" ht="20.100000000000001" customHeight="1" x14ac:dyDescent="0.2">
      <c r="A165" s="226">
        <v>13</v>
      </c>
      <c r="B165" s="224" t="s">
        <v>417</v>
      </c>
      <c r="C165" s="230">
        <v>1364123</v>
      </c>
      <c r="D165" s="229">
        <v>961458</v>
      </c>
      <c r="E165" s="229">
        <v>979773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260554816</v>
      </c>
      <c r="D166" s="229">
        <f>SUM(D160:D165)</f>
        <v>265368047</v>
      </c>
      <c r="E166" s="229">
        <f>SUM(E160:E165)</f>
        <v>281612771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3328</v>
      </c>
      <c r="D169" s="218">
        <v>2580</v>
      </c>
      <c r="E169" s="218">
        <v>2552</v>
      </c>
    </row>
    <row r="170" spans="1:6" ht="20.100000000000001" customHeight="1" x14ac:dyDescent="0.2">
      <c r="A170" s="226">
        <v>2</v>
      </c>
      <c r="B170" s="224" t="s">
        <v>420</v>
      </c>
      <c r="C170" s="218">
        <v>3811</v>
      </c>
      <c r="D170" s="218">
        <v>3700</v>
      </c>
      <c r="E170" s="218">
        <v>3822</v>
      </c>
    </row>
    <row r="171" spans="1:6" ht="20.100000000000001" customHeight="1" x14ac:dyDescent="0.2">
      <c r="A171" s="226">
        <v>3</v>
      </c>
      <c r="B171" s="224" t="s">
        <v>421</v>
      </c>
      <c r="C171" s="218">
        <v>1881</v>
      </c>
      <c r="D171" s="218">
        <v>2053</v>
      </c>
      <c r="E171" s="218">
        <v>2169</v>
      </c>
    </row>
    <row r="172" spans="1:6" ht="20.100000000000001" customHeight="1" x14ac:dyDescent="0.2">
      <c r="A172" s="226">
        <v>4</v>
      </c>
      <c r="B172" s="224" t="s">
        <v>422</v>
      </c>
      <c r="C172" s="218">
        <v>1872</v>
      </c>
      <c r="D172" s="218">
        <v>2050</v>
      </c>
      <c r="E172" s="218">
        <v>2162</v>
      </c>
    </row>
    <row r="173" spans="1:6" ht="20.100000000000001" customHeight="1" x14ac:dyDescent="0.2">
      <c r="A173" s="226">
        <v>5</v>
      </c>
      <c r="B173" s="224" t="s">
        <v>423</v>
      </c>
      <c r="C173" s="218">
        <v>9</v>
      </c>
      <c r="D173" s="218">
        <v>3</v>
      </c>
      <c r="E173" s="218">
        <v>7</v>
      </c>
    </row>
    <row r="174" spans="1:6" ht="20.100000000000001" customHeight="1" x14ac:dyDescent="0.2">
      <c r="A174" s="226">
        <v>6</v>
      </c>
      <c r="B174" s="224" t="s">
        <v>424</v>
      </c>
      <c r="C174" s="218">
        <v>62</v>
      </c>
      <c r="D174" s="218">
        <v>41</v>
      </c>
      <c r="E174" s="218">
        <v>35</v>
      </c>
    </row>
    <row r="175" spans="1:6" ht="20.100000000000001" customHeight="1" x14ac:dyDescent="0.2">
      <c r="A175" s="226">
        <v>7</v>
      </c>
      <c r="B175" s="224" t="s">
        <v>425</v>
      </c>
      <c r="C175" s="218">
        <v>50</v>
      </c>
      <c r="D175" s="218">
        <v>39</v>
      </c>
      <c r="E175" s="218">
        <v>35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9082</v>
      </c>
      <c r="D176" s="218">
        <f>+D169+D170+D171+D174</f>
        <v>8374</v>
      </c>
      <c r="E176" s="218">
        <f>+E169+E170+E171+E174</f>
        <v>8578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1.4120999999999999</v>
      </c>
      <c r="D179" s="231">
        <v>1.3021</v>
      </c>
      <c r="E179" s="231">
        <v>1.3512</v>
      </c>
    </row>
    <row r="180" spans="1:6" ht="20.100000000000001" customHeight="1" x14ac:dyDescent="0.2">
      <c r="A180" s="226">
        <v>2</v>
      </c>
      <c r="B180" s="224" t="s">
        <v>420</v>
      </c>
      <c r="C180" s="231">
        <v>1.5492999999999999</v>
      </c>
      <c r="D180" s="231">
        <v>1.5752999999999999</v>
      </c>
      <c r="E180" s="231">
        <v>1.583</v>
      </c>
    </row>
    <row r="181" spans="1:6" ht="20.100000000000001" customHeight="1" x14ac:dyDescent="0.2">
      <c r="A181" s="226">
        <v>3</v>
      </c>
      <c r="B181" s="224" t="s">
        <v>421</v>
      </c>
      <c r="C181" s="231">
        <v>1.3355220000000001</v>
      </c>
      <c r="D181" s="231">
        <v>1.2922640000000001</v>
      </c>
      <c r="E181" s="231">
        <v>1.378047</v>
      </c>
    </row>
    <row r="182" spans="1:6" ht="20.100000000000001" customHeight="1" x14ac:dyDescent="0.2">
      <c r="A182" s="226">
        <v>4</v>
      </c>
      <c r="B182" s="224" t="s">
        <v>422</v>
      </c>
      <c r="C182" s="231">
        <v>1.3310999999999999</v>
      </c>
      <c r="D182" s="231">
        <v>1.2915000000000001</v>
      </c>
      <c r="E182" s="231">
        <v>1.3789</v>
      </c>
    </row>
    <row r="183" spans="1:6" ht="20.100000000000001" customHeight="1" x14ac:dyDescent="0.2">
      <c r="A183" s="226">
        <v>5</v>
      </c>
      <c r="B183" s="224" t="s">
        <v>423</v>
      </c>
      <c r="C183" s="231">
        <v>2.2553999999999998</v>
      </c>
      <c r="D183" s="231">
        <v>1.8149</v>
      </c>
      <c r="E183" s="231">
        <v>1.1148</v>
      </c>
    </row>
    <row r="184" spans="1:6" ht="20.100000000000001" customHeight="1" x14ac:dyDescent="0.2">
      <c r="A184" s="226">
        <v>6</v>
      </c>
      <c r="B184" s="224" t="s">
        <v>424</v>
      </c>
      <c r="C184" s="231">
        <v>1.5218</v>
      </c>
      <c r="D184" s="231">
        <v>1.226</v>
      </c>
      <c r="E184" s="231">
        <v>1.0742</v>
      </c>
    </row>
    <row r="185" spans="1:6" ht="20.100000000000001" customHeight="1" x14ac:dyDescent="0.2">
      <c r="A185" s="226">
        <v>7</v>
      </c>
      <c r="B185" s="224" t="s">
        <v>425</v>
      </c>
      <c r="C185" s="231">
        <v>1.3480000000000001</v>
      </c>
      <c r="D185" s="231">
        <v>0.99029999999999996</v>
      </c>
      <c r="E185" s="231">
        <v>0.93859999999999999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1.4545600000000001</v>
      </c>
      <c r="D186" s="231">
        <v>1.4200269999999999</v>
      </c>
      <c r="E186" s="231">
        <v>1.4601379999999999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4893</v>
      </c>
      <c r="D189" s="218">
        <v>4877</v>
      </c>
      <c r="E189" s="218">
        <v>5131</v>
      </c>
    </row>
    <row r="190" spans="1:6" ht="20.100000000000001" customHeight="1" x14ac:dyDescent="0.2">
      <c r="A190" s="226">
        <v>2</v>
      </c>
      <c r="B190" s="224" t="s">
        <v>433</v>
      </c>
      <c r="C190" s="218">
        <v>25371</v>
      </c>
      <c r="D190" s="218">
        <v>24430</v>
      </c>
      <c r="E190" s="218">
        <v>23640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30264</v>
      </c>
      <c r="D191" s="218">
        <f>+D190+D189</f>
        <v>29307</v>
      </c>
      <c r="E191" s="218">
        <f>+E190+E189</f>
        <v>28771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2456590</v>
      </c>
      <c r="D14" s="258">
        <v>1895051</v>
      </c>
      <c r="E14" s="258">
        <f t="shared" ref="E14:E24" si="0">D14-C14</f>
        <v>-561539</v>
      </c>
      <c r="F14" s="259">
        <f t="shared" ref="F14:F24" si="1">IF(C14=0,0,E14/C14)</f>
        <v>-0.22858474552123065</v>
      </c>
    </row>
    <row r="15" spans="1:7" ht="20.25" customHeight="1" x14ac:dyDescent="0.3">
      <c r="A15" s="256">
        <v>2</v>
      </c>
      <c r="B15" s="257" t="s">
        <v>442</v>
      </c>
      <c r="C15" s="258">
        <v>1013607</v>
      </c>
      <c r="D15" s="258">
        <v>1019414</v>
      </c>
      <c r="E15" s="258">
        <f t="shared" si="0"/>
        <v>5807</v>
      </c>
      <c r="F15" s="259">
        <f t="shared" si="1"/>
        <v>5.729044886233027E-3</v>
      </c>
    </row>
    <row r="16" spans="1:7" ht="20.25" customHeight="1" x14ac:dyDescent="0.3">
      <c r="A16" s="256">
        <v>3</v>
      </c>
      <c r="B16" s="257" t="s">
        <v>443</v>
      </c>
      <c r="C16" s="258">
        <v>1393683</v>
      </c>
      <c r="D16" s="258">
        <v>2304765</v>
      </c>
      <c r="E16" s="258">
        <f t="shared" si="0"/>
        <v>911082</v>
      </c>
      <c r="F16" s="259">
        <f t="shared" si="1"/>
        <v>0.65372254666233287</v>
      </c>
    </row>
    <row r="17" spans="1:6" ht="20.25" customHeight="1" x14ac:dyDescent="0.3">
      <c r="A17" s="256">
        <v>4</v>
      </c>
      <c r="B17" s="257" t="s">
        <v>444</v>
      </c>
      <c r="C17" s="258">
        <v>673136</v>
      </c>
      <c r="D17" s="258">
        <v>928004</v>
      </c>
      <c r="E17" s="258">
        <f t="shared" si="0"/>
        <v>254868</v>
      </c>
      <c r="F17" s="259">
        <f t="shared" si="1"/>
        <v>0.37862779586888828</v>
      </c>
    </row>
    <row r="18" spans="1:6" ht="20.25" customHeight="1" x14ac:dyDescent="0.3">
      <c r="A18" s="256">
        <v>5</v>
      </c>
      <c r="B18" s="257" t="s">
        <v>381</v>
      </c>
      <c r="C18" s="260">
        <v>55</v>
      </c>
      <c r="D18" s="260">
        <v>57</v>
      </c>
      <c r="E18" s="260">
        <f t="shared" si="0"/>
        <v>2</v>
      </c>
      <c r="F18" s="259">
        <f t="shared" si="1"/>
        <v>3.6363636363636362E-2</v>
      </c>
    </row>
    <row r="19" spans="1:6" ht="20.25" customHeight="1" x14ac:dyDescent="0.3">
      <c r="A19" s="256">
        <v>6</v>
      </c>
      <c r="B19" s="257" t="s">
        <v>380</v>
      </c>
      <c r="C19" s="260">
        <v>372</v>
      </c>
      <c r="D19" s="260">
        <v>252</v>
      </c>
      <c r="E19" s="260">
        <f t="shared" si="0"/>
        <v>-120</v>
      </c>
      <c r="F19" s="259">
        <f t="shared" si="1"/>
        <v>-0.32258064516129031</v>
      </c>
    </row>
    <row r="20" spans="1:6" ht="20.25" customHeight="1" x14ac:dyDescent="0.3">
      <c r="A20" s="256">
        <v>7</v>
      </c>
      <c r="B20" s="257" t="s">
        <v>445</v>
      </c>
      <c r="C20" s="260">
        <v>1917</v>
      </c>
      <c r="D20" s="260">
        <v>2059</v>
      </c>
      <c r="E20" s="260">
        <f t="shared" si="0"/>
        <v>142</v>
      </c>
      <c r="F20" s="259">
        <f t="shared" si="1"/>
        <v>7.407407407407407E-2</v>
      </c>
    </row>
    <row r="21" spans="1:6" ht="20.25" customHeight="1" x14ac:dyDescent="0.3">
      <c r="A21" s="256">
        <v>8</v>
      </c>
      <c r="B21" s="257" t="s">
        <v>446</v>
      </c>
      <c r="C21" s="260">
        <v>96</v>
      </c>
      <c r="D21" s="260">
        <v>94</v>
      </c>
      <c r="E21" s="260">
        <f t="shared" si="0"/>
        <v>-2</v>
      </c>
      <c r="F21" s="259">
        <f t="shared" si="1"/>
        <v>-2.0833333333333332E-2</v>
      </c>
    </row>
    <row r="22" spans="1:6" ht="20.25" customHeight="1" x14ac:dyDescent="0.3">
      <c r="A22" s="256">
        <v>9</v>
      </c>
      <c r="B22" s="257" t="s">
        <v>447</v>
      </c>
      <c r="C22" s="260">
        <v>34</v>
      </c>
      <c r="D22" s="260">
        <v>41</v>
      </c>
      <c r="E22" s="260">
        <f t="shared" si="0"/>
        <v>7</v>
      </c>
      <c r="F22" s="259">
        <f t="shared" si="1"/>
        <v>0.20588235294117646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3850273</v>
      </c>
      <c r="D23" s="263">
        <f>+D14+D16</f>
        <v>4199816</v>
      </c>
      <c r="E23" s="263">
        <f t="shared" si="0"/>
        <v>349543</v>
      </c>
      <c r="F23" s="264">
        <f t="shared" si="1"/>
        <v>9.0783952202869764E-2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1686743</v>
      </c>
      <c r="D24" s="263">
        <f>+D15+D17</f>
        <v>1947418</v>
      </c>
      <c r="E24" s="263">
        <f t="shared" si="0"/>
        <v>260675</v>
      </c>
      <c r="F24" s="264">
        <f t="shared" si="1"/>
        <v>0.15454340109904116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6717364</v>
      </c>
      <c r="D40" s="258">
        <v>6950075</v>
      </c>
      <c r="E40" s="258">
        <f t="shared" ref="E40:E50" si="4">D40-C40</f>
        <v>232711</v>
      </c>
      <c r="F40" s="259">
        <f t="shared" ref="F40:F50" si="5">IF(C40=0,0,E40/C40)</f>
        <v>3.464320230376082E-2</v>
      </c>
    </row>
    <row r="41" spans="1:6" ht="20.25" customHeight="1" x14ac:dyDescent="0.3">
      <c r="A41" s="256">
        <v>2</v>
      </c>
      <c r="B41" s="257" t="s">
        <v>442</v>
      </c>
      <c r="C41" s="258">
        <v>3516001</v>
      </c>
      <c r="D41" s="258">
        <v>3520936</v>
      </c>
      <c r="E41" s="258">
        <f t="shared" si="4"/>
        <v>4935</v>
      </c>
      <c r="F41" s="259">
        <f t="shared" si="5"/>
        <v>1.4035832185485726E-3</v>
      </c>
    </row>
    <row r="42" spans="1:6" ht="20.25" customHeight="1" x14ac:dyDescent="0.3">
      <c r="A42" s="256">
        <v>3</v>
      </c>
      <c r="B42" s="257" t="s">
        <v>443</v>
      </c>
      <c r="C42" s="258">
        <v>7394653</v>
      </c>
      <c r="D42" s="258">
        <v>8633767</v>
      </c>
      <c r="E42" s="258">
        <f t="shared" si="4"/>
        <v>1239114</v>
      </c>
      <c r="F42" s="259">
        <f t="shared" si="5"/>
        <v>0.1675689177031025</v>
      </c>
    </row>
    <row r="43" spans="1:6" ht="20.25" customHeight="1" x14ac:dyDescent="0.3">
      <c r="A43" s="256">
        <v>4</v>
      </c>
      <c r="B43" s="257" t="s">
        <v>444</v>
      </c>
      <c r="C43" s="258">
        <v>2513202</v>
      </c>
      <c r="D43" s="258">
        <v>2645471</v>
      </c>
      <c r="E43" s="258">
        <f t="shared" si="4"/>
        <v>132269</v>
      </c>
      <c r="F43" s="259">
        <f t="shared" si="5"/>
        <v>5.2629673221651102E-2</v>
      </c>
    </row>
    <row r="44" spans="1:6" ht="20.25" customHeight="1" x14ac:dyDescent="0.3">
      <c r="A44" s="256">
        <v>5</v>
      </c>
      <c r="B44" s="257" t="s">
        <v>381</v>
      </c>
      <c r="C44" s="260">
        <v>182</v>
      </c>
      <c r="D44" s="260">
        <v>189</v>
      </c>
      <c r="E44" s="260">
        <f t="shared" si="4"/>
        <v>7</v>
      </c>
      <c r="F44" s="259">
        <f t="shared" si="5"/>
        <v>3.8461538461538464E-2</v>
      </c>
    </row>
    <row r="45" spans="1:6" ht="20.25" customHeight="1" x14ac:dyDescent="0.3">
      <c r="A45" s="256">
        <v>6</v>
      </c>
      <c r="B45" s="257" t="s">
        <v>380</v>
      </c>
      <c r="C45" s="260">
        <v>948</v>
      </c>
      <c r="D45" s="260">
        <v>808</v>
      </c>
      <c r="E45" s="260">
        <f t="shared" si="4"/>
        <v>-140</v>
      </c>
      <c r="F45" s="259">
        <f t="shared" si="5"/>
        <v>-0.14767932489451477</v>
      </c>
    </row>
    <row r="46" spans="1:6" ht="20.25" customHeight="1" x14ac:dyDescent="0.3">
      <c r="A46" s="256">
        <v>7</v>
      </c>
      <c r="B46" s="257" t="s">
        <v>445</v>
      </c>
      <c r="C46" s="260">
        <v>6517</v>
      </c>
      <c r="D46" s="260">
        <v>6964</v>
      </c>
      <c r="E46" s="260">
        <f t="shared" si="4"/>
        <v>447</v>
      </c>
      <c r="F46" s="259">
        <f t="shared" si="5"/>
        <v>6.8589841951818317E-2</v>
      </c>
    </row>
    <row r="47" spans="1:6" ht="20.25" customHeight="1" x14ac:dyDescent="0.3">
      <c r="A47" s="256">
        <v>8</v>
      </c>
      <c r="B47" s="257" t="s">
        <v>446</v>
      </c>
      <c r="C47" s="260">
        <v>264</v>
      </c>
      <c r="D47" s="260">
        <v>266</v>
      </c>
      <c r="E47" s="260">
        <f t="shared" si="4"/>
        <v>2</v>
      </c>
      <c r="F47" s="259">
        <f t="shared" si="5"/>
        <v>7.575757575757576E-3</v>
      </c>
    </row>
    <row r="48" spans="1:6" ht="20.25" customHeight="1" x14ac:dyDescent="0.3">
      <c r="A48" s="256">
        <v>9</v>
      </c>
      <c r="B48" s="257" t="s">
        <v>447</v>
      </c>
      <c r="C48" s="260">
        <v>107</v>
      </c>
      <c r="D48" s="260">
        <v>120</v>
      </c>
      <c r="E48" s="260">
        <f t="shared" si="4"/>
        <v>13</v>
      </c>
      <c r="F48" s="259">
        <f t="shared" si="5"/>
        <v>0.12149532710280374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14112017</v>
      </c>
      <c r="D49" s="263">
        <f>+D40+D42</f>
        <v>15583842</v>
      </c>
      <c r="E49" s="263">
        <f t="shared" si="4"/>
        <v>1471825</v>
      </c>
      <c r="F49" s="264">
        <f t="shared" si="5"/>
        <v>0.10429586358916659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6029203</v>
      </c>
      <c r="D50" s="263">
        <f>+D41+D43</f>
        <v>6166407</v>
      </c>
      <c r="E50" s="263">
        <f t="shared" si="4"/>
        <v>137204</v>
      </c>
      <c r="F50" s="264">
        <f t="shared" si="5"/>
        <v>2.2756573298328153E-2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2449807</v>
      </c>
      <c r="D66" s="258">
        <v>2296194</v>
      </c>
      <c r="E66" s="258">
        <f t="shared" ref="E66:E76" si="8">D66-C66</f>
        <v>-153613</v>
      </c>
      <c r="F66" s="259">
        <f t="shared" ref="F66:F76" si="9">IF(C66=0,0,E66/C66)</f>
        <v>-6.2704123222768166E-2</v>
      </c>
    </row>
    <row r="67" spans="1:6" ht="20.25" customHeight="1" x14ac:dyDescent="0.3">
      <c r="A67" s="256">
        <v>2</v>
      </c>
      <c r="B67" s="257" t="s">
        <v>442</v>
      </c>
      <c r="C67" s="258">
        <v>1120354</v>
      </c>
      <c r="D67" s="258">
        <v>1045618</v>
      </c>
      <c r="E67" s="258">
        <f t="shared" si="8"/>
        <v>-74736</v>
      </c>
      <c r="F67" s="259">
        <f t="shared" si="9"/>
        <v>-6.6707487097828005E-2</v>
      </c>
    </row>
    <row r="68" spans="1:6" ht="20.25" customHeight="1" x14ac:dyDescent="0.3">
      <c r="A68" s="256">
        <v>3</v>
      </c>
      <c r="B68" s="257" t="s">
        <v>443</v>
      </c>
      <c r="C68" s="258">
        <v>1922823</v>
      </c>
      <c r="D68" s="258">
        <v>1238650</v>
      </c>
      <c r="E68" s="258">
        <f t="shared" si="8"/>
        <v>-684173</v>
      </c>
      <c r="F68" s="259">
        <f t="shared" si="9"/>
        <v>-0.35581694206903081</v>
      </c>
    </row>
    <row r="69" spans="1:6" ht="20.25" customHeight="1" x14ac:dyDescent="0.3">
      <c r="A69" s="256">
        <v>4</v>
      </c>
      <c r="B69" s="257" t="s">
        <v>444</v>
      </c>
      <c r="C69" s="258">
        <v>549362</v>
      </c>
      <c r="D69" s="258">
        <v>355388</v>
      </c>
      <c r="E69" s="258">
        <f t="shared" si="8"/>
        <v>-193974</v>
      </c>
      <c r="F69" s="259">
        <f t="shared" si="9"/>
        <v>-0.35308958391734413</v>
      </c>
    </row>
    <row r="70" spans="1:6" ht="20.25" customHeight="1" x14ac:dyDescent="0.3">
      <c r="A70" s="256">
        <v>5</v>
      </c>
      <c r="B70" s="257" t="s">
        <v>381</v>
      </c>
      <c r="C70" s="260">
        <v>68</v>
      </c>
      <c r="D70" s="260">
        <v>56</v>
      </c>
      <c r="E70" s="260">
        <f t="shared" si="8"/>
        <v>-12</v>
      </c>
      <c r="F70" s="259">
        <f t="shared" si="9"/>
        <v>-0.17647058823529413</v>
      </c>
    </row>
    <row r="71" spans="1:6" ht="20.25" customHeight="1" x14ac:dyDescent="0.3">
      <c r="A71" s="256">
        <v>6</v>
      </c>
      <c r="B71" s="257" t="s">
        <v>380</v>
      </c>
      <c r="C71" s="260">
        <v>415</v>
      </c>
      <c r="D71" s="260">
        <v>410</v>
      </c>
      <c r="E71" s="260">
        <f t="shared" si="8"/>
        <v>-5</v>
      </c>
      <c r="F71" s="259">
        <f t="shared" si="9"/>
        <v>-1.2048192771084338E-2</v>
      </c>
    </row>
    <row r="72" spans="1:6" ht="20.25" customHeight="1" x14ac:dyDescent="0.3">
      <c r="A72" s="256">
        <v>7</v>
      </c>
      <c r="B72" s="257" t="s">
        <v>445</v>
      </c>
      <c r="C72" s="260">
        <v>1268</v>
      </c>
      <c r="D72" s="260">
        <v>942</v>
      </c>
      <c r="E72" s="260">
        <f t="shared" si="8"/>
        <v>-326</v>
      </c>
      <c r="F72" s="259">
        <f t="shared" si="9"/>
        <v>-0.25709779179810727</v>
      </c>
    </row>
    <row r="73" spans="1:6" ht="20.25" customHeight="1" x14ac:dyDescent="0.3">
      <c r="A73" s="256">
        <v>8</v>
      </c>
      <c r="B73" s="257" t="s">
        <v>446</v>
      </c>
      <c r="C73" s="260">
        <v>121</v>
      </c>
      <c r="D73" s="260">
        <v>91</v>
      </c>
      <c r="E73" s="260">
        <f t="shared" si="8"/>
        <v>-30</v>
      </c>
      <c r="F73" s="259">
        <f t="shared" si="9"/>
        <v>-0.24793388429752067</v>
      </c>
    </row>
    <row r="74" spans="1:6" ht="20.25" customHeight="1" x14ac:dyDescent="0.3">
      <c r="A74" s="256">
        <v>9</v>
      </c>
      <c r="B74" s="257" t="s">
        <v>447</v>
      </c>
      <c r="C74" s="260">
        <v>51</v>
      </c>
      <c r="D74" s="260">
        <v>41</v>
      </c>
      <c r="E74" s="260">
        <f t="shared" si="8"/>
        <v>-10</v>
      </c>
      <c r="F74" s="259">
        <f t="shared" si="9"/>
        <v>-0.19607843137254902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4372630</v>
      </c>
      <c r="D75" s="263">
        <f>+D66+D68</f>
        <v>3534844</v>
      </c>
      <c r="E75" s="263">
        <f t="shared" si="8"/>
        <v>-837786</v>
      </c>
      <c r="F75" s="264">
        <f t="shared" si="9"/>
        <v>-0.19159773408680816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1669716</v>
      </c>
      <c r="D76" s="263">
        <f>+D67+D69</f>
        <v>1401006</v>
      </c>
      <c r="E76" s="263">
        <f t="shared" si="8"/>
        <v>-268710</v>
      </c>
      <c r="F76" s="264">
        <f t="shared" si="9"/>
        <v>-0.16093155961852196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1692</v>
      </c>
      <c r="D81" s="258">
        <v>0</v>
      </c>
      <c r="E81" s="258">
        <f t="shared" si="10"/>
        <v>-1692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1029</v>
      </c>
      <c r="D82" s="258">
        <v>0</v>
      </c>
      <c r="E82" s="258">
        <f t="shared" si="10"/>
        <v>-1029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4</v>
      </c>
      <c r="D85" s="260">
        <v>1</v>
      </c>
      <c r="E85" s="260">
        <f t="shared" si="10"/>
        <v>-3</v>
      </c>
      <c r="F85" s="259">
        <f t="shared" si="11"/>
        <v>-0.75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1692</v>
      </c>
      <c r="D88" s="263">
        <f>+D79+D81</f>
        <v>0</v>
      </c>
      <c r="E88" s="263">
        <f t="shared" si="10"/>
        <v>-1692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1029</v>
      </c>
      <c r="D89" s="263">
        <f>+D80+D82</f>
        <v>0</v>
      </c>
      <c r="E89" s="263">
        <f t="shared" si="10"/>
        <v>-1029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5477174</v>
      </c>
      <c r="D92" s="258">
        <v>7742178</v>
      </c>
      <c r="E92" s="258">
        <f t="shared" ref="E92:E102" si="12">D92-C92</f>
        <v>2265004</v>
      </c>
      <c r="F92" s="259">
        <f t="shared" ref="F92:F102" si="13">IF(C92=0,0,E92/C92)</f>
        <v>0.41353515517308742</v>
      </c>
    </row>
    <row r="93" spans="1:6" ht="20.25" customHeight="1" x14ac:dyDescent="0.3">
      <c r="A93" s="256">
        <v>2</v>
      </c>
      <c r="B93" s="257" t="s">
        <v>442</v>
      </c>
      <c r="C93" s="258">
        <v>2724697</v>
      </c>
      <c r="D93" s="258">
        <v>3886232</v>
      </c>
      <c r="E93" s="258">
        <f t="shared" si="12"/>
        <v>1161535</v>
      </c>
      <c r="F93" s="259">
        <f t="shared" si="13"/>
        <v>0.4262987774420422</v>
      </c>
    </row>
    <row r="94" spans="1:6" ht="20.25" customHeight="1" x14ac:dyDescent="0.3">
      <c r="A94" s="256">
        <v>3</v>
      </c>
      <c r="B94" s="257" t="s">
        <v>443</v>
      </c>
      <c r="C94" s="258">
        <v>7053570</v>
      </c>
      <c r="D94" s="258">
        <v>8561066</v>
      </c>
      <c r="E94" s="258">
        <f t="shared" si="12"/>
        <v>1507496</v>
      </c>
      <c r="F94" s="259">
        <f t="shared" si="13"/>
        <v>0.21372099518399904</v>
      </c>
    </row>
    <row r="95" spans="1:6" ht="20.25" customHeight="1" x14ac:dyDescent="0.3">
      <c r="A95" s="256">
        <v>4</v>
      </c>
      <c r="B95" s="257" t="s">
        <v>444</v>
      </c>
      <c r="C95" s="258">
        <v>2176488</v>
      </c>
      <c r="D95" s="258">
        <v>2379135</v>
      </c>
      <c r="E95" s="258">
        <f t="shared" si="12"/>
        <v>202647</v>
      </c>
      <c r="F95" s="259">
        <f t="shared" si="13"/>
        <v>9.3107336222391299E-2</v>
      </c>
    </row>
    <row r="96" spans="1:6" ht="20.25" customHeight="1" x14ac:dyDescent="0.3">
      <c r="A96" s="256">
        <v>5</v>
      </c>
      <c r="B96" s="257" t="s">
        <v>381</v>
      </c>
      <c r="C96" s="260">
        <v>180</v>
      </c>
      <c r="D96" s="260">
        <v>251</v>
      </c>
      <c r="E96" s="260">
        <f t="shared" si="12"/>
        <v>71</v>
      </c>
      <c r="F96" s="259">
        <f t="shared" si="13"/>
        <v>0.39444444444444443</v>
      </c>
    </row>
    <row r="97" spans="1:6" ht="20.25" customHeight="1" x14ac:dyDescent="0.3">
      <c r="A97" s="256">
        <v>6</v>
      </c>
      <c r="B97" s="257" t="s">
        <v>380</v>
      </c>
      <c r="C97" s="260">
        <v>700</v>
      </c>
      <c r="D97" s="260">
        <v>1157</v>
      </c>
      <c r="E97" s="260">
        <f t="shared" si="12"/>
        <v>457</v>
      </c>
      <c r="F97" s="259">
        <f t="shared" si="13"/>
        <v>0.6528571428571428</v>
      </c>
    </row>
    <row r="98" spans="1:6" ht="20.25" customHeight="1" x14ac:dyDescent="0.3">
      <c r="A98" s="256">
        <v>7</v>
      </c>
      <c r="B98" s="257" t="s">
        <v>445</v>
      </c>
      <c r="C98" s="260">
        <v>6176</v>
      </c>
      <c r="D98" s="260">
        <v>7512</v>
      </c>
      <c r="E98" s="260">
        <f t="shared" si="12"/>
        <v>1336</v>
      </c>
      <c r="F98" s="259">
        <f t="shared" si="13"/>
        <v>0.21632124352331605</v>
      </c>
    </row>
    <row r="99" spans="1:6" ht="20.25" customHeight="1" x14ac:dyDescent="0.3">
      <c r="A99" s="256">
        <v>8</v>
      </c>
      <c r="B99" s="257" t="s">
        <v>446</v>
      </c>
      <c r="C99" s="260">
        <v>344</v>
      </c>
      <c r="D99" s="260">
        <v>431</v>
      </c>
      <c r="E99" s="260">
        <f t="shared" si="12"/>
        <v>87</v>
      </c>
      <c r="F99" s="259">
        <f t="shared" si="13"/>
        <v>0.25290697674418605</v>
      </c>
    </row>
    <row r="100" spans="1:6" ht="20.25" customHeight="1" x14ac:dyDescent="0.3">
      <c r="A100" s="256">
        <v>9</v>
      </c>
      <c r="B100" s="257" t="s">
        <v>447</v>
      </c>
      <c r="C100" s="260">
        <v>110</v>
      </c>
      <c r="D100" s="260">
        <v>167</v>
      </c>
      <c r="E100" s="260">
        <f t="shared" si="12"/>
        <v>57</v>
      </c>
      <c r="F100" s="259">
        <f t="shared" si="13"/>
        <v>0.51818181818181819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12530744</v>
      </c>
      <c r="D101" s="263">
        <f>+D92+D94</f>
        <v>16303244</v>
      </c>
      <c r="E101" s="263">
        <f t="shared" si="12"/>
        <v>3772500</v>
      </c>
      <c r="F101" s="264">
        <f t="shared" si="13"/>
        <v>0.30105953804498758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4901185</v>
      </c>
      <c r="D102" s="263">
        <f>+D93+D95</f>
        <v>6265367</v>
      </c>
      <c r="E102" s="263">
        <f t="shared" si="12"/>
        <v>1364182</v>
      </c>
      <c r="F102" s="264">
        <f t="shared" si="13"/>
        <v>0.2783371776417336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192078</v>
      </c>
      <c r="D105" s="258">
        <v>450954</v>
      </c>
      <c r="E105" s="258">
        <f t="shared" ref="E105:E115" si="14">D105-C105</f>
        <v>258876</v>
      </c>
      <c r="F105" s="259">
        <f t="shared" ref="F105:F115" si="15">IF(C105=0,0,E105/C105)</f>
        <v>1.3477649704807422</v>
      </c>
    </row>
    <row r="106" spans="1:6" ht="20.25" customHeight="1" x14ac:dyDescent="0.3">
      <c r="A106" s="256">
        <v>2</v>
      </c>
      <c r="B106" s="257" t="s">
        <v>442</v>
      </c>
      <c r="C106" s="258">
        <v>113489</v>
      </c>
      <c r="D106" s="258">
        <v>267795</v>
      </c>
      <c r="E106" s="258">
        <f t="shared" si="14"/>
        <v>154306</v>
      </c>
      <c r="F106" s="259">
        <f t="shared" si="15"/>
        <v>1.3596560019032682</v>
      </c>
    </row>
    <row r="107" spans="1:6" ht="20.25" customHeight="1" x14ac:dyDescent="0.3">
      <c r="A107" s="256">
        <v>3</v>
      </c>
      <c r="B107" s="257" t="s">
        <v>443</v>
      </c>
      <c r="C107" s="258">
        <v>69344</v>
      </c>
      <c r="D107" s="258">
        <v>151284</v>
      </c>
      <c r="E107" s="258">
        <f t="shared" si="14"/>
        <v>81940</v>
      </c>
      <c r="F107" s="259">
        <f t="shared" si="15"/>
        <v>1.1816451315182279</v>
      </c>
    </row>
    <row r="108" spans="1:6" ht="20.25" customHeight="1" x14ac:dyDescent="0.3">
      <c r="A108" s="256">
        <v>4</v>
      </c>
      <c r="B108" s="257" t="s">
        <v>444</v>
      </c>
      <c r="C108" s="258">
        <v>16171</v>
      </c>
      <c r="D108" s="258">
        <v>48128</v>
      </c>
      <c r="E108" s="258">
        <f t="shared" si="14"/>
        <v>31957</v>
      </c>
      <c r="F108" s="259">
        <f t="shared" si="15"/>
        <v>1.9761919485498731</v>
      </c>
    </row>
    <row r="109" spans="1:6" ht="20.25" customHeight="1" x14ac:dyDescent="0.3">
      <c r="A109" s="256">
        <v>5</v>
      </c>
      <c r="B109" s="257" t="s">
        <v>381</v>
      </c>
      <c r="C109" s="260">
        <v>6</v>
      </c>
      <c r="D109" s="260">
        <v>16</v>
      </c>
      <c r="E109" s="260">
        <f t="shared" si="14"/>
        <v>10</v>
      </c>
      <c r="F109" s="259">
        <f t="shared" si="15"/>
        <v>1.6666666666666667</v>
      </c>
    </row>
    <row r="110" spans="1:6" ht="20.25" customHeight="1" x14ac:dyDescent="0.3">
      <c r="A110" s="256">
        <v>6</v>
      </c>
      <c r="B110" s="257" t="s">
        <v>380</v>
      </c>
      <c r="C110" s="260">
        <v>18</v>
      </c>
      <c r="D110" s="260">
        <v>83</v>
      </c>
      <c r="E110" s="260">
        <f t="shared" si="14"/>
        <v>65</v>
      </c>
      <c r="F110" s="259">
        <f t="shared" si="15"/>
        <v>3.6111111111111112</v>
      </c>
    </row>
    <row r="111" spans="1:6" ht="20.25" customHeight="1" x14ac:dyDescent="0.3">
      <c r="A111" s="256">
        <v>7</v>
      </c>
      <c r="B111" s="257" t="s">
        <v>445</v>
      </c>
      <c r="C111" s="260">
        <v>50</v>
      </c>
      <c r="D111" s="260">
        <v>99</v>
      </c>
      <c r="E111" s="260">
        <f t="shared" si="14"/>
        <v>49</v>
      </c>
      <c r="F111" s="259">
        <f t="shared" si="15"/>
        <v>0.98</v>
      </c>
    </row>
    <row r="112" spans="1:6" ht="20.25" customHeight="1" x14ac:dyDescent="0.3">
      <c r="A112" s="256">
        <v>8</v>
      </c>
      <c r="B112" s="257" t="s">
        <v>446</v>
      </c>
      <c r="C112" s="260">
        <v>37</v>
      </c>
      <c r="D112" s="260">
        <v>43</v>
      </c>
      <c r="E112" s="260">
        <f t="shared" si="14"/>
        <v>6</v>
      </c>
      <c r="F112" s="259">
        <f t="shared" si="15"/>
        <v>0.16216216216216217</v>
      </c>
    </row>
    <row r="113" spans="1:6" ht="20.25" customHeight="1" x14ac:dyDescent="0.3">
      <c r="A113" s="256">
        <v>9</v>
      </c>
      <c r="B113" s="257" t="s">
        <v>447</v>
      </c>
      <c r="C113" s="260">
        <v>3</v>
      </c>
      <c r="D113" s="260">
        <v>14</v>
      </c>
      <c r="E113" s="260">
        <f t="shared" si="14"/>
        <v>11</v>
      </c>
      <c r="F113" s="259">
        <f t="shared" si="15"/>
        <v>3.6666666666666665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261422</v>
      </c>
      <c r="D114" s="263">
        <f>+D105+D107</f>
        <v>602238</v>
      </c>
      <c r="E114" s="263">
        <f t="shared" si="14"/>
        <v>340816</v>
      </c>
      <c r="F114" s="264">
        <f t="shared" si="15"/>
        <v>1.3037005301772613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129660</v>
      </c>
      <c r="D115" s="263">
        <f>+D106+D108</f>
        <v>315923</v>
      </c>
      <c r="E115" s="263">
        <f t="shared" si="14"/>
        <v>186263</v>
      </c>
      <c r="F115" s="264">
        <f t="shared" si="15"/>
        <v>1.4365494369890484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2481411</v>
      </c>
      <c r="D118" s="258">
        <v>4647448</v>
      </c>
      <c r="E118" s="258">
        <f t="shared" ref="E118:E128" si="16">D118-C118</f>
        <v>2166037</v>
      </c>
      <c r="F118" s="259">
        <f t="shared" ref="F118:F128" si="17">IF(C118=0,0,E118/C118)</f>
        <v>0.8729053752078958</v>
      </c>
    </row>
    <row r="119" spans="1:6" ht="20.25" customHeight="1" x14ac:dyDescent="0.3">
      <c r="A119" s="256">
        <v>2</v>
      </c>
      <c r="B119" s="257" t="s">
        <v>442</v>
      </c>
      <c r="C119" s="258">
        <v>1159036</v>
      </c>
      <c r="D119" s="258">
        <v>2291986</v>
      </c>
      <c r="E119" s="258">
        <f t="shared" si="16"/>
        <v>1132950</v>
      </c>
      <c r="F119" s="259">
        <f t="shared" si="17"/>
        <v>0.97749336517588759</v>
      </c>
    </row>
    <row r="120" spans="1:6" ht="20.25" customHeight="1" x14ac:dyDescent="0.3">
      <c r="A120" s="256">
        <v>3</v>
      </c>
      <c r="B120" s="257" t="s">
        <v>443</v>
      </c>
      <c r="C120" s="258">
        <v>3185640</v>
      </c>
      <c r="D120" s="258">
        <v>4533626</v>
      </c>
      <c r="E120" s="258">
        <f t="shared" si="16"/>
        <v>1347986</v>
      </c>
      <c r="F120" s="259">
        <f t="shared" si="17"/>
        <v>0.42314448588038822</v>
      </c>
    </row>
    <row r="121" spans="1:6" ht="20.25" customHeight="1" x14ac:dyDescent="0.3">
      <c r="A121" s="256">
        <v>4</v>
      </c>
      <c r="B121" s="257" t="s">
        <v>444</v>
      </c>
      <c r="C121" s="258">
        <v>985020</v>
      </c>
      <c r="D121" s="258">
        <v>1324185</v>
      </c>
      <c r="E121" s="258">
        <f t="shared" si="16"/>
        <v>339165</v>
      </c>
      <c r="F121" s="259">
        <f t="shared" si="17"/>
        <v>0.34432295790948408</v>
      </c>
    </row>
    <row r="122" spans="1:6" ht="20.25" customHeight="1" x14ac:dyDescent="0.3">
      <c r="A122" s="256">
        <v>5</v>
      </c>
      <c r="B122" s="257" t="s">
        <v>381</v>
      </c>
      <c r="C122" s="260">
        <v>80</v>
      </c>
      <c r="D122" s="260">
        <v>139</v>
      </c>
      <c r="E122" s="260">
        <f t="shared" si="16"/>
        <v>59</v>
      </c>
      <c r="F122" s="259">
        <f t="shared" si="17"/>
        <v>0.73750000000000004</v>
      </c>
    </row>
    <row r="123" spans="1:6" ht="20.25" customHeight="1" x14ac:dyDescent="0.3">
      <c r="A123" s="256">
        <v>6</v>
      </c>
      <c r="B123" s="257" t="s">
        <v>380</v>
      </c>
      <c r="C123" s="260">
        <v>413</v>
      </c>
      <c r="D123" s="260">
        <v>654</v>
      </c>
      <c r="E123" s="260">
        <f t="shared" si="16"/>
        <v>241</v>
      </c>
      <c r="F123" s="259">
        <f t="shared" si="17"/>
        <v>0.58353510895883776</v>
      </c>
    </row>
    <row r="124" spans="1:6" ht="20.25" customHeight="1" x14ac:dyDescent="0.3">
      <c r="A124" s="256">
        <v>7</v>
      </c>
      <c r="B124" s="257" t="s">
        <v>445</v>
      </c>
      <c r="C124" s="260">
        <v>2793</v>
      </c>
      <c r="D124" s="260">
        <v>4010</v>
      </c>
      <c r="E124" s="260">
        <f t="shared" si="16"/>
        <v>1217</v>
      </c>
      <c r="F124" s="259">
        <f t="shared" si="17"/>
        <v>0.43573218761188687</v>
      </c>
    </row>
    <row r="125" spans="1:6" ht="20.25" customHeight="1" x14ac:dyDescent="0.3">
      <c r="A125" s="256">
        <v>8</v>
      </c>
      <c r="B125" s="257" t="s">
        <v>446</v>
      </c>
      <c r="C125" s="260">
        <v>121</v>
      </c>
      <c r="D125" s="260">
        <v>172</v>
      </c>
      <c r="E125" s="260">
        <f t="shared" si="16"/>
        <v>51</v>
      </c>
      <c r="F125" s="259">
        <f t="shared" si="17"/>
        <v>0.42148760330578511</v>
      </c>
    </row>
    <row r="126" spans="1:6" ht="20.25" customHeight="1" x14ac:dyDescent="0.3">
      <c r="A126" s="256">
        <v>9</v>
      </c>
      <c r="B126" s="257" t="s">
        <v>447</v>
      </c>
      <c r="C126" s="260">
        <v>64</v>
      </c>
      <c r="D126" s="260">
        <v>106</v>
      </c>
      <c r="E126" s="260">
        <f t="shared" si="16"/>
        <v>42</v>
      </c>
      <c r="F126" s="259">
        <f t="shared" si="17"/>
        <v>0.65625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5667051</v>
      </c>
      <c r="D127" s="263">
        <f>+D118+D120</f>
        <v>9181074</v>
      </c>
      <c r="E127" s="263">
        <f t="shared" si="16"/>
        <v>3514023</v>
      </c>
      <c r="F127" s="264">
        <f t="shared" si="17"/>
        <v>0.62007964989198083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2144056</v>
      </c>
      <c r="D128" s="263">
        <f>+D119+D121</f>
        <v>3616171</v>
      </c>
      <c r="E128" s="263">
        <f t="shared" si="16"/>
        <v>1472115</v>
      </c>
      <c r="F128" s="264">
        <f t="shared" si="17"/>
        <v>0.68660286858179076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47217</v>
      </c>
      <c r="D131" s="258">
        <v>29047</v>
      </c>
      <c r="E131" s="258">
        <f t="shared" ref="E131:E141" si="18">D131-C131</f>
        <v>-18170</v>
      </c>
      <c r="F131" s="259">
        <f t="shared" ref="F131:F141" si="19">IF(C131=0,0,E131/C131)</f>
        <v>-0.38481902704534382</v>
      </c>
    </row>
    <row r="132" spans="1:6" ht="20.25" customHeight="1" x14ac:dyDescent="0.3">
      <c r="A132" s="256">
        <v>2</v>
      </c>
      <c r="B132" s="257" t="s">
        <v>442</v>
      </c>
      <c r="C132" s="258">
        <v>24041</v>
      </c>
      <c r="D132" s="258">
        <v>10836</v>
      </c>
      <c r="E132" s="258">
        <f t="shared" si="18"/>
        <v>-13205</v>
      </c>
      <c r="F132" s="259">
        <f t="shared" si="19"/>
        <v>-0.54926999708830748</v>
      </c>
    </row>
    <row r="133" spans="1:6" ht="20.25" customHeight="1" x14ac:dyDescent="0.3">
      <c r="A133" s="256">
        <v>3</v>
      </c>
      <c r="B133" s="257" t="s">
        <v>443</v>
      </c>
      <c r="C133" s="258">
        <v>124172</v>
      </c>
      <c r="D133" s="258">
        <v>31193</v>
      </c>
      <c r="E133" s="258">
        <f t="shared" si="18"/>
        <v>-92979</v>
      </c>
      <c r="F133" s="259">
        <f t="shared" si="19"/>
        <v>-0.74879199819605069</v>
      </c>
    </row>
    <row r="134" spans="1:6" ht="20.25" customHeight="1" x14ac:dyDescent="0.3">
      <c r="A134" s="256">
        <v>4</v>
      </c>
      <c r="B134" s="257" t="s">
        <v>444</v>
      </c>
      <c r="C134" s="258">
        <v>49084</v>
      </c>
      <c r="D134" s="258">
        <v>8848</v>
      </c>
      <c r="E134" s="258">
        <f t="shared" si="18"/>
        <v>-40236</v>
      </c>
      <c r="F134" s="259">
        <f t="shared" si="19"/>
        <v>-0.81973759269823165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1</v>
      </c>
      <c r="E135" s="260">
        <f t="shared" si="18"/>
        <v>-1</v>
      </c>
      <c r="F135" s="259">
        <f t="shared" si="19"/>
        <v>-0.5</v>
      </c>
    </row>
    <row r="136" spans="1:6" ht="20.25" customHeight="1" x14ac:dyDescent="0.3">
      <c r="A136" s="256">
        <v>6</v>
      </c>
      <c r="B136" s="257" t="s">
        <v>380</v>
      </c>
      <c r="C136" s="260">
        <v>7</v>
      </c>
      <c r="D136" s="260">
        <v>5</v>
      </c>
      <c r="E136" s="260">
        <f t="shared" si="18"/>
        <v>-2</v>
      </c>
      <c r="F136" s="259">
        <f t="shared" si="19"/>
        <v>-0.2857142857142857</v>
      </c>
    </row>
    <row r="137" spans="1:6" ht="20.25" customHeight="1" x14ac:dyDescent="0.3">
      <c r="A137" s="256">
        <v>7</v>
      </c>
      <c r="B137" s="257" t="s">
        <v>445</v>
      </c>
      <c r="C137" s="260">
        <v>128</v>
      </c>
      <c r="D137" s="260">
        <v>44</v>
      </c>
      <c r="E137" s="260">
        <f t="shared" si="18"/>
        <v>-84</v>
      </c>
      <c r="F137" s="259">
        <f t="shared" si="19"/>
        <v>-0.65625</v>
      </c>
    </row>
    <row r="138" spans="1:6" ht="20.25" customHeight="1" x14ac:dyDescent="0.3">
      <c r="A138" s="256">
        <v>8</v>
      </c>
      <c r="B138" s="257" t="s">
        <v>446</v>
      </c>
      <c r="C138" s="260">
        <v>3</v>
      </c>
      <c r="D138" s="260">
        <v>6</v>
      </c>
      <c r="E138" s="260">
        <f t="shared" si="18"/>
        <v>3</v>
      </c>
      <c r="F138" s="259">
        <f t="shared" si="19"/>
        <v>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1</v>
      </c>
      <c r="E139" s="260">
        <f t="shared" si="18"/>
        <v>1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171389</v>
      </c>
      <c r="D140" s="263">
        <f>+D131+D133</f>
        <v>60240</v>
      </c>
      <c r="E140" s="263">
        <f t="shared" si="18"/>
        <v>-111149</v>
      </c>
      <c r="F140" s="264">
        <f t="shared" si="19"/>
        <v>-0.64851886643833623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73125</v>
      </c>
      <c r="D141" s="263">
        <f>+D132+D134</f>
        <v>19684</v>
      </c>
      <c r="E141" s="263">
        <f t="shared" si="18"/>
        <v>-53441</v>
      </c>
      <c r="F141" s="264">
        <f t="shared" si="19"/>
        <v>-0.73081709401709405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593254</v>
      </c>
      <c r="D183" s="258">
        <v>460169</v>
      </c>
      <c r="E183" s="258">
        <f t="shared" ref="E183:E193" si="26">D183-C183</f>
        <v>-133085</v>
      </c>
      <c r="F183" s="259">
        <f t="shared" ref="F183:F193" si="27">IF(C183=0,0,E183/C183)</f>
        <v>-0.22433055655756218</v>
      </c>
    </row>
    <row r="184" spans="1:6" ht="20.25" customHeight="1" x14ac:dyDescent="0.3">
      <c r="A184" s="256">
        <v>2</v>
      </c>
      <c r="B184" s="257" t="s">
        <v>442</v>
      </c>
      <c r="C184" s="258">
        <v>410789</v>
      </c>
      <c r="D184" s="258">
        <v>236956</v>
      </c>
      <c r="E184" s="258">
        <f t="shared" si="26"/>
        <v>-173833</v>
      </c>
      <c r="F184" s="259">
        <f t="shared" si="27"/>
        <v>-0.42316858533212914</v>
      </c>
    </row>
    <row r="185" spans="1:6" ht="20.25" customHeight="1" x14ac:dyDescent="0.3">
      <c r="A185" s="256">
        <v>3</v>
      </c>
      <c r="B185" s="257" t="s">
        <v>443</v>
      </c>
      <c r="C185" s="258">
        <v>628566</v>
      </c>
      <c r="D185" s="258">
        <v>222880</v>
      </c>
      <c r="E185" s="258">
        <f t="shared" si="26"/>
        <v>-405686</v>
      </c>
      <c r="F185" s="259">
        <f t="shared" si="27"/>
        <v>-0.64541511949421382</v>
      </c>
    </row>
    <row r="186" spans="1:6" ht="20.25" customHeight="1" x14ac:dyDescent="0.3">
      <c r="A186" s="256">
        <v>4</v>
      </c>
      <c r="B186" s="257" t="s">
        <v>444</v>
      </c>
      <c r="C186" s="258">
        <v>185208</v>
      </c>
      <c r="D186" s="258">
        <v>63496</v>
      </c>
      <c r="E186" s="258">
        <f t="shared" si="26"/>
        <v>-121712</v>
      </c>
      <c r="F186" s="259">
        <f t="shared" si="27"/>
        <v>-0.65716383741523043</v>
      </c>
    </row>
    <row r="187" spans="1:6" ht="20.25" customHeight="1" x14ac:dyDescent="0.3">
      <c r="A187" s="256">
        <v>5</v>
      </c>
      <c r="B187" s="257" t="s">
        <v>381</v>
      </c>
      <c r="C187" s="260">
        <v>26</v>
      </c>
      <c r="D187" s="260">
        <v>15</v>
      </c>
      <c r="E187" s="260">
        <f t="shared" si="26"/>
        <v>-11</v>
      </c>
      <c r="F187" s="259">
        <f t="shared" si="27"/>
        <v>-0.42307692307692307</v>
      </c>
    </row>
    <row r="188" spans="1:6" ht="20.25" customHeight="1" x14ac:dyDescent="0.3">
      <c r="A188" s="256">
        <v>6</v>
      </c>
      <c r="B188" s="257" t="s">
        <v>380</v>
      </c>
      <c r="C188" s="260">
        <v>110</v>
      </c>
      <c r="D188" s="260">
        <v>64</v>
      </c>
      <c r="E188" s="260">
        <f t="shared" si="26"/>
        <v>-46</v>
      </c>
      <c r="F188" s="259">
        <f t="shared" si="27"/>
        <v>-0.41818181818181815</v>
      </c>
    </row>
    <row r="189" spans="1:6" ht="20.25" customHeight="1" x14ac:dyDescent="0.3">
      <c r="A189" s="256">
        <v>7</v>
      </c>
      <c r="B189" s="257" t="s">
        <v>445</v>
      </c>
      <c r="C189" s="260">
        <v>513</v>
      </c>
      <c r="D189" s="260">
        <v>184</v>
      </c>
      <c r="E189" s="260">
        <f t="shared" si="26"/>
        <v>-329</v>
      </c>
      <c r="F189" s="259">
        <f t="shared" si="27"/>
        <v>-0.64132553606237819</v>
      </c>
    </row>
    <row r="190" spans="1:6" ht="20.25" customHeight="1" x14ac:dyDescent="0.3">
      <c r="A190" s="256">
        <v>8</v>
      </c>
      <c r="B190" s="257" t="s">
        <v>446</v>
      </c>
      <c r="C190" s="260">
        <v>91</v>
      </c>
      <c r="D190" s="260">
        <v>23</v>
      </c>
      <c r="E190" s="260">
        <f t="shared" si="26"/>
        <v>-68</v>
      </c>
      <c r="F190" s="259">
        <f t="shared" si="27"/>
        <v>-0.74725274725274726</v>
      </c>
    </row>
    <row r="191" spans="1:6" ht="20.25" customHeight="1" x14ac:dyDescent="0.3">
      <c r="A191" s="256">
        <v>9</v>
      </c>
      <c r="B191" s="257" t="s">
        <v>447</v>
      </c>
      <c r="C191" s="260">
        <v>22</v>
      </c>
      <c r="D191" s="260">
        <v>13</v>
      </c>
      <c r="E191" s="260">
        <f t="shared" si="26"/>
        <v>-9</v>
      </c>
      <c r="F191" s="259">
        <f t="shared" si="27"/>
        <v>-0.40909090909090912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1221820</v>
      </c>
      <c r="D192" s="263">
        <f>+D183+D185</f>
        <v>683049</v>
      </c>
      <c r="E192" s="263">
        <f t="shared" si="26"/>
        <v>-538771</v>
      </c>
      <c r="F192" s="264">
        <f t="shared" si="27"/>
        <v>-0.44095775155096495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595997</v>
      </c>
      <c r="D193" s="263">
        <f>+D184+D186</f>
        <v>300452</v>
      </c>
      <c r="E193" s="263">
        <f t="shared" si="26"/>
        <v>-295545</v>
      </c>
      <c r="F193" s="264">
        <f t="shared" si="27"/>
        <v>-0.49588336854044568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20414895</v>
      </c>
      <c r="D198" s="263">
        <f t="shared" si="28"/>
        <v>24471116</v>
      </c>
      <c r="E198" s="263">
        <f t="shared" ref="E198:E208" si="29">D198-C198</f>
        <v>4056221</v>
      </c>
      <c r="F198" s="273">
        <f t="shared" ref="F198:F208" si="30">IF(C198=0,0,E198/C198)</f>
        <v>0.19868929034413355</v>
      </c>
    </row>
    <row r="199" spans="1:9" ht="20.25" customHeight="1" x14ac:dyDescent="0.3">
      <c r="A199" s="271"/>
      <c r="B199" s="272" t="s">
        <v>466</v>
      </c>
      <c r="C199" s="263">
        <f t="shared" si="28"/>
        <v>10082014</v>
      </c>
      <c r="D199" s="263">
        <f t="shared" si="28"/>
        <v>12279773</v>
      </c>
      <c r="E199" s="263">
        <f t="shared" si="29"/>
        <v>2197759</v>
      </c>
      <c r="F199" s="273">
        <f t="shared" si="30"/>
        <v>0.21798809245851078</v>
      </c>
    </row>
    <row r="200" spans="1:9" ht="20.25" customHeight="1" x14ac:dyDescent="0.3">
      <c r="A200" s="271"/>
      <c r="B200" s="272" t="s">
        <v>467</v>
      </c>
      <c r="C200" s="263">
        <f t="shared" si="28"/>
        <v>21774143</v>
      </c>
      <c r="D200" s="263">
        <f t="shared" si="28"/>
        <v>25677231</v>
      </c>
      <c r="E200" s="263">
        <f t="shared" si="29"/>
        <v>3903088</v>
      </c>
      <c r="F200" s="273">
        <f t="shared" si="30"/>
        <v>0.17925334650369476</v>
      </c>
    </row>
    <row r="201" spans="1:9" ht="20.25" customHeight="1" x14ac:dyDescent="0.3">
      <c r="A201" s="271"/>
      <c r="B201" s="272" t="s">
        <v>468</v>
      </c>
      <c r="C201" s="263">
        <f t="shared" si="28"/>
        <v>7148700</v>
      </c>
      <c r="D201" s="263">
        <f t="shared" si="28"/>
        <v>7752655</v>
      </c>
      <c r="E201" s="263">
        <f t="shared" si="29"/>
        <v>603955</v>
      </c>
      <c r="F201" s="273">
        <f t="shared" si="30"/>
        <v>8.4484591604067877E-2</v>
      </c>
    </row>
    <row r="202" spans="1:9" ht="20.25" customHeight="1" x14ac:dyDescent="0.3">
      <c r="A202" s="271"/>
      <c r="B202" s="272" t="s">
        <v>138</v>
      </c>
      <c r="C202" s="274">
        <f t="shared" si="28"/>
        <v>599</v>
      </c>
      <c r="D202" s="274">
        <f t="shared" si="28"/>
        <v>724</v>
      </c>
      <c r="E202" s="274">
        <f t="shared" si="29"/>
        <v>125</v>
      </c>
      <c r="F202" s="273">
        <f t="shared" si="30"/>
        <v>0.20868113522537562</v>
      </c>
    </row>
    <row r="203" spans="1:9" ht="20.25" customHeight="1" x14ac:dyDescent="0.3">
      <c r="A203" s="271"/>
      <c r="B203" s="272" t="s">
        <v>140</v>
      </c>
      <c r="C203" s="274">
        <f t="shared" si="28"/>
        <v>2983</v>
      </c>
      <c r="D203" s="274">
        <f t="shared" si="28"/>
        <v>3433</v>
      </c>
      <c r="E203" s="274">
        <f t="shared" si="29"/>
        <v>450</v>
      </c>
      <c r="F203" s="273">
        <f t="shared" si="30"/>
        <v>0.15085484411666109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19366</v>
      </c>
      <c r="D204" s="274">
        <f t="shared" si="28"/>
        <v>21815</v>
      </c>
      <c r="E204" s="274">
        <f t="shared" si="29"/>
        <v>2449</v>
      </c>
      <c r="F204" s="273">
        <f t="shared" si="30"/>
        <v>0.12645874212537436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1077</v>
      </c>
      <c r="D205" s="274">
        <f t="shared" si="28"/>
        <v>1126</v>
      </c>
      <c r="E205" s="274">
        <f t="shared" si="29"/>
        <v>49</v>
      </c>
      <c r="F205" s="273">
        <f t="shared" si="30"/>
        <v>4.5496750232126279E-2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391</v>
      </c>
      <c r="D206" s="274">
        <f t="shared" si="28"/>
        <v>503</v>
      </c>
      <c r="E206" s="274">
        <f t="shared" si="29"/>
        <v>112</v>
      </c>
      <c r="F206" s="273">
        <f t="shared" si="30"/>
        <v>0.28644501278772377</v>
      </c>
    </row>
    <row r="207" spans="1:9" ht="20.25" customHeight="1" x14ac:dyDescent="0.3">
      <c r="A207" s="271"/>
      <c r="B207" s="262" t="s">
        <v>471</v>
      </c>
      <c r="C207" s="263">
        <f>+C198+C200</f>
        <v>42189038</v>
      </c>
      <c r="D207" s="263">
        <f>+D198+D200</f>
        <v>50148347</v>
      </c>
      <c r="E207" s="263">
        <f t="shared" si="29"/>
        <v>7959309</v>
      </c>
      <c r="F207" s="273">
        <f t="shared" si="30"/>
        <v>0.18865822444209324</v>
      </c>
    </row>
    <row r="208" spans="1:9" ht="20.25" customHeight="1" x14ac:dyDescent="0.3">
      <c r="A208" s="271"/>
      <c r="B208" s="262" t="s">
        <v>472</v>
      </c>
      <c r="C208" s="263">
        <f>+C199+C201</f>
        <v>17230714</v>
      </c>
      <c r="D208" s="263">
        <f>+D199+D201</f>
        <v>20032428</v>
      </c>
      <c r="E208" s="263">
        <f t="shared" si="29"/>
        <v>2801714</v>
      </c>
      <c r="F208" s="273">
        <f t="shared" si="30"/>
        <v>0.1625999944053392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1556645</v>
      </c>
      <c r="D26" s="258">
        <v>0</v>
      </c>
      <c r="E26" s="258">
        <f t="shared" ref="E26:E36" si="2">D26-C26</f>
        <v>-1556645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384413</v>
      </c>
      <c r="D27" s="258">
        <v>0</v>
      </c>
      <c r="E27" s="258">
        <f t="shared" si="2"/>
        <v>-384413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2612185</v>
      </c>
      <c r="D28" s="258">
        <v>0</v>
      </c>
      <c r="E28" s="258">
        <f t="shared" si="2"/>
        <v>-2612185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1194747</v>
      </c>
      <c r="D29" s="258">
        <v>0</v>
      </c>
      <c r="E29" s="258">
        <f t="shared" si="2"/>
        <v>-1194747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78</v>
      </c>
      <c r="D30" s="260">
        <v>0</v>
      </c>
      <c r="E30" s="260">
        <f t="shared" si="2"/>
        <v>-78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276</v>
      </c>
      <c r="D31" s="260">
        <v>0</v>
      </c>
      <c r="E31" s="260">
        <f t="shared" si="2"/>
        <v>-276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3836</v>
      </c>
      <c r="D32" s="260">
        <v>0</v>
      </c>
      <c r="E32" s="260">
        <f t="shared" si="2"/>
        <v>-3836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384</v>
      </c>
      <c r="D33" s="260">
        <v>0</v>
      </c>
      <c r="E33" s="260">
        <f t="shared" si="2"/>
        <v>-384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21</v>
      </c>
      <c r="D34" s="260">
        <v>0</v>
      </c>
      <c r="E34" s="260">
        <f t="shared" si="2"/>
        <v>-21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4168830</v>
      </c>
      <c r="D35" s="263">
        <f>+D26+D28</f>
        <v>0</v>
      </c>
      <c r="E35" s="263">
        <f t="shared" si="2"/>
        <v>-4168830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1579160</v>
      </c>
      <c r="D36" s="263">
        <f>+D27+D29</f>
        <v>0</v>
      </c>
      <c r="E36" s="263">
        <f t="shared" si="2"/>
        <v>-1579160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182594</v>
      </c>
      <c r="D86" s="258">
        <v>0</v>
      </c>
      <c r="E86" s="258">
        <f t="shared" ref="E86:E96" si="12">D86-C86</f>
        <v>-182594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49025</v>
      </c>
      <c r="D87" s="258">
        <v>0</v>
      </c>
      <c r="E87" s="258">
        <f t="shared" si="12"/>
        <v>-49025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379491</v>
      </c>
      <c r="D88" s="258">
        <v>0</v>
      </c>
      <c r="E88" s="258">
        <f t="shared" si="12"/>
        <v>-379491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153367</v>
      </c>
      <c r="D89" s="258">
        <v>0</v>
      </c>
      <c r="E89" s="258">
        <f t="shared" si="12"/>
        <v>-153367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9</v>
      </c>
      <c r="D90" s="260">
        <v>0</v>
      </c>
      <c r="E90" s="260">
        <f t="shared" si="12"/>
        <v>-9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39</v>
      </c>
      <c r="D91" s="260">
        <v>0</v>
      </c>
      <c r="E91" s="260">
        <f t="shared" si="12"/>
        <v>-39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680</v>
      </c>
      <c r="D92" s="260">
        <v>0</v>
      </c>
      <c r="E92" s="260">
        <f t="shared" si="12"/>
        <v>-680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51</v>
      </c>
      <c r="D93" s="260">
        <v>0</v>
      </c>
      <c r="E93" s="260">
        <f t="shared" si="12"/>
        <v>-51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2</v>
      </c>
      <c r="D94" s="260">
        <v>0</v>
      </c>
      <c r="E94" s="260">
        <f t="shared" si="12"/>
        <v>-2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562085</v>
      </c>
      <c r="D95" s="263">
        <f>+D86+D88</f>
        <v>0</v>
      </c>
      <c r="E95" s="263">
        <f t="shared" si="12"/>
        <v>-562085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202392</v>
      </c>
      <c r="D96" s="263">
        <f>+D87+D89</f>
        <v>0</v>
      </c>
      <c r="E96" s="263">
        <f t="shared" si="12"/>
        <v>-202392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299752</v>
      </c>
      <c r="D98" s="258">
        <v>0</v>
      </c>
      <c r="E98" s="258">
        <f t="shared" ref="E98:E108" si="14">D98-C98</f>
        <v>-299752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82373</v>
      </c>
      <c r="D99" s="258">
        <v>0</v>
      </c>
      <c r="E99" s="258">
        <f t="shared" si="14"/>
        <v>-82373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1082933</v>
      </c>
      <c r="D100" s="258">
        <v>0</v>
      </c>
      <c r="E100" s="258">
        <f t="shared" si="14"/>
        <v>-1082933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495545</v>
      </c>
      <c r="D101" s="258">
        <v>0</v>
      </c>
      <c r="E101" s="258">
        <f t="shared" si="14"/>
        <v>-495545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24</v>
      </c>
      <c r="D102" s="260">
        <v>0</v>
      </c>
      <c r="E102" s="260">
        <f t="shared" si="14"/>
        <v>-24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58</v>
      </c>
      <c r="D103" s="260">
        <v>0</v>
      </c>
      <c r="E103" s="260">
        <f t="shared" si="14"/>
        <v>-58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1380</v>
      </c>
      <c r="D104" s="260">
        <v>0</v>
      </c>
      <c r="E104" s="260">
        <f t="shared" si="14"/>
        <v>-1380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182</v>
      </c>
      <c r="D105" s="260">
        <v>0</v>
      </c>
      <c r="E105" s="260">
        <f t="shared" si="14"/>
        <v>-182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4</v>
      </c>
      <c r="D106" s="260">
        <v>0</v>
      </c>
      <c r="E106" s="260">
        <f t="shared" si="14"/>
        <v>-4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1382685</v>
      </c>
      <c r="D107" s="263">
        <f>+D98+D100</f>
        <v>0</v>
      </c>
      <c r="E107" s="263">
        <f t="shared" si="14"/>
        <v>-1382685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577918</v>
      </c>
      <c r="D108" s="263">
        <f>+D99+D101</f>
        <v>0</v>
      </c>
      <c r="E108" s="263">
        <f t="shared" si="14"/>
        <v>-577918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2038991</v>
      </c>
      <c r="D112" s="263">
        <f t="shared" si="16"/>
        <v>0</v>
      </c>
      <c r="E112" s="263">
        <f t="shared" ref="E112:E122" si="17">D112-C112</f>
        <v>-2038991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515811</v>
      </c>
      <c r="D113" s="263">
        <f t="shared" si="16"/>
        <v>0</v>
      </c>
      <c r="E113" s="263">
        <f t="shared" si="17"/>
        <v>-515811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4074609</v>
      </c>
      <c r="D114" s="263">
        <f t="shared" si="16"/>
        <v>0</v>
      </c>
      <c r="E114" s="263">
        <f t="shared" si="17"/>
        <v>-4074609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1843659</v>
      </c>
      <c r="D115" s="263">
        <f t="shared" si="16"/>
        <v>0</v>
      </c>
      <c r="E115" s="263">
        <f t="shared" si="17"/>
        <v>-1843659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111</v>
      </c>
      <c r="D116" s="287">
        <f t="shared" si="16"/>
        <v>0</v>
      </c>
      <c r="E116" s="287">
        <f t="shared" si="17"/>
        <v>-111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373</v>
      </c>
      <c r="D117" s="287">
        <f t="shared" si="16"/>
        <v>0</v>
      </c>
      <c r="E117" s="287">
        <f t="shared" si="17"/>
        <v>-373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5896</v>
      </c>
      <c r="D118" s="287">
        <f t="shared" si="16"/>
        <v>0</v>
      </c>
      <c r="E118" s="287">
        <f t="shared" si="17"/>
        <v>-5896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617</v>
      </c>
      <c r="D119" s="287">
        <f t="shared" si="16"/>
        <v>0</v>
      </c>
      <c r="E119" s="287">
        <f t="shared" si="17"/>
        <v>-617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27</v>
      </c>
      <c r="D120" s="287">
        <f t="shared" si="16"/>
        <v>0</v>
      </c>
      <c r="E120" s="287">
        <f t="shared" si="17"/>
        <v>-27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6113600</v>
      </c>
      <c r="D121" s="263">
        <f>+D112+D114</f>
        <v>0</v>
      </c>
      <c r="E121" s="263">
        <f t="shared" si="17"/>
        <v>-6113600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2359470</v>
      </c>
      <c r="D122" s="263">
        <f>+D113+D115</f>
        <v>0</v>
      </c>
      <c r="E122" s="263">
        <f t="shared" si="17"/>
        <v>-2359470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84404000</v>
      </c>
      <c r="D13" s="22">
        <v>46236000</v>
      </c>
      <c r="E13" s="22">
        <f t="shared" ref="E13:E22" si="0">D13-C13</f>
        <v>-38168000</v>
      </c>
      <c r="F13" s="306">
        <f t="shared" ref="F13:F22" si="1">IF(C13=0,0,E13/C13)</f>
        <v>-0.45220605658499596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41110000</v>
      </c>
      <c r="D15" s="22">
        <v>47513000</v>
      </c>
      <c r="E15" s="22">
        <f t="shared" si="0"/>
        <v>6403000</v>
      </c>
      <c r="F15" s="306">
        <f t="shared" si="1"/>
        <v>0.15575285818535636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48300000</v>
      </c>
      <c r="D17" s="22">
        <v>3938000</v>
      </c>
      <c r="E17" s="22">
        <f t="shared" si="0"/>
        <v>-44362000</v>
      </c>
      <c r="F17" s="306">
        <f t="shared" si="1"/>
        <v>-0.91846790890269148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10040000</v>
      </c>
      <c r="D19" s="22">
        <v>10478000</v>
      </c>
      <c r="E19" s="22">
        <f t="shared" si="0"/>
        <v>438000</v>
      </c>
      <c r="F19" s="306">
        <f t="shared" si="1"/>
        <v>4.3625498007968125E-2</v>
      </c>
    </row>
    <row r="20" spans="1:11" ht="24" customHeight="1" x14ac:dyDescent="0.2">
      <c r="A20" s="304">
        <v>8</v>
      </c>
      <c r="B20" s="305" t="s">
        <v>23</v>
      </c>
      <c r="C20" s="22">
        <v>4754000</v>
      </c>
      <c r="D20" s="22">
        <v>7192000</v>
      </c>
      <c r="E20" s="22">
        <f t="shared" si="0"/>
        <v>2438000</v>
      </c>
      <c r="F20" s="306">
        <f t="shared" si="1"/>
        <v>0.5128312999579302</v>
      </c>
    </row>
    <row r="21" spans="1:11" ht="24" customHeight="1" x14ac:dyDescent="0.2">
      <c r="A21" s="304">
        <v>9</v>
      </c>
      <c r="B21" s="305" t="s">
        <v>24</v>
      </c>
      <c r="C21" s="22">
        <v>48461000</v>
      </c>
      <c r="D21" s="22">
        <v>77805000</v>
      </c>
      <c r="E21" s="22">
        <f t="shared" si="0"/>
        <v>29344000</v>
      </c>
      <c r="F21" s="306">
        <f t="shared" si="1"/>
        <v>0.605517839087101</v>
      </c>
    </row>
    <row r="22" spans="1:11" ht="24" customHeight="1" x14ac:dyDescent="0.25">
      <c r="A22" s="307"/>
      <c r="B22" s="308" t="s">
        <v>25</v>
      </c>
      <c r="C22" s="309">
        <f>SUM(C13:C21)</f>
        <v>237069000</v>
      </c>
      <c r="D22" s="309">
        <f>SUM(D13:D21)</f>
        <v>193162000</v>
      </c>
      <c r="E22" s="309">
        <f t="shared" si="0"/>
        <v>-43907000</v>
      </c>
      <c r="F22" s="310">
        <f t="shared" si="1"/>
        <v>-0.18520768215160988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3643000</v>
      </c>
      <c r="D28" s="22">
        <v>0</v>
      </c>
      <c r="E28" s="22">
        <f>D28-C28</f>
        <v>-3643000</v>
      </c>
      <c r="F28" s="306">
        <f>IF(C28=0,0,E28/C28)</f>
        <v>-1</v>
      </c>
    </row>
    <row r="29" spans="1:11" ht="35.1" customHeight="1" x14ac:dyDescent="0.25">
      <c r="A29" s="307"/>
      <c r="B29" s="308" t="s">
        <v>32</v>
      </c>
      <c r="C29" s="309">
        <f>SUM(C25:C28)</f>
        <v>3643000</v>
      </c>
      <c r="D29" s="309">
        <f>SUM(D25:D28)</f>
        <v>0</v>
      </c>
      <c r="E29" s="309">
        <f>D29-C29</f>
        <v>-3643000</v>
      </c>
      <c r="F29" s="310">
        <f>IF(C29=0,0,E29/C29)</f>
        <v>-1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1157000</v>
      </c>
      <c r="D33" s="22">
        <v>6729000</v>
      </c>
      <c r="E33" s="22">
        <f>D33-C33</f>
        <v>5572000</v>
      </c>
      <c r="F33" s="306">
        <f>IF(C33=0,0,E33/C33)</f>
        <v>4.8159031979256701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694598915</v>
      </c>
      <c r="D36" s="22">
        <v>698642000</v>
      </c>
      <c r="E36" s="22">
        <f>D36-C36</f>
        <v>4043085</v>
      </c>
      <c r="F36" s="306">
        <f>IF(C36=0,0,E36/C36)</f>
        <v>5.8207476468632264E-3</v>
      </c>
    </row>
    <row r="37" spans="1:8" ht="24" customHeight="1" x14ac:dyDescent="0.2">
      <c r="A37" s="304">
        <v>2</v>
      </c>
      <c r="B37" s="305" t="s">
        <v>39</v>
      </c>
      <c r="C37" s="22">
        <v>451989058</v>
      </c>
      <c r="D37" s="22">
        <v>464385000</v>
      </c>
      <c r="E37" s="22">
        <f>D37-C37</f>
        <v>12395942</v>
      </c>
      <c r="F37" s="22">
        <f>IF(C37=0,0,E37/C37)</f>
        <v>2.7425314353516937E-2</v>
      </c>
    </row>
    <row r="38" spans="1:8" ht="24" customHeight="1" x14ac:dyDescent="0.25">
      <c r="A38" s="307"/>
      <c r="B38" s="308" t="s">
        <v>40</v>
      </c>
      <c r="C38" s="309">
        <f>C36-C37</f>
        <v>242609857</v>
      </c>
      <c r="D38" s="309">
        <f>D36-D37</f>
        <v>234257000</v>
      </c>
      <c r="E38" s="309">
        <f>D38-C38</f>
        <v>-8352857</v>
      </c>
      <c r="F38" s="310">
        <f>IF(C38=0,0,E38/C38)</f>
        <v>-3.4429174079270819E-2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77527324</v>
      </c>
      <c r="D40" s="22">
        <v>163646000</v>
      </c>
      <c r="E40" s="22">
        <f>D40-C40</f>
        <v>86118676</v>
      </c>
      <c r="F40" s="306">
        <f>IF(C40=0,0,E40/C40)</f>
        <v>1.1108170843095269</v>
      </c>
    </row>
    <row r="41" spans="1:8" ht="24" customHeight="1" x14ac:dyDescent="0.25">
      <c r="A41" s="307"/>
      <c r="B41" s="308" t="s">
        <v>42</v>
      </c>
      <c r="C41" s="309">
        <f>+C38+C40</f>
        <v>320137181</v>
      </c>
      <c r="D41" s="309">
        <f>+D38+D40</f>
        <v>397903000</v>
      </c>
      <c r="E41" s="309">
        <f>D41-C41</f>
        <v>77765819</v>
      </c>
      <c r="F41" s="310">
        <f>IF(C41=0,0,E41/C41)</f>
        <v>0.24291404939934172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562006181</v>
      </c>
      <c r="D43" s="309">
        <f>D22+D29+D31+D32+D33+D41</f>
        <v>597794000</v>
      </c>
      <c r="E43" s="309">
        <f>D43-C43</f>
        <v>35787819</v>
      </c>
      <c r="F43" s="310">
        <f>IF(C43=0,0,E43/C43)</f>
        <v>6.36786928861197E-2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36054000</v>
      </c>
      <c r="D49" s="22">
        <v>39417000</v>
      </c>
      <c r="E49" s="22">
        <f t="shared" ref="E49:E56" si="2">D49-C49</f>
        <v>3363000</v>
      </c>
      <c r="F49" s="306">
        <f t="shared" ref="F49:F56" si="3">IF(C49=0,0,E49/C49)</f>
        <v>9.3276751539357633E-2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17945000</v>
      </c>
      <c r="D50" s="22">
        <v>19285000</v>
      </c>
      <c r="E50" s="22">
        <f t="shared" si="2"/>
        <v>1340000</v>
      </c>
      <c r="F50" s="306">
        <f t="shared" si="3"/>
        <v>7.4672610755084981E-2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6741000</v>
      </c>
      <c r="D51" s="22">
        <v>2714000</v>
      </c>
      <c r="E51" s="22">
        <f t="shared" si="2"/>
        <v>-4027000</v>
      </c>
      <c r="F51" s="306">
        <f t="shared" si="3"/>
        <v>-0.59738911140780304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1833000</v>
      </c>
      <c r="D53" s="22">
        <v>1007000</v>
      </c>
      <c r="E53" s="22">
        <f t="shared" si="2"/>
        <v>-826000</v>
      </c>
      <c r="F53" s="306">
        <f t="shared" si="3"/>
        <v>-0.45062738679759956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36570000</v>
      </c>
      <c r="D55" s="22">
        <v>31597000</v>
      </c>
      <c r="E55" s="22">
        <f t="shared" si="2"/>
        <v>-4973000</v>
      </c>
      <c r="F55" s="306">
        <f t="shared" si="3"/>
        <v>-0.13598578069455838</v>
      </c>
    </row>
    <row r="56" spans="1:6" ht="24" customHeight="1" x14ac:dyDescent="0.25">
      <c r="A56" s="307"/>
      <c r="B56" s="308" t="s">
        <v>54</v>
      </c>
      <c r="C56" s="309">
        <f>SUM(C49:C55)</f>
        <v>99143000</v>
      </c>
      <c r="D56" s="309">
        <f>SUM(D49:D55)</f>
        <v>94020000</v>
      </c>
      <c r="E56" s="309">
        <f t="shared" si="2"/>
        <v>-5123000</v>
      </c>
      <c r="F56" s="310">
        <f t="shared" si="3"/>
        <v>-5.1672836206287889E-2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16335000</v>
      </c>
      <c r="D60" s="22">
        <v>61881000</v>
      </c>
      <c r="E60" s="22">
        <f>D60-C60</f>
        <v>45546000</v>
      </c>
      <c r="F60" s="306">
        <f>IF(C60=0,0,E60/C60)</f>
        <v>2.7882460973370065</v>
      </c>
    </row>
    <row r="61" spans="1:6" ht="24" customHeight="1" x14ac:dyDescent="0.25">
      <c r="A61" s="307"/>
      <c r="B61" s="308" t="s">
        <v>58</v>
      </c>
      <c r="C61" s="309">
        <f>SUM(C59:C60)</f>
        <v>16335000</v>
      </c>
      <c r="D61" s="309">
        <f>SUM(D59:D60)</f>
        <v>61881000</v>
      </c>
      <c r="E61" s="309">
        <f>D61-C61</f>
        <v>45546000</v>
      </c>
      <c r="F61" s="310">
        <f>IF(C61=0,0,E61/C61)</f>
        <v>2.7882460973370065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43406000</v>
      </c>
      <c r="D64" s="22">
        <v>44163000</v>
      </c>
      <c r="E64" s="22">
        <f>D64-C64</f>
        <v>757000</v>
      </c>
      <c r="F64" s="306">
        <f>IF(C64=0,0,E64/C64)</f>
        <v>1.7439985255494631E-2</v>
      </c>
    </row>
    <row r="65" spans="1:6" ht="24" customHeight="1" x14ac:dyDescent="0.25">
      <c r="A65" s="307"/>
      <c r="B65" s="308" t="s">
        <v>61</v>
      </c>
      <c r="C65" s="309">
        <f>SUM(C61:C64)</f>
        <v>59741000</v>
      </c>
      <c r="D65" s="309">
        <f>SUM(D61:D64)</f>
        <v>106044000</v>
      </c>
      <c r="E65" s="309">
        <f>D65-C65</f>
        <v>46303000</v>
      </c>
      <c r="F65" s="310">
        <f>IF(C65=0,0,E65/C65)</f>
        <v>0.77506235248824096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45288000</v>
      </c>
      <c r="D70" s="22">
        <v>29049000</v>
      </c>
      <c r="E70" s="22">
        <f>D70-C70</f>
        <v>-16239000</v>
      </c>
      <c r="F70" s="306">
        <f>IF(C70=0,0,E70/C70)</f>
        <v>-0.35857180710121889</v>
      </c>
    </row>
    <row r="71" spans="1:6" ht="24" customHeight="1" x14ac:dyDescent="0.2">
      <c r="A71" s="304">
        <v>2</v>
      </c>
      <c r="B71" s="305" t="s">
        <v>65</v>
      </c>
      <c r="C71" s="22">
        <v>357773181</v>
      </c>
      <c r="D71" s="22">
        <v>368620000</v>
      </c>
      <c r="E71" s="22">
        <f>D71-C71</f>
        <v>10846819</v>
      </c>
      <c r="F71" s="306">
        <f>IF(C71=0,0,E71/C71)</f>
        <v>3.0317585487214034E-2</v>
      </c>
    </row>
    <row r="72" spans="1:6" ht="24" customHeight="1" x14ac:dyDescent="0.2">
      <c r="A72" s="304">
        <v>3</v>
      </c>
      <c r="B72" s="305" t="s">
        <v>66</v>
      </c>
      <c r="C72" s="22">
        <v>61000</v>
      </c>
      <c r="D72" s="22">
        <v>61000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403122181</v>
      </c>
      <c r="D73" s="309">
        <f>SUM(D70:D72)</f>
        <v>397730000</v>
      </c>
      <c r="E73" s="309">
        <f>D73-C73</f>
        <v>-5392181</v>
      </c>
      <c r="F73" s="310">
        <f>IF(C73=0,0,E73/C73)</f>
        <v>-1.337604640514683E-2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562006181</v>
      </c>
      <c r="D75" s="309">
        <f>D56+D65+D67+D73</f>
        <v>597794000</v>
      </c>
      <c r="E75" s="309">
        <f>D75-C75</f>
        <v>35787819</v>
      </c>
      <c r="F75" s="310">
        <f>IF(C75=0,0,E75/C75)</f>
        <v>6.36786928861197E-2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830468411</v>
      </c>
      <c r="D11" s="76">
        <v>864470078</v>
      </c>
      <c r="E11" s="76">
        <f t="shared" ref="E11:E20" si="0">D11-C11</f>
        <v>34001667</v>
      </c>
      <c r="F11" s="77">
        <f t="shared" ref="F11:F20" si="1">IF(C11=0,0,E11/C11)</f>
        <v>4.0942757785401185E-2</v>
      </c>
    </row>
    <row r="12" spans="1:7" ht="23.1" customHeight="1" x14ac:dyDescent="0.2">
      <c r="A12" s="74">
        <v>2</v>
      </c>
      <c r="B12" s="75" t="s">
        <v>72</v>
      </c>
      <c r="C12" s="76">
        <v>383738479</v>
      </c>
      <c r="D12" s="76">
        <v>421405481</v>
      </c>
      <c r="E12" s="76">
        <f t="shared" si="0"/>
        <v>37667002</v>
      </c>
      <c r="F12" s="77">
        <f t="shared" si="1"/>
        <v>9.8158000985874544E-2</v>
      </c>
    </row>
    <row r="13" spans="1:7" ht="23.1" customHeight="1" x14ac:dyDescent="0.2">
      <c r="A13" s="74">
        <v>3</v>
      </c>
      <c r="B13" s="75" t="s">
        <v>73</v>
      </c>
      <c r="C13" s="76">
        <v>543109</v>
      </c>
      <c r="D13" s="76">
        <v>801071</v>
      </c>
      <c r="E13" s="76">
        <f t="shared" si="0"/>
        <v>257962</v>
      </c>
      <c r="F13" s="77">
        <f t="shared" si="1"/>
        <v>0.47497279551618554</v>
      </c>
    </row>
    <row r="14" spans="1:7" ht="23.1" customHeight="1" x14ac:dyDescent="0.2">
      <c r="A14" s="74">
        <v>4</v>
      </c>
      <c r="B14" s="75" t="s">
        <v>74</v>
      </c>
      <c r="C14" s="76">
        <v>9749569</v>
      </c>
      <c r="D14" s="76">
        <v>5488085</v>
      </c>
      <c r="E14" s="76">
        <f t="shared" si="0"/>
        <v>-4261484</v>
      </c>
      <c r="F14" s="77">
        <f t="shared" si="1"/>
        <v>-0.43709460387428406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436437254</v>
      </c>
      <c r="D15" s="79">
        <f>D11-D12-D13-D14</f>
        <v>436775441</v>
      </c>
      <c r="E15" s="79">
        <f t="shared" si="0"/>
        <v>338187</v>
      </c>
      <c r="F15" s="80">
        <f t="shared" si="1"/>
        <v>7.7488114706174922E-4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4743620</v>
      </c>
      <c r="E16" s="76">
        <f t="shared" si="0"/>
        <v>4743620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436437254</v>
      </c>
      <c r="D17" s="79">
        <f>D15-D16</f>
        <v>432031821</v>
      </c>
      <c r="E17" s="79">
        <f t="shared" si="0"/>
        <v>-4405433</v>
      </c>
      <c r="F17" s="80">
        <f t="shared" si="1"/>
        <v>-1.00940810153663E-2</v>
      </c>
    </row>
    <row r="18" spans="1:7" ht="23.1" customHeight="1" x14ac:dyDescent="0.2">
      <c r="A18" s="74">
        <v>6</v>
      </c>
      <c r="B18" s="75" t="s">
        <v>78</v>
      </c>
      <c r="C18" s="76">
        <v>192070000</v>
      </c>
      <c r="D18" s="76">
        <v>204630000</v>
      </c>
      <c r="E18" s="76">
        <f t="shared" si="0"/>
        <v>12560000</v>
      </c>
      <c r="F18" s="77">
        <f t="shared" si="1"/>
        <v>6.5392825532357993E-2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628507254</v>
      </c>
      <c r="D20" s="79">
        <f>SUM(D17:D19)</f>
        <v>636661821</v>
      </c>
      <c r="E20" s="79">
        <f t="shared" si="0"/>
        <v>8154567</v>
      </c>
      <c r="F20" s="80">
        <f t="shared" si="1"/>
        <v>1.2974499416040152E-2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349249507</v>
      </c>
      <c r="D23" s="76">
        <v>352867930</v>
      </c>
      <c r="E23" s="76">
        <f t="shared" ref="E23:E32" si="2">D23-C23</f>
        <v>3618423</v>
      </c>
      <c r="F23" s="77">
        <f t="shared" ref="F23:F32" si="3">IF(C23=0,0,E23/C23)</f>
        <v>1.0360567237679736E-2</v>
      </c>
    </row>
    <row r="24" spans="1:7" ht="23.1" customHeight="1" x14ac:dyDescent="0.2">
      <c r="A24" s="74">
        <v>2</v>
      </c>
      <c r="B24" s="75" t="s">
        <v>83</v>
      </c>
      <c r="C24" s="76">
        <v>120179401</v>
      </c>
      <c r="D24" s="76">
        <v>129201471</v>
      </c>
      <c r="E24" s="76">
        <f t="shared" si="2"/>
        <v>9022070</v>
      </c>
      <c r="F24" s="77">
        <f t="shared" si="3"/>
        <v>7.5071683873678158E-2</v>
      </c>
    </row>
    <row r="25" spans="1:7" ht="23.1" customHeight="1" x14ac:dyDescent="0.2">
      <c r="A25" s="74">
        <v>3</v>
      </c>
      <c r="B25" s="75" t="s">
        <v>84</v>
      </c>
      <c r="C25" s="76">
        <v>51074379</v>
      </c>
      <c r="D25" s="76">
        <v>61973190</v>
      </c>
      <c r="E25" s="76">
        <f t="shared" si="2"/>
        <v>10898811</v>
      </c>
      <c r="F25" s="77">
        <f t="shared" si="3"/>
        <v>0.21339096457736667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76923160</v>
      </c>
      <c r="D26" s="76">
        <v>74723435</v>
      </c>
      <c r="E26" s="76">
        <f t="shared" si="2"/>
        <v>-2199725</v>
      </c>
      <c r="F26" s="77">
        <f t="shared" si="3"/>
        <v>-2.8596394115894354E-2</v>
      </c>
    </row>
    <row r="27" spans="1:7" ht="23.1" customHeight="1" x14ac:dyDescent="0.2">
      <c r="A27" s="74">
        <v>5</v>
      </c>
      <c r="B27" s="75" t="s">
        <v>86</v>
      </c>
      <c r="C27" s="76">
        <v>30128445</v>
      </c>
      <c r="D27" s="76">
        <v>31611700</v>
      </c>
      <c r="E27" s="76">
        <f t="shared" si="2"/>
        <v>1483255</v>
      </c>
      <c r="F27" s="77">
        <f t="shared" si="3"/>
        <v>4.9231050590231258E-2</v>
      </c>
    </row>
    <row r="28" spans="1:7" ht="23.1" customHeight="1" x14ac:dyDescent="0.2">
      <c r="A28" s="74">
        <v>6</v>
      </c>
      <c r="B28" s="75" t="s">
        <v>87</v>
      </c>
      <c r="C28" s="76">
        <v>6890902</v>
      </c>
      <c r="D28" s="76">
        <v>0</v>
      </c>
      <c r="E28" s="76">
        <f t="shared" si="2"/>
        <v>-6890902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8</v>
      </c>
      <c r="B30" s="75" t="s">
        <v>89</v>
      </c>
      <c r="C30" s="76">
        <v>3413844</v>
      </c>
      <c r="D30" s="76">
        <v>3672492</v>
      </c>
      <c r="E30" s="76">
        <f t="shared" si="2"/>
        <v>258648</v>
      </c>
      <c r="F30" s="77">
        <f t="shared" si="3"/>
        <v>7.5764446178559999E-2</v>
      </c>
    </row>
    <row r="31" spans="1:7" ht="23.1" customHeight="1" x14ac:dyDescent="0.2">
      <c r="A31" s="74">
        <v>9</v>
      </c>
      <c r="B31" s="75" t="s">
        <v>90</v>
      </c>
      <c r="C31" s="76">
        <v>200385616</v>
      </c>
      <c r="D31" s="76">
        <v>210106603</v>
      </c>
      <c r="E31" s="76">
        <f t="shared" si="2"/>
        <v>9720987</v>
      </c>
      <c r="F31" s="77">
        <f t="shared" si="3"/>
        <v>4.8511401137694435E-2</v>
      </c>
    </row>
    <row r="32" spans="1:7" ht="23.1" customHeight="1" x14ac:dyDescent="0.25">
      <c r="A32" s="71"/>
      <c r="B32" s="78" t="s">
        <v>91</v>
      </c>
      <c r="C32" s="79">
        <f>SUM(C23:C31)</f>
        <v>838245254</v>
      </c>
      <c r="D32" s="79">
        <f>SUM(D23:D31)</f>
        <v>864156821</v>
      </c>
      <c r="E32" s="79">
        <f t="shared" si="2"/>
        <v>25911567</v>
      </c>
      <c r="F32" s="80">
        <f t="shared" si="3"/>
        <v>3.0911677550637225E-2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-209738000</v>
      </c>
      <c r="D34" s="79">
        <f>+D20-D32</f>
        <v>-227495000</v>
      </c>
      <c r="E34" s="79">
        <f>D34-C34</f>
        <v>-17757000</v>
      </c>
      <c r="F34" s="80">
        <f>IF(C34=0,0,E34/C34)</f>
        <v>8.4662769741296287E-2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101000</v>
      </c>
      <c r="D37" s="76">
        <v>124000</v>
      </c>
      <c r="E37" s="76">
        <f>D37-C37</f>
        <v>23000</v>
      </c>
      <c r="F37" s="77">
        <f>IF(C37=0,0,E37/C37)</f>
        <v>0.22772277227722773</v>
      </c>
    </row>
    <row r="38" spans="1:6" ht="23.1" customHeight="1" x14ac:dyDescent="0.2">
      <c r="A38" s="85">
        <v>2</v>
      </c>
      <c r="B38" s="75" t="s">
        <v>95</v>
      </c>
      <c r="C38" s="76">
        <v>7435000</v>
      </c>
      <c r="D38" s="76">
        <v>7658000</v>
      </c>
      <c r="E38" s="76">
        <f>D38-C38</f>
        <v>223000</v>
      </c>
      <c r="F38" s="77">
        <f>IF(C38=0,0,E38/C38)</f>
        <v>2.9993275050437123E-2</v>
      </c>
    </row>
    <row r="39" spans="1:6" ht="23.1" customHeight="1" x14ac:dyDescent="0.2">
      <c r="A39" s="85">
        <v>3</v>
      </c>
      <c r="B39" s="75" t="s">
        <v>96</v>
      </c>
      <c r="C39" s="76">
        <v>265714000</v>
      </c>
      <c r="D39" s="76">
        <v>214321000</v>
      </c>
      <c r="E39" s="76">
        <f>D39-C39</f>
        <v>-51393000</v>
      </c>
      <c r="F39" s="77">
        <f>IF(C39=0,0,E39/C39)</f>
        <v>-0.19341472410185387</v>
      </c>
    </row>
    <row r="40" spans="1:6" ht="23.1" customHeight="1" x14ac:dyDescent="0.25">
      <c r="A40" s="83"/>
      <c r="B40" s="78" t="s">
        <v>97</v>
      </c>
      <c r="C40" s="79">
        <f>SUM(C37:C39)</f>
        <v>273250000</v>
      </c>
      <c r="D40" s="79">
        <f>SUM(D37:D39)</f>
        <v>222103000</v>
      </c>
      <c r="E40" s="79">
        <f>D40-C40</f>
        <v>-51147000</v>
      </c>
      <c r="F40" s="80">
        <f>IF(C40=0,0,E40/C40)</f>
        <v>-0.18718023787740165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63512000</v>
      </c>
      <c r="D42" s="79">
        <f>D34+D40</f>
        <v>-5392000</v>
      </c>
      <c r="E42" s="79">
        <f>D42-C42</f>
        <v>-68904000</v>
      </c>
      <c r="F42" s="80">
        <f>IF(C42=0,0,E42/C42)</f>
        <v>-1.0848973422345383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63512000</v>
      </c>
      <c r="D49" s="79">
        <f>D42+D47</f>
        <v>-5392000</v>
      </c>
      <c r="E49" s="79">
        <f>D49-C49</f>
        <v>-68904000</v>
      </c>
      <c r="F49" s="80">
        <f>IF(C49=0,0,E49/C49)</f>
        <v>-1.0848973422345383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2014-10-06T20:11:08Z</cp:lastPrinted>
  <dcterms:created xsi:type="dcterms:W3CDTF">2014-10-06T18:28:33Z</dcterms:created>
  <dcterms:modified xsi:type="dcterms:W3CDTF">2014-10-09T17:36:24Z</dcterms:modified>
</cp:coreProperties>
</file>