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 s="1"/>
  <c r="D230" i="14"/>
  <c r="D229" i="14"/>
  <c r="D226" i="14"/>
  <c r="D227" i="14" s="1"/>
  <c r="D223" i="14"/>
  <c r="D204" i="14"/>
  <c r="D269" i="14" s="1"/>
  <c r="D203" i="14"/>
  <c r="D205" i="14" s="1"/>
  <c r="D283" i="14"/>
  <c r="D198" i="14"/>
  <c r="D290" i="14"/>
  <c r="D191" i="14"/>
  <c r="D264" i="14"/>
  <c r="D189" i="14"/>
  <c r="D278" i="14"/>
  <c r="D188" i="14"/>
  <c r="D180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90" i="14" s="1"/>
  <c r="D44" i="14"/>
  <c r="D36" i="14"/>
  <c r="D35" i="14"/>
  <c r="D30" i="14"/>
  <c r="D29" i="14"/>
  <c r="D24" i="14"/>
  <c r="D23" i="14"/>
  <c r="D20" i="14"/>
  <c r="D21" i="14" s="1"/>
  <c r="D49" i="14" s="1"/>
  <c r="D50" i="14" s="1"/>
  <c r="D17" i="14"/>
  <c r="E97" i="19"/>
  <c r="D97" i="19"/>
  <c r="C97" i="19"/>
  <c r="E96" i="19"/>
  <c r="D96" i="19"/>
  <c r="D98" i="19" s="1"/>
  <c r="C96" i="19"/>
  <c r="C98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C83" i="19"/>
  <c r="E76" i="19"/>
  <c r="E102" i="19" s="1"/>
  <c r="D76" i="19"/>
  <c r="C76" i="19"/>
  <c r="C102" i="19" s="1"/>
  <c r="E75" i="19"/>
  <c r="D75" i="19"/>
  <c r="D77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23" i="19" s="1"/>
  <c r="D46" i="19" s="1"/>
  <c r="C12" i="19"/>
  <c r="C34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C45" i="17"/>
  <c r="D44" i="17"/>
  <c r="C44" i="17"/>
  <c r="D43" i="17"/>
  <c r="D46" i="17"/>
  <c r="C43" i="17"/>
  <c r="C46" i="17"/>
  <c r="D36" i="17"/>
  <c r="D40" i="17" s="1"/>
  <c r="C36" i="17"/>
  <c r="C40" i="17" s="1"/>
  <c r="E35" i="17"/>
  <c r="F35" i="17" s="1"/>
  <c r="F34" i="17"/>
  <c r="E34" i="17"/>
  <c r="E33" i="17"/>
  <c r="E36" i="17" s="1"/>
  <c r="F36" i="17" s="1"/>
  <c r="E30" i="17"/>
  <c r="F30" i="17" s="1"/>
  <c r="E29" i="17"/>
  <c r="F29" i="17" s="1"/>
  <c r="E28" i="17"/>
  <c r="F28" i="17" s="1"/>
  <c r="E27" i="17"/>
  <c r="F27" i="17"/>
  <c r="D25" i="17"/>
  <c r="D39" i="17"/>
  <c r="C25" i="17"/>
  <c r="E24" i="17"/>
  <c r="F24" i="17" s="1"/>
  <c r="E23" i="17"/>
  <c r="F23" i="17" s="1"/>
  <c r="E22" i="17"/>
  <c r="F22" i="17" s="1"/>
  <c r="D19" i="17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36" i="16"/>
  <c r="C32" i="16"/>
  <c r="C33" i="16" s="1"/>
  <c r="C21" i="16"/>
  <c r="C37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E293" i="15"/>
  <c r="D292" i="15"/>
  <c r="C292" i="15"/>
  <c r="D291" i="15"/>
  <c r="C291" i="15"/>
  <c r="D290" i="15"/>
  <c r="E290" i="15"/>
  <c r="C290" i="15"/>
  <c r="D288" i="15"/>
  <c r="C288" i="15"/>
  <c r="D287" i="15"/>
  <c r="E287" i="15" s="1"/>
  <c r="C287" i="15"/>
  <c r="D282" i="15"/>
  <c r="C282" i="15"/>
  <c r="E282" i="15" s="1"/>
  <c r="D281" i="15"/>
  <c r="E281" i="15"/>
  <c r="C281" i="15"/>
  <c r="D280" i="15"/>
  <c r="E280" i="15" s="1"/>
  <c r="C280" i="15"/>
  <c r="D279" i="15"/>
  <c r="C279" i="15"/>
  <c r="D278" i="15"/>
  <c r="C278" i="15"/>
  <c r="D277" i="15"/>
  <c r="E277" i="15" s="1"/>
  <c r="C277" i="15"/>
  <c r="D276" i="15"/>
  <c r="C276" i="15"/>
  <c r="E270" i="15"/>
  <c r="D265" i="15"/>
  <c r="D302" i="15" s="1"/>
  <c r="C265" i="15"/>
  <c r="D262" i="15"/>
  <c r="E262" i="15" s="1"/>
  <c r="C262" i="15"/>
  <c r="D251" i="15"/>
  <c r="C251" i="15"/>
  <c r="D233" i="15"/>
  <c r="C233" i="15"/>
  <c r="D232" i="15"/>
  <c r="C232" i="15"/>
  <c r="D231" i="15"/>
  <c r="E231" i="15" s="1"/>
  <c r="C231" i="15"/>
  <c r="D230" i="15"/>
  <c r="E230" i="15" s="1"/>
  <c r="C230" i="15"/>
  <c r="D228" i="15"/>
  <c r="C228" i="15"/>
  <c r="E228" i="15"/>
  <c r="D227" i="15"/>
  <c r="C227" i="15"/>
  <c r="D221" i="15"/>
  <c r="D245" i="15" s="1"/>
  <c r="C221" i="15"/>
  <c r="C245" i="15" s="1"/>
  <c r="D220" i="15"/>
  <c r="D244" i="15" s="1"/>
  <c r="E244" i="15" s="1"/>
  <c r="C220" i="15"/>
  <c r="C244" i="15" s="1"/>
  <c r="D219" i="15"/>
  <c r="E219" i="15" s="1"/>
  <c r="C219" i="15"/>
  <c r="C243" i="15" s="1"/>
  <c r="D218" i="15"/>
  <c r="D242" i="15" s="1"/>
  <c r="C218" i="15"/>
  <c r="C217" i="15" s="1"/>
  <c r="D216" i="15"/>
  <c r="E216" i="15" s="1"/>
  <c r="C216" i="15"/>
  <c r="D215" i="15"/>
  <c r="C215" i="15"/>
  <c r="C239" i="15" s="1"/>
  <c r="E209" i="15"/>
  <c r="E208" i="15"/>
  <c r="E207" i="15"/>
  <c r="E206" i="15"/>
  <c r="D205" i="15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E179" i="15" s="1"/>
  <c r="D178" i="15"/>
  <c r="E178" i="15" s="1"/>
  <c r="C178" i="15"/>
  <c r="D177" i="15"/>
  <c r="E177" i="15" s="1"/>
  <c r="C177" i="15"/>
  <c r="D176" i="15"/>
  <c r="E176" i="15" s="1"/>
  <c r="C176" i="15"/>
  <c r="D174" i="15"/>
  <c r="C174" i="15"/>
  <c r="E174" i="15" s="1"/>
  <c r="D173" i="15"/>
  <c r="E173" i="15"/>
  <c r="C173" i="15"/>
  <c r="D167" i="15"/>
  <c r="C167" i="15"/>
  <c r="D166" i="15"/>
  <c r="E166" i="15" s="1"/>
  <c r="C166" i="15"/>
  <c r="D165" i="15"/>
  <c r="C165" i="15"/>
  <c r="D164" i="15"/>
  <c r="C164" i="15"/>
  <c r="E164" i="15" s="1"/>
  <c r="D162" i="15"/>
  <c r="C162" i="15"/>
  <c r="D161" i="15"/>
  <c r="E161" i="15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63" i="15" s="1"/>
  <c r="C139" i="15"/>
  <c r="C144" i="15" s="1"/>
  <c r="E138" i="15"/>
  <c r="E137" i="15"/>
  <c r="D75" i="15"/>
  <c r="E75" i="15" s="1"/>
  <c r="C75" i="15"/>
  <c r="D74" i="15"/>
  <c r="C74" i="15"/>
  <c r="D73" i="15"/>
  <c r="C73" i="15"/>
  <c r="E73" i="15"/>
  <c r="D72" i="15"/>
  <c r="C72" i="15"/>
  <c r="D70" i="15"/>
  <c r="C70" i="15"/>
  <c r="D69" i="15"/>
  <c r="C69" i="15"/>
  <c r="E69" i="15" s="1"/>
  <c r="E64" i="15"/>
  <c r="E63" i="15"/>
  <c r="E62" i="15"/>
  <c r="E61" i="15"/>
  <c r="D60" i="15"/>
  <c r="D65" i="15" s="1"/>
  <c r="D66" i="15" s="1"/>
  <c r="C60" i="15"/>
  <c r="E59" i="15"/>
  <c r="E58" i="15"/>
  <c r="D54" i="15"/>
  <c r="D55" i="15" s="1"/>
  <c r="E55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E41" i="15" s="1"/>
  <c r="D40" i="15"/>
  <c r="E40" i="15" s="1"/>
  <c r="C40" i="15"/>
  <c r="D39" i="15"/>
  <c r="C39" i="15"/>
  <c r="D38" i="15"/>
  <c r="C38" i="15"/>
  <c r="D37" i="15"/>
  <c r="D43" i="15" s="1"/>
  <c r="C37" i="15"/>
  <c r="D36" i="15"/>
  <c r="C36" i="15"/>
  <c r="D32" i="15"/>
  <c r="C32" i="15"/>
  <c r="E31" i="15"/>
  <c r="E30" i="15"/>
  <c r="E29" i="15"/>
  <c r="E28" i="15"/>
  <c r="E27" i="15"/>
  <c r="E26" i="15"/>
  <c r="E25" i="15"/>
  <c r="D21" i="15"/>
  <c r="C21" i="15"/>
  <c r="C283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F330" i="14"/>
  <c r="E330" i="14"/>
  <c r="F329" i="14"/>
  <c r="E329" i="14"/>
  <c r="F316" i="14"/>
  <c r="E316" i="14"/>
  <c r="C311" i="14"/>
  <c r="F308" i="14"/>
  <c r="E308" i="14"/>
  <c r="C307" i="14"/>
  <c r="C299" i="14"/>
  <c r="C298" i="14"/>
  <c r="C297" i="14"/>
  <c r="E297" i="14" s="1"/>
  <c r="C296" i="14"/>
  <c r="C295" i="14"/>
  <c r="E295" i="14" s="1"/>
  <c r="C294" i="14"/>
  <c r="C250" i="14"/>
  <c r="F249" i="14"/>
  <c r="E249" i="14"/>
  <c r="E248" i="14"/>
  <c r="F248" i="14" s="1"/>
  <c r="F245" i="14"/>
  <c r="E245" i="14"/>
  <c r="E244" i="14"/>
  <c r="F244" i="14" s="1"/>
  <c r="F243" i="14"/>
  <c r="E243" i="14"/>
  <c r="C238" i="14"/>
  <c r="C237" i="14"/>
  <c r="F234" i="14"/>
  <c r="E234" i="14"/>
  <c r="E233" i="14"/>
  <c r="F233" i="14" s="1"/>
  <c r="C230" i="14"/>
  <c r="E229" i="14"/>
  <c r="C229" i="14"/>
  <c r="E228" i="14"/>
  <c r="F228" i="14" s="1"/>
  <c r="C226" i="14"/>
  <c r="E225" i="14"/>
  <c r="F225" i="14" s="1"/>
  <c r="E224" i="14"/>
  <c r="F224" i="14" s="1"/>
  <c r="C223" i="14"/>
  <c r="E223" i="14" s="1"/>
  <c r="E222" i="14"/>
  <c r="F222" i="14" s="1"/>
  <c r="E221" i="14"/>
  <c r="F221" i="14" s="1"/>
  <c r="C204" i="14"/>
  <c r="C285" i="14" s="1"/>
  <c r="C203" i="14"/>
  <c r="E203" i="14" s="1"/>
  <c r="C198" i="14"/>
  <c r="C274" i="14" s="1"/>
  <c r="E191" i="14"/>
  <c r="C191" i="14"/>
  <c r="C280" i="14" s="1"/>
  <c r="E189" i="14"/>
  <c r="C189" i="14"/>
  <c r="C262" i="14" s="1"/>
  <c r="C188" i="14"/>
  <c r="C180" i="14"/>
  <c r="C179" i="14"/>
  <c r="E179" i="14" s="1"/>
  <c r="C171" i="14"/>
  <c r="C172" i="14" s="1"/>
  <c r="C173" i="14" s="1"/>
  <c r="C170" i="14"/>
  <c r="E169" i="14"/>
  <c r="F169" i="14" s="1"/>
  <c r="E168" i="14"/>
  <c r="F168" i="14" s="1"/>
  <c r="C165" i="14"/>
  <c r="E165" i="14" s="1"/>
  <c r="C164" i="14"/>
  <c r="E163" i="14"/>
  <c r="F163" i="14" s="1"/>
  <c r="C158" i="14"/>
  <c r="E157" i="14"/>
  <c r="F157" i="14" s="1"/>
  <c r="E156" i="14"/>
  <c r="F156" i="14" s="1"/>
  <c r="C155" i="14"/>
  <c r="E154" i="14"/>
  <c r="F154" i="14"/>
  <c r="E153" i="14"/>
  <c r="F153" i="14"/>
  <c r="C145" i="14"/>
  <c r="E145" i="14"/>
  <c r="F145" i="14" s="1"/>
  <c r="C144" i="14"/>
  <c r="C136" i="14"/>
  <c r="E136" i="14" s="1"/>
  <c r="C135" i="14"/>
  <c r="E135" i="14" s="1"/>
  <c r="E134" i="14"/>
  <c r="F134" i="14" s="1"/>
  <c r="E133" i="14"/>
  <c r="F133" i="14" s="1"/>
  <c r="E130" i="14"/>
  <c r="C130" i="14"/>
  <c r="C129" i="14"/>
  <c r="E128" i="14"/>
  <c r="F128" i="14"/>
  <c r="C123" i="14"/>
  <c r="C124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C109" i="14"/>
  <c r="C101" i="14"/>
  <c r="C102" i="14" s="1"/>
  <c r="E102" i="14" s="1"/>
  <c r="E101" i="14"/>
  <c r="F101" i="14" s="1"/>
  <c r="C100" i="14"/>
  <c r="E99" i="14"/>
  <c r="F99" i="14" s="1"/>
  <c r="F98" i="14"/>
  <c r="E98" i="14"/>
  <c r="E95" i="14"/>
  <c r="C95" i="14"/>
  <c r="E94" i="14"/>
  <c r="C94" i="14"/>
  <c r="F93" i="14"/>
  <c r="E93" i="14"/>
  <c r="C88" i="14"/>
  <c r="C89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C77" i="14" s="1"/>
  <c r="E74" i="14"/>
  <c r="F74" i="14" s="1"/>
  <c r="E73" i="14"/>
  <c r="F73" i="14" s="1"/>
  <c r="C67" i="14"/>
  <c r="E67" i="14" s="1"/>
  <c r="F67" i="14" s="1"/>
  <c r="C66" i="14"/>
  <c r="E66" i="14" s="1"/>
  <c r="C59" i="14"/>
  <c r="E59" i="14" s="1"/>
  <c r="C58" i="14"/>
  <c r="E58" i="14" s="1"/>
  <c r="E57" i="14"/>
  <c r="F57" i="14" s="1"/>
  <c r="E56" i="14"/>
  <c r="F56" i="14" s="1"/>
  <c r="C53" i="14"/>
  <c r="E53" i="14" s="1"/>
  <c r="C52" i="14"/>
  <c r="E52" i="14"/>
  <c r="E51" i="14"/>
  <c r="F51" i="14"/>
  <c r="C47" i="14"/>
  <c r="E47" i="14"/>
  <c r="E46" i="14"/>
  <c r="F46" i="14"/>
  <c r="E45" i="14"/>
  <c r="F45" i="14"/>
  <c r="C44" i="14"/>
  <c r="E44" i="14" s="1"/>
  <c r="F44" i="14" s="1"/>
  <c r="F43" i="14"/>
  <c r="E43" i="14"/>
  <c r="F42" i="14"/>
  <c r="E42" i="14"/>
  <c r="E36" i="14"/>
  <c r="C36" i="14"/>
  <c r="C35" i="14"/>
  <c r="C30" i="14"/>
  <c r="E30" i="14" s="1"/>
  <c r="C29" i="14"/>
  <c r="E29" i="14" s="1"/>
  <c r="E28" i="14"/>
  <c r="F28" i="14" s="1"/>
  <c r="E27" i="14"/>
  <c r="F27" i="14" s="1"/>
  <c r="C24" i="14"/>
  <c r="E24" i="14" s="1"/>
  <c r="C23" i="14"/>
  <c r="E23" i="14"/>
  <c r="F23" i="14" s="1"/>
  <c r="E22" i="14"/>
  <c r="F22" i="14" s="1"/>
  <c r="C20" i="14"/>
  <c r="E20" i="14" s="1"/>
  <c r="E19" i="14"/>
  <c r="F19" i="14"/>
  <c r="E18" i="14"/>
  <c r="F18" i="14"/>
  <c r="C17" i="14"/>
  <c r="E17" i="14" s="1"/>
  <c r="E16" i="14"/>
  <c r="F16" i="14" s="1"/>
  <c r="E15" i="14"/>
  <c r="F15" i="14" s="1"/>
  <c r="D21" i="13"/>
  <c r="E21" i="13" s="1"/>
  <c r="C21" i="13"/>
  <c r="E20" i="13"/>
  <c r="F20" i="13" s="1"/>
  <c r="D17" i="13"/>
  <c r="E17" i="13" s="1"/>
  <c r="C17" i="13"/>
  <c r="E16" i="13"/>
  <c r="F16" i="13" s="1"/>
  <c r="D13" i="13"/>
  <c r="E13" i="13" s="1"/>
  <c r="C13" i="13"/>
  <c r="E12" i="13"/>
  <c r="F12" i="13" s="1"/>
  <c r="D99" i="12"/>
  <c r="E99" i="12" s="1"/>
  <c r="C99" i="12"/>
  <c r="E98" i="12"/>
  <c r="F98" i="12" s="1"/>
  <c r="E97" i="12"/>
  <c r="F97" i="12" s="1"/>
  <c r="E96" i="12"/>
  <c r="F96" i="12" s="1"/>
  <c r="D92" i="12"/>
  <c r="E92" i="12" s="1"/>
  <c r="C92" i="12"/>
  <c r="E91" i="12"/>
  <c r="F91" i="12" s="1"/>
  <c r="E90" i="12"/>
  <c r="F90" i="12" s="1"/>
  <c r="E89" i="12"/>
  <c r="F89" i="12" s="1"/>
  <c r="F88" i="12"/>
  <c r="E88" i="12"/>
  <c r="E87" i="12"/>
  <c r="F87" i="12" s="1"/>
  <c r="D84" i="12"/>
  <c r="C84" i="12"/>
  <c r="E84" i="12" s="1"/>
  <c r="E83" i="12"/>
  <c r="F83" i="12" s="1"/>
  <c r="F82" i="12"/>
  <c r="E82" i="12"/>
  <c r="E81" i="12"/>
  <c r="F81" i="12" s="1"/>
  <c r="E80" i="12"/>
  <c r="F80" i="12" s="1"/>
  <c r="F79" i="12"/>
  <c r="E79" i="12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C65" i="12"/>
  <c r="E65" i="12" s="1"/>
  <c r="E64" i="12"/>
  <c r="F64" i="12" s="1"/>
  <c r="E63" i="12"/>
  <c r="F63" i="12" s="1"/>
  <c r="D60" i="12"/>
  <c r="C60" i="12"/>
  <c r="E59" i="12"/>
  <c r="F59" i="12" s="1"/>
  <c r="E58" i="12"/>
  <c r="F58" i="12" s="1"/>
  <c r="D55" i="12"/>
  <c r="C55" i="12"/>
  <c r="E55" i="12" s="1"/>
  <c r="E54" i="12"/>
  <c r="F54" i="12" s="1"/>
  <c r="F53" i="12"/>
  <c r="E53" i="12"/>
  <c r="D50" i="12"/>
  <c r="C50" i="12"/>
  <c r="E49" i="12"/>
  <c r="F49" i="12" s="1"/>
  <c r="E48" i="12"/>
  <c r="F48" i="12" s="1"/>
  <c r="D45" i="12"/>
  <c r="C45" i="12"/>
  <c r="F45" i="12" s="1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E30" i="12" s="1"/>
  <c r="F29" i="12"/>
  <c r="E29" i="12"/>
  <c r="F28" i="12"/>
  <c r="E28" i="12"/>
  <c r="E27" i="12"/>
  <c r="F27" i="12" s="1"/>
  <c r="E26" i="12"/>
  <c r="F26" i="12" s="1"/>
  <c r="D23" i="12"/>
  <c r="C23" i="12"/>
  <c r="E23" i="12" s="1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1" i="11" s="1"/>
  <c r="D17" i="11"/>
  <c r="D33" i="11" s="1"/>
  <c r="D36" i="11" s="1"/>
  <c r="D38" i="11" s="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C54" i="10"/>
  <c r="C50" i="10" s="1"/>
  <c r="D50" i="10"/>
  <c r="E46" i="10"/>
  <c r="E59" i="10" s="1"/>
  <c r="E61" i="10" s="1"/>
  <c r="E57" i="10" s="1"/>
  <c r="D46" i="10"/>
  <c r="D48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C13" i="10"/>
  <c r="C25" i="10" s="1"/>
  <c r="C27" i="10" s="1"/>
  <c r="D46" i="9"/>
  <c r="E46" i="9" s="1"/>
  <c r="C46" i="9"/>
  <c r="F46" i="9" s="1"/>
  <c r="F45" i="9"/>
  <c r="E45" i="9"/>
  <c r="F44" i="9"/>
  <c r="E44" i="9"/>
  <c r="D39" i="9"/>
  <c r="C39" i="9"/>
  <c r="E38" i="9"/>
  <c r="F38" i="9" s="1"/>
  <c r="E37" i="9"/>
  <c r="F37" i="9" s="1"/>
  <c r="E36" i="9"/>
  <c r="F36" i="9" s="1"/>
  <c r="D31" i="9"/>
  <c r="E31" i="9"/>
  <c r="F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 s="1"/>
  <c r="F16" i="9" s="1"/>
  <c r="C16" i="9"/>
  <c r="C19" i="9"/>
  <c r="C33" i="9" s="1"/>
  <c r="C41" i="9" s="1"/>
  <c r="C48" i="9" s="1"/>
  <c r="E15" i="9"/>
  <c r="F15" i="9" s="1"/>
  <c r="E14" i="9"/>
  <c r="F14" i="9" s="1"/>
  <c r="E13" i="9"/>
  <c r="F13" i="9" s="1"/>
  <c r="E12" i="9"/>
  <c r="F12" i="9" s="1"/>
  <c r="D73" i="8"/>
  <c r="E73" i="8"/>
  <c r="F73" i="8" s="1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 s="1"/>
  <c r="F61" i="8" s="1"/>
  <c r="C61" i="8"/>
  <c r="C65" i="8"/>
  <c r="E60" i="8"/>
  <c r="F60" i="8" s="1"/>
  <c r="F59" i="8"/>
  <c r="E59" i="8"/>
  <c r="D56" i="8"/>
  <c r="E56" i="8" s="1"/>
  <c r="C56" i="8"/>
  <c r="F55" i="8"/>
  <c r="E55" i="8"/>
  <c r="F54" i="8"/>
  <c r="E54" i="8"/>
  <c r="F53" i="8"/>
  <c r="E53" i="8"/>
  <c r="F52" i="8"/>
  <c r="E52" i="8"/>
  <c r="E51" i="8"/>
  <c r="F51" i="8" s="1"/>
  <c r="E50" i="8"/>
  <c r="F50" i="8"/>
  <c r="A50" i="8"/>
  <c r="A51" i="8" s="1"/>
  <c r="A52" i="8" s="1"/>
  <c r="A53" i="8" s="1"/>
  <c r="A54" i="8" s="1"/>
  <c r="A55" i="8" s="1"/>
  <c r="F49" i="8"/>
  <c r="E49" i="8"/>
  <c r="E40" i="8"/>
  <c r="F40" i="8" s="1"/>
  <c r="D38" i="8"/>
  <c r="C38" i="8"/>
  <c r="C41" i="8" s="1"/>
  <c r="E37" i="8"/>
  <c r="F37" i="8" s="1"/>
  <c r="E36" i="8"/>
  <c r="F36" i="8" s="1"/>
  <c r="E33" i="8"/>
  <c r="F33" i="8" s="1"/>
  <c r="F32" i="8"/>
  <c r="E32" i="8"/>
  <c r="F31" i="8"/>
  <c r="E31" i="8"/>
  <c r="D29" i="8"/>
  <c r="E29" i="8" s="1"/>
  <c r="C29" i="8"/>
  <c r="E28" i="8"/>
  <c r="F28" i="8" s="1"/>
  <c r="F27" i="8"/>
  <c r="E27" i="8"/>
  <c r="F26" i="8"/>
  <c r="E26" i="8"/>
  <c r="F25" i="8"/>
  <c r="E25" i="8"/>
  <c r="D22" i="8"/>
  <c r="C22" i="8"/>
  <c r="E22" i="8" s="1"/>
  <c r="E21" i="8"/>
  <c r="F21" i="8" s="1"/>
  <c r="E20" i="8"/>
  <c r="F20" i="8" s="1"/>
  <c r="E19" i="8"/>
  <c r="F19" i="8" s="1"/>
  <c r="F18" i="8"/>
  <c r="E18" i="8"/>
  <c r="E17" i="8"/>
  <c r="F17" i="8" s="1"/>
  <c r="F16" i="8"/>
  <c r="E16" i="8"/>
  <c r="E15" i="8"/>
  <c r="F15" i="8" s="1"/>
  <c r="F14" i="8"/>
  <c r="E14" i="8"/>
  <c r="E13" i="8"/>
  <c r="F13" i="8" s="1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E112" i="7"/>
  <c r="F112" i="7" s="1"/>
  <c r="C112" i="7"/>
  <c r="C121" i="7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E95" i="7" s="1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E24" i="7" s="1"/>
  <c r="C24" i="7"/>
  <c r="F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F206" i="6" s="1"/>
  <c r="C206" i="6"/>
  <c r="D205" i="6"/>
  <c r="E205" i="6" s="1"/>
  <c r="C205" i="6"/>
  <c r="D204" i="6"/>
  <c r="C204" i="6"/>
  <c r="D203" i="6"/>
  <c r="E203" i="6" s="1"/>
  <c r="C203" i="6"/>
  <c r="D202" i="6"/>
  <c r="C202" i="6"/>
  <c r="D201" i="6"/>
  <c r="E201" i="6" s="1"/>
  <c r="C201" i="6"/>
  <c r="D200" i="6"/>
  <c r="C200" i="6"/>
  <c r="D199" i="6"/>
  <c r="D208" i="6" s="1"/>
  <c r="C199" i="6"/>
  <c r="D198" i="6"/>
  <c r="E198" i="6" s="1"/>
  <c r="F198" i="6" s="1"/>
  <c r="C198" i="6"/>
  <c r="C207" i="6"/>
  <c r="D193" i="6"/>
  <c r="C193" i="6"/>
  <c r="D192" i="6"/>
  <c r="C192" i="6"/>
  <c r="E192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E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/>
  <c r="C115" i="6"/>
  <c r="F115" i="6" s="1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F102" i="6" s="1"/>
  <c r="C102" i="6"/>
  <c r="D101" i="6"/>
  <c r="C101" i="6"/>
  <c r="F100" i="6"/>
  <c r="E100" i="6"/>
  <c r="E99" i="6"/>
  <c r="F99" i="6" s="1"/>
  <c r="E98" i="6"/>
  <c r="F98" i="6" s="1"/>
  <c r="F97" i="6"/>
  <c r="E97" i="6"/>
  <c r="F96" i="6"/>
  <c r="E96" i="6"/>
  <c r="E95" i="6"/>
  <c r="F95" i="6" s="1"/>
  <c r="E94" i="6"/>
  <c r="F94" i="6" s="1"/>
  <c r="F93" i="6"/>
  <c r="E93" i="6"/>
  <c r="F92" i="6"/>
  <c r="E92" i="6"/>
  <c r="D89" i="6"/>
  <c r="E89" i="6"/>
  <c r="F89" i="6" s="1"/>
  <c r="C89" i="6"/>
  <c r="D88" i="6"/>
  <c r="E88" i="6" s="1"/>
  <c r="F88" i="6" s="1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F76" i="6" s="1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/>
  <c r="F37" i="6" s="1"/>
  <c r="C37" i="6"/>
  <c r="D36" i="6"/>
  <c r="E36" i="6" s="1"/>
  <c r="F36" i="6" s="1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C166" i="5"/>
  <c r="E147" i="5"/>
  <c r="E143" i="5" s="1"/>
  <c r="D147" i="5"/>
  <c r="D143" i="5" s="1"/>
  <c r="C147" i="5"/>
  <c r="C143" i="5" s="1"/>
  <c r="C149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C107" i="5"/>
  <c r="C109" i="5" s="1"/>
  <c r="C106" i="5" s="1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D83" i="5"/>
  <c r="C83" i="5"/>
  <c r="C79" i="5"/>
  <c r="E75" i="5"/>
  <c r="E88" i="5" s="1"/>
  <c r="D75" i="5"/>
  <c r="C75" i="5"/>
  <c r="C77" i="5" s="1"/>
  <c r="E74" i="5"/>
  <c r="D74" i="5"/>
  <c r="C74" i="5"/>
  <c r="E67" i="5"/>
  <c r="D67" i="5"/>
  <c r="C67" i="5"/>
  <c r="E38" i="5"/>
  <c r="E49" i="5" s="1"/>
  <c r="D38" i="5"/>
  <c r="D53" i="5" s="1"/>
  <c r="D49" i="5"/>
  <c r="C38" i="5"/>
  <c r="C57" i="5" s="1"/>
  <c r="C62" i="5" s="1"/>
  <c r="D34" i="5"/>
  <c r="E33" i="5"/>
  <c r="E34" i="5"/>
  <c r="D33" i="5"/>
  <c r="E26" i="5"/>
  <c r="D26" i="5"/>
  <c r="C26" i="5"/>
  <c r="E13" i="5"/>
  <c r="E25" i="5" s="1"/>
  <c r="D13" i="5"/>
  <c r="C13" i="5"/>
  <c r="C15" i="5" s="1"/>
  <c r="F174" i="4"/>
  <c r="E174" i="4"/>
  <c r="D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 s="1"/>
  <c r="F155" i="4" s="1"/>
  <c r="C155" i="4"/>
  <c r="E154" i="4"/>
  <c r="F154" i="4" s="1"/>
  <c r="E153" i="4"/>
  <c r="F153" i="4" s="1"/>
  <c r="F152" i="4"/>
  <c r="E152" i="4"/>
  <c r="E151" i="4"/>
  <c r="F151" i="4" s="1"/>
  <c r="F150" i="4"/>
  <c r="E150" i="4"/>
  <c r="E149" i="4"/>
  <c r="F149" i="4" s="1"/>
  <c r="F148" i="4"/>
  <c r="E148" i="4"/>
  <c r="F147" i="4"/>
  <c r="E147" i="4"/>
  <c r="E146" i="4"/>
  <c r="F146" i="4" s="1"/>
  <c r="E145" i="4"/>
  <c r="F145" i="4" s="1"/>
  <c r="E144" i="4"/>
  <c r="F144" i="4" s="1"/>
  <c r="E143" i="4"/>
  <c r="F143" i="4" s="1"/>
  <c r="F142" i="4"/>
  <c r="E142" i="4"/>
  <c r="E141" i="4"/>
  <c r="F141" i="4" s="1"/>
  <c r="F140" i="4"/>
  <c r="E140" i="4"/>
  <c r="E139" i="4"/>
  <c r="F139" i="4" s="1"/>
  <c r="E138" i="4"/>
  <c r="F138" i="4" s="1"/>
  <c r="F137" i="4"/>
  <c r="E137" i="4"/>
  <c r="F136" i="4"/>
  <c r="E136" i="4"/>
  <c r="E135" i="4"/>
  <c r="F135" i="4" s="1"/>
  <c r="E134" i="4"/>
  <c r="F134" i="4" s="1"/>
  <c r="E133" i="4"/>
  <c r="F133" i="4" s="1"/>
  <c r="F132" i="4"/>
  <c r="E132" i="4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E109" i="4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F67" i="4"/>
  <c r="E67" i="4"/>
  <c r="E66" i="4"/>
  <c r="F66" i="4" s="1"/>
  <c r="E65" i="4"/>
  <c r="F65" i="4" s="1"/>
  <c r="F64" i="4"/>
  <c r="E64" i="4"/>
  <c r="E63" i="4"/>
  <c r="F63" i="4" s="1"/>
  <c r="E62" i="4"/>
  <c r="F62" i="4" s="1"/>
  <c r="D59" i="4"/>
  <c r="E59" i="4" s="1"/>
  <c r="C59" i="4"/>
  <c r="E58" i="4"/>
  <c r="F58" i="4" s="1"/>
  <c r="E57" i="4"/>
  <c r="F57" i="4" s="1"/>
  <c r="E56" i="4"/>
  <c r="F56" i="4" s="1"/>
  <c r="F55" i="4"/>
  <c r="E55" i="4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E35" i="4" s="1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E137" i="3" s="1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E111" i="3" s="1"/>
  <c r="C111" i="3"/>
  <c r="F110" i="3"/>
  <c r="E110" i="3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F94" i="3" s="1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D95" i="3" s="1"/>
  <c r="C84" i="3"/>
  <c r="D81" i="3"/>
  <c r="C81" i="3"/>
  <c r="F80" i="3"/>
  <c r="E80" i="3"/>
  <c r="E79" i="3"/>
  <c r="F79" i="3" s="1"/>
  <c r="E78" i="3"/>
  <c r="F78" i="3" s="1"/>
  <c r="F77" i="3"/>
  <c r="E77" i="3"/>
  <c r="E76" i="3"/>
  <c r="F76" i="3" s="1"/>
  <c r="E75" i="3"/>
  <c r="F75" i="3" s="1"/>
  <c r="E74" i="3"/>
  <c r="F74" i="3" s="1"/>
  <c r="F73" i="3"/>
  <c r="E73" i="3"/>
  <c r="E72" i="3"/>
  <c r="F72" i="3" s="1"/>
  <c r="E71" i="3"/>
  <c r="F71" i="3" s="1"/>
  <c r="E70" i="3"/>
  <c r="F70" i="3" s="1"/>
  <c r="D68" i="3"/>
  <c r="E68" i="3" s="1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1" i="3"/>
  <c r="C51" i="3"/>
  <c r="D50" i="3"/>
  <c r="E50" i="3" s="1"/>
  <c r="C50" i="3"/>
  <c r="D49" i="3"/>
  <c r="E49" i="3" s="1"/>
  <c r="C49" i="3"/>
  <c r="D48" i="3"/>
  <c r="E48" i="3" s="1"/>
  <c r="C48" i="3"/>
  <c r="D47" i="3"/>
  <c r="E47" i="3" s="1"/>
  <c r="C47" i="3"/>
  <c r="D46" i="3"/>
  <c r="E46" i="3" s="1"/>
  <c r="C46" i="3"/>
  <c r="D45" i="3"/>
  <c r="E45" i="3" s="1"/>
  <c r="C45" i="3"/>
  <c r="D44" i="3"/>
  <c r="E44" i="3" s="1"/>
  <c r="C44" i="3"/>
  <c r="D43" i="3"/>
  <c r="E43" i="3" s="1"/>
  <c r="C43" i="3"/>
  <c r="D42" i="3"/>
  <c r="E42" i="3" s="1"/>
  <c r="C42" i="3"/>
  <c r="D41" i="3"/>
  <c r="D52" i="3" s="1"/>
  <c r="C41" i="3"/>
  <c r="D38" i="3"/>
  <c r="E38" i="3" s="1"/>
  <c r="C38" i="3"/>
  <c r="F37" i="3"/>
  <c r="E37" i="3"/>
  <c r="F36" i="3"/>
  <c r="E36" i="3"/>
  <c r="E35" i="3"/>
  <c r="F35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F28" i="3"/>
  <c r="E28" i="3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E45" i="2"/>
  <c r="F45" i="2" s="1"/>
  <c r="F44" i="2"/>
  <c r="E44" i="2"/>
  <c r="D39" i="2"/>
  <c r="C39" i="2"/>
  <c r="E38" i="2"/>
  <c r="F38" i="2" s="1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D19" i="2" s="1"/>
  <c r="C16" i="2"/>
  <c r="C19" i="2" s="1"/>
  <c r="F15" i="2"/>
  <c r="E15" i="2"/>
  <c r="E14" i="2"/>
  <c r="F14" i="2" s="1"/>
  <c r="E13" i="2"/>
  <c r="F13" i="2" s="1"/>
  <c r="E12" i="2"/>
  <c r="F12" i="2" s="1"/>
  <c r="D73" i="1"/>
  <c r="C73" i="1"/>
  <c r="F72" i="1"/>
  <c r="E72" i="1"/>
  <c r="E71" i="1"/>
  <c r="F71" i="1" s="1"/>
  <c r="E70" i="1"/>
  <c r="F70" i="1" s="1"/>
  <c r="F67" i="1"/>
  <c r="E67" i="1"/>
  <c r="E64" i="1"/>
  <c r="F64" i="1" s="1"/>
  <c r="E63" i="1"/>
  <c r="F63" i="1" s="1"/>
  <c r="D61" i="1"/>
  <c r="D65" i="1" s="1"/>
  <c r="C61" i="1"/>
  <c r="C65" i="1" s="1"/>
  <c r="E60" i="1"/>
  <c r="F60" i="1" s="1"/>
  <c r="F59" i="1"/>
  <c r="E59" i="1"/>
  <c r="D56" i="1"/>
  <c r="C56" i="1"/>
  <c r="E55" i="1"/>
  <c r="F55" i="1" s="1"/>
  <c r="F54" i="1"/>
  <c r="E54" i="1"/>
  <c r="E53" i="1"/>
  <c r="F53" i="1" s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C41" i="1" s="1"/>
  <c r="C43" i="1" s="1"/>
  <c r="E37" i="1"/>
  <c r="F37" i="1" s="1"/>
  <c r="E36" i="1"/>
  <c r="F36" i="1" s="1"/>
  <c r="E33" i="1"/>
  <c r="F33" i="1" s="1"/>
  <c r="F32" i="1"/>
  <c r="E32" i="1"/>
  <c r="F31" i="1"/>
  <c r="E31" i="1"/>
  <c r="D29" i="1"/>
  <c r="C29" i="1"/>
  <c r="F29" i="1" s="1"/>
  <c r="F28" i="1"/>
  <c r="E28" i="1"/>
  <c r="F27" i="1"/>
  <c r="E27" i="1"/>
  <c r="F26" i="1"/>
  <c r="E26" i="1"/>
  <c r="F25" i="1"/>
  <c r="E25" i="1"/>
  <c r="D22" i="1"/>
  <c r="C22" i="1"/>
  <c r="E21" i="1"/>
  <c r="F21" i="1" s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F14" i="1"/>
  <c r="E14" i="1"/>
  <c r="F13" i="1"/>
  <c r="E13" i="1"/>
  <c r="D160" i="14"/>
  <c r="F17" i="14"/>
  <c r="F30" i="14"/>
  <c r="F36" i="14"/>
  <c r="F95" i="14"/>
  <c r="E109" i="14"/>
  <c r="D31" i="14"/>
  <c r="D32" i="14" s="1"/>
  <c r="D111" i="14"/>
  <c r="D214" i="14"/>
  <c r="D199" i="14"/>
  <c r="D215" i="14"/>
  <c r="D255" i="14"/>
  <c r="F59" i="14"/>
  <c r="E77" i="14"/>
  <c r="E170" i="14"/>
  <c r="D91" i="14"/>
  <c r="D92" i="14" s="1"/>
  <c r="D192" i="14"/>
  <c r="D193" i="14" s="1"/>
  <c r="D181" i="14"/>
  <c r="E144" i="14"/>
  <c r="F144" i="14" s="1"/>
  <c r="E158" i="14"/>
  <c r="E198" i="14"/>
  <c r="F198" i="14"/>
  <c r="E238" i="14"/>
  <c r="C137" i="5"/>
  <c r="C139" i="5"/>
  <c r="C135" i="5"/>
  <c r="C138" i="5"/>
  <c r="C136" i="5"/>
  <c r="C140" i="5"/>
  <c r="C154" i="5"/>
  <c r="C156" i="5"/>
  <c r="C152" i="5"/>
  <c r="C153" i="5"/>
  <c r="C157" i="5"/>
  <c r="C155" i="5"/>
  <c r="D176" i="4"/>
  <c r="D149" i="5"/>
  <c r="D207" i="6"/>
  <c r="E207" i="6" s="1"/>
  <c r="F207" i="6" s="1"/>
  <c r="D19" i="9"/>
  <c r="D15" i="5"/>
  <c r="D25" i="5"/>
  <c r="D27" i="5"/>
  <c r="E53" i="5"/>
  <c r="E43" i="5"/>
  <c r="D77" i="5"/>
  <c r="D71" i="5"/>
  <c r="D88" i="5"/>
  <c r="D90" i="5"/>
  <c r="D86" i="5" s="1"/>
  <c r="E21" i="10"/>
  <c r="E89" i="14"/>
  <c r="F89" i="14" s="1"/>
  <c r="E22" i="1"/>
  <c r="F22" i="1" s="1"/>
  <c r="E56" i="1"/>
  <c r="F56" i="1" s="1"/>
  <c r="E61" i="1"/>
  <c r="F61" i="1" s="1"/>
  <c r="E16" i="2"/>
  <c r="F16" i="2" s="1"/>
  <c r="D121" i="7"/>
  <c r="E121" i="7" s="1"/>
  <c r="F121" i="7" s="1"/>
  <c r="D41" i="8"/>
  <c r="E41" i="8"/>
  <c r="F41" i="8" s="1"/>
  <c r="E156" i="5"/>
  <c r="E152" i="5"/>
  <c r="E154" i="5"/>
  <c r="D25" i="10"/>
  <c r="D27" i="10" s="1"/>
  <c r="D15" i="10"/>
  <c r="C21" i="10"/>
  <c r="D83" i="4"/>
  <c r="D65" i="8"/>
  <c r="C24" i="5"/>
  <c r="C17" i="5"/>
  <c r="C43" i="5"/>
  <c r="C53" i="5"/>
  <c r="D41" i="1"/>
  <c r="E41" i="1" s="1"/>
  <c r="F41" i="1" s="1"/>
  <c r="C49" i="5"/>
  <c r="E57" i="5"/>
  <c r="E62" i="5" s="1"/>
  <c r="C71" i="5"/>
  <c r="E79" i="5"/>
  <c r="D109" i="5"/>
  <c r="D106" i="5" s="1"/>
  <c r="E155" i="5"/>
  <c r="D122" i="7"/>
  <c r="D43" i="8"/>
  <c r="F311" i="14"/>
  <c r="E311" i="14"/>
  <c r="D294" i="15"/>
  <c r="E32" i="15"/>
  <c r="C71" i="15"/>
  <c r="C65" i="15"/>
  <c r="C66" i="15"/>
  <c r="E66" i="15" s="1"/>
  <c r="C289" i="15"/>
  <c r="E70" i="15"/>
  <c r="D254" i="14"/>
  <c r="D216" i="14"/>
  <c r="H17" i="11"/>
  <c r="F33" i="11"/>
  <c r="F52" i="14"/>
  <c r="F66" i="14"/>
  <c r="C68" i="14"/>
  <c r="F109" i="14"/>
  <c r="C111" i="14"/>
  <c r="E111" i="14" s="1"/>
  <c r="F111" i="14" s="1"/>
  <c r="C137" i="14"/>
  <c r="C214" i="14"/>
  <c r="C261" i="14"/>
  <c r="C254" i="14"/>
  <c r="E188" i="14"/>
  <c r="F188" i="14"/>
  <c r="C283" i="14"/>
  <c r="C205" i="14"/>
  <c r="F203" i="14"/>
  <c r="E298" i="14"/>
  <c r="F298" i="14" s="1"/>
  <c r="C33" i="15"/>
  <c r="C294" i="15"/>
  <c r="E156" i="15"/>
  <c r="D157" i="15"/>
  <c r="E157" i="15" s="1"/>
  <c r="D320" i="15"/>
  <c r="E320" i="15" s="1"/>
  <c r="E316" i="15"/>
  <c r="D41" i="17"/>
  <c r="D104" i="14"/>
  <c r="D174" i="14"/>
  <c r="D57" i="5"/>
  <c r="D62" i="5"/>
  <c r="D59" i="10"/>
  <c r="D61" i="10" s="1"/>
  <c r="D57" i="10" s="1"/>
  <c r="D31" i="11"/>
  <c r="C48" i="14"/>
  <c r="E76" i="14"/>
  <c r="F76" i="14" s="1"/>
  <c r="E88" i="14"/>
  <c r="F88" i="14" s="1"/>
  <c r="F102" i="14"/>
  <c r="E172" i="14"/>
  <c r="F172" i="14" s="1"/>
  <c r="F179" i="14"/>
  <c r="C190" i="14"/>
  <c r="C267" i="14"/>
  <c r="C277" i="14"/>
  <c r="F295" i="14"/>
  <c r="E42" i="15"/>
  <c r="E54" i="15"/>
  <c r="E65" i="15"/>
  <c r="C76" i="15"/>
  <c r="C77" i="15" s="1"/>
  <c r="C241" i="15"/>
  <c r="E245" i="15"/>
  <c r="E40" i="17"/>
  <c r="F40" i="17" s="1"/>
  <c r="E294" i="14"/>
  <c r="F294" i="14" s="1"/>
  <c r="C43" i="15"/>
  <c r="C259" i="15"/>
  <c r="E37" i="15"/>
  <c r="C168" i="15"/>
  <c r="C145" i="15"/>
  <c r="D109" i="19"/>
  <c r="D108" i="19"/>
  <c r="D207" i="14"/>
  <c r="D138" i="14"/>
  <c r="F29" i="14"/>
  <c r="C37" i="14"/>
  <c r="F47" i="14"/>
  <c r="F58" i="14"/>
  <c r="F136" i="14"/>
  <c r="C159" i="14"/>
  <c r="F170" i="14"/>
  <c r="C181" i="14"/>
  <c r="C193" i="14"/>
  <c r="C266" i="14" s="1"/>
  <c r="F223" i="14"/>
  <c r="F238" i="14"/>
  <c r="C306" i="14"/>
  <c r="C278" i="14"/>
  <c r="C215" i="14"/>
  <c r="F189" i="14"/>
  <c r="C239" i="14"/>
  <c r="E237" i="14"/>
  <c r="F237" i="14" s="1"/>
  <c r="D22" i="15"/>
  <c r="D283" i="15"/>
  <c r="E283" i="15"/>
  <c r="D289" i="15"/>
  <c r="E289" i="15"/>
  <c r="E60" i="15"/>
  <c r="E260" i="15"/>
  <c r="D303" i="15"/>
  <c r="E283" i="14"/>
  <c r="I17" i="11"/>
  <c r="C21" i="14"/>
  <c r="E35" i="14"/>
  <c r="F35" i="14" s="1"/>
  <c r="F94" i="14"/>
  <c r="C103" i="14"/>
  <c r="F135" i="14"/>
  <c r="C146" i="14"/>
  <c r="F158" i="14"/>
  <c r="F165" i="14"/>
  <c r="E171" i="14"/>
  <c r="F171" i="14" s="1"/>
  <c r="E180" i="14"/>
  <c r="F180" i="14" s="1"/>
  <c r="C192" i="14"/>
  <c r="E192" i="14" s="1"/>
  <c r="F192" i="14" s="1"/>
  <c r="C206" i="14"/>
  <c r="E250" i="14"/>
  <c r="F250" i="14" s="1"/>
  <c r="C255" i="14"/>
  <c r="E255" i="14" s="1"/>
  <c r="F255" i="14" s="1"/>
  <c r="E299" i="14"/>
  <c r="F299" i="14" s="1"/>
  <c r="D33" i="15"/>
  <c r="E38" i="15"/>
  <c r="E43" i="15"/>
  <c r="D71" i="15"/>
  <c r="E71" i="15" s="1"/>
  <c r="E74" i="15"/>
  <c r="E173" i="14"/>
  <c r="F173" i="14"/>
  <c r="C199" i="14"/>
  <c r="C22" i="15"/>
  <c r="C284" i="15" s="1"/>
  <c r="E139" i="15"/>
  <c r="C163" i="15"/>
  <c r="E163" i="15" s="1"/>
  <c r="D175" i="15"/>
  <c r="E188" i="15"/>
  <c r="D217" i="15"/>
  <c r="E218" i="15"/>
  <c r="E233" i="15"/>
  <c r="D239" i="15"/>
  <c r="E239" i="15"/>
  <c r="C242" i="15"/>
  <c r="E242" i="15"/>
  <c r="D243" i="15"/>
  <c r="E251" i="15"/>
  <c r="D261" i="15"/>
  <c r="C22" i="16"/>
  <c r="C39" i="17"/>
  <c r="E39" i="17"/>
  <c r="E41" i="17" s="1"/>
  <c r="E22" i="19"/>
  <c r="D34" i="19"/>
  <c r="D54" i="19"/>
  <c r="C101" i="19"/>
  <c r="C103" i="19" s="1"/>
  <c r="D102" i="19"/>
  <c r="D161" i="14"/>
  <c r="D267" i="14"/>
  <c r="D277" i="14"/>
  <c r="D285" i="14"/>
  <c r="D288" i="14" s="1"/>
  <c r="E151" i="15"/>
  <c r="C175" i="15"/>
  <c r="E175" i="15" s="1"/>
  <c r="E195" i="15"/>
  <c r="E215" i="15"/>
  <c r="D222" i="15"/>
  <c r="D223" i="15"/>
  <c r="D247" i="15" s="1"/>
  <c r="C261" i="15"/>
  <c r="C302" i="15"/>
  <c r="C303" i="15" s="1"/>
  <c r="E314" i="15"/>
  <c r="C49" i="16"/>
  <c r="F33" i="17"/>
  <c r="E23" i="19"/>
  <c r="D111" i="19"/>
  <c r="D124" i="14"/>
  <c r="E124" i="14" s="1"/>
  <c r="F124" i="14" s="1"/>
  <c r="D200" i="14"/>
  <c r="D206" i="14"/>
  <c r="D262" i="14"/>
  <c r="D272" i="14" s="1"/>
  <c r="D274" i="14"/>
  <c r="E274" i="14"/>
  <c r="F274" i="14" s="1"/>
  <c r="D280" i="14"/>
  <c r="D144" i="15"/>
  <c r="D30" i="19"/>
  <c r="E33" i="19"/>
  <c r="D36" i="19"/>
  <c r="D40" i="19"/>
  <c r="E101" i="19"/>
  <c r="E103" i="19" s="1"/>
  <c r="D261" i="14"/>
  <c r="D268" i="14" s="1"/>
  <c r="E221" i="15"/>
  <c r="D190" i="14"/>
  <c r="E190" i="14" s="1"/>
  <c r="F190" i="14" s="1"/>
  <c r="E262" i="14"/>
  <c r="F262" i="14" s="1"/>
  <c r="E53" i="19"/>
  <c r="E45" i="19"/>
  <c r="E39" i="19"/>
  <c r="E35" i="19"/>
  <c r="E29" i="19"/>
  <c r="D306" i="15"/>
  <c r="E215" i="14"/>
  <c r="F215" i="14" s="1"/>
  <c r="E306" i="14"/>
  <c r="D21" i="5"/>
  <c r="D139" i="14"/>
  <c r="D76" i="15"/>
  <c r="D263" i="14"/>
  <c r="D287" i="14"/>
  <c r="D279" i="14"/>
  <c r="D284" i="14"/>
  <c r="E277" i="14"/>
  <c r="E103" i="14"/>
  <c r="F103" i="14"/>
  <c r="E54" i="19"/>
  <c r="E46" i="19"/>
  <c r="E40" i="19"/>
  <c r="E36" i="19"/>
  <c r="E30" i="19"/>
  <c r="D162" i="14"/>
  <c r="E161" i="14"/>
  <c r="D295" i="15"/>
  <c r="E33" i="15"/>
  <c r="C161" i="14"/>
  <c r="C126" i="14"/>
  <c r="C91" i="14"/>
  <c r="C49" i="14"/>
  <c r="E21" i="14"/>
  <c r="F21" i="14"/>
  <c r="D284" i="15"/>
  <c r="E22" i="15"/>
  <c r="E181" i="14"/>
  <c r="F181" i="14" s="1"/>
  <c r="C125" i="14"/>
  <c r="C160" i="14"/>
  <c r="C90" i="14"/>
  <c r="E48" i="14"/>
  <c r="F48" i="14" s="1"/>
  <c r="E65" i="8"/>
  <c r="F65" i="8" s="1"/>
  <c r="D75" i="8"/>
  <c r="D24" i="10"/>
  <c r="D17" i="10"/>
  <c r="D28" i="10" s="1"/>
  <c r="D70" i="10" s="1"/>
  <c r="D72" i="10" s="1"/>
  <c r="D69" i="10" s="1"/>
  <c r="D138" i="5"/>
  <c r="D140" i="5"/>
  <c r="D136" i="5"/>
  <c r="D135" i="5"/>
  <c r="D139" i="5"/>
  <c r="D137" i="5"/>
  <c r="E261" i="15"/>
  <c r="D286" i="14"/>
  <c r="D300" i="14"/>
  <c r="C44" i="15"/>
  <c r="C295" i="15"/>
  <c r="C158" i="5"/>
  <c r="D43" i="1"/>
  <c r="E239" i="14"/>
  <c r="F239" i="14" s="1"/>
  <c r="C194" i="14"/>
  <c r="E159" i="14"/>
  <c r="F159" i="14" s="1"/>
  <c r="C169" i="15"/>
  <c r="C287" i="14"/>
  <c r="C279" i="14"/>
  <c r="F277" i="14"/>
  <c r="C284" i="14"/>
  <c r="C286" i="14"/>
  <c r="F283" i="14"/>
  <c r="C216" i="14"/>
  <c r="E216" i="14" s="1"/>
  <c r="F216" i="14" s="1"/>
  <c r="E214" i="14"/>
  <c r="F214" i="14" s="1"/>
  <c r="F36" i="11"/>
  <c r="F38" i="11" s="1"/>
  <c r="F40" i="11" s="1"/>
  <c r="C28" i="5"/>
  <c r="C112" i="5"/>
  <c r="C111" i="5" s="1"/>
  <c r="C263" i="15"/>
  <c r="D126" i="14"/>
  <c r="D145" i="15"/>
  <c r="E144" i="15"/>
  <c r="D168" i="15"/>
  <c r="E168" i="15" s="1"/>
  <c r="D246" i="15"/>
  <c r="E217" i="15"/>
  <c r="D241" i="15"/>
  <c r="E241" i="15"/>
  <c r="D113" i="19"/>
  <c r="D56" i="19"/>
  <c r="D48" i="19"/>
  <c r="D38" i="19"/>
  <c r="E280" i="14"/>
  <c r="F280" i="14" s="1"/>
  <c r="D270" i="14"/>
  <c r="E267" i="14"/>
  <c r="F267" i="14" s="1"/>
  <c r="F39" i="17"/>
  <c r="C41" i="17"/>
  <c r="E243" i="15"/>
  <c r="E199" i="14"/>
  <c r="F199" i="14"/>
  <c r="E278" i="14"/>
  <c r="F278" i="14" s="1"/>
  <c r="C288" i="14"/>
  <c r="D208" i="14"/>
  <c r="E205" i="14"/>
  <c r="F205" i="14"/>
  <c r="C268" i="14"/>
  <c r="C271" i="14"/>
  <c r="C263" i="14"/>
  <c r="C138" i="14"/>
  <c r="E137" i="14"/>
  <c r="F137" i="14" s="1"/>
  <c r="C207" i="14"/>
  <c r="E207" i="14"/>
  <c r="E254" i="14"/>
  <c r="F254" i="14" s="1"/>
  <c r="D24" i="5"/>
  <c r="D20" i="5" s="1"/>
  <c r="D17" i="5"/>
  <c r="D28" i="5" s="1"/>
  <c r="E19" i="9"/>
  <c r="F19" i="9"/>
  <c r="D33" i="9"/>
  <c r="E206" i="14"/>
  <c r="F206" i="14" s="1"/>
  <c r="E302" i="15"/>
  <c r="C282" i="14"/>
  <c r="C304" i="14"/>
  <c r="E294" i="15"/>
  <c r="C141" i="5"/>
  <c r="D209" i="14"/>
  <c r="D112" i="5"/>
  <c r="D111" i="5" s="1"/>
  <c r="C281" i="14"/>
  <c r="E33" i="9"/>
  <c r="F33" i="9" s="1"/>
  <c r="D41" i="9"/>
  <c r="D127" i="14"/>
  <c r="E126" i="14"/>
  <c r="F126" i="14" s="1"/>
  <c r="C162" i="14"/>
  <c r="F161" i="14"/>
  <c r="E162" i="14"/>
  <c r="E287" i="14"/>
  <c r="F287" i="14" s="1"/>
  <c r="E286" i="14"/>
  <c r="F286" i="14" s="1"/>
  <c r="C99" i="5"/>
  <c r="C101" i="5" s="1"/>
  <c r="C98" i="5" s="1"/>
  <c r="C291" i="14"/>
  <c r="C289" i="14"/>
  <c r="C127" i="14"/>
  <c r="E47" i="19"/>
  <c r="E37" i="19"/>
  <c r="E55" i="19"/>
  <c r="C196" i="14"/>
  <c r="E279" i="14"/>
  <c r="F279" i="14" s="1"/>
  <c r="E145" i="15"/>
  <c r="D169" i="15"/>
  <c r="E169" i="15" s="1"/>
  <c r="C99" i="15"/>
  <c r="C95" i="15"/>
  <c r="C88" i="15"/>
  <c r="C84" i="15"/>
  <c r="C258" i="15"/>
  <c r="C100" i="15"/>
  <c r="C96" i="15"/>
  <c r="C89" i="15"/>
  <c r="C85" i="15"/>
  <c r="C98" i="15"/>
  <c r="C87" i="15"/>
  <c r="C101" i="15"/>
  <c r="C83" i="15"/>
  <c r="C97" i="15"/>
  <c r="C86" i="15"/>
  <c r="E160" i="14"/>
  <c r="F160" i="14" s="1"/>
  <c r="E91" i="14"/>
  <c r="F91" i="14" s="1"/>
  <c r="C92" i="14"/>
  <c r="E48" i="19"/>
  <c r="E38" i="19"/>
  <c r="E56" i="19"/>
  <c r="D310" i="15"/>
  <c r="E295" i="15"/>
  <c r="E284" i="14"/>
  <c r="F284" i="14" s="1"/>
  <c r="C208" i="14"/>
  <c r="F207" i="14"/>
  <c r="E90" i="14"/>
  <c r="F90" i="14" s="1"/>
  <c r="C50" i="14"/>
  <c r="E50" i="14" s="1"/>
  <c r="F50" i="14" s="1"/>
  <c r="E49" i="14"/>
  <c r="F49" i="14"/>
  <c r="E76" i="15"/>
  <c r="D77" i="15"/>
  <c r="D127" i="15" s="1"/>
  <c r="D259" i="15"/>
  <c r="C195" i="14"/>
  <c r="E263" i="14"/>
  <c r="F263" i="14"/>
  <c r="E138" i="14"/>
  <c r="F138" i="14"/>
  <c r="C264" i="15"/>
  <c r="C266" i="15" s="1"/>
  <c r="C267" i="15" s="1"/>
  <c r="C268" i="15" s="1"/>
  <c r="F162" i="14"/>
  <c r="E41" i="9"/>
  <c r="F41" i="9" s="1"/>
  <c r="D48" i="9"/>
  <c r="E48" i="9" s="1"/>
  <c r="F48" i="9" s="1"/>
  <c r="D125" i="15"/>
  <c r="D113" i="15"/>
  <c r="D110" i="15"/>
  <c r="D114" i="15"/>
  <c r="C102" i="15"/>
  <c r="C305" i="14"/>
  <c r="E127" i="14"/>
  <c r="D263" i="15"/>
  <c r="E263" i="15" s="1"/>
  <c r="E259" i="15"/>
  <c r="C90" i="15"/>
  <c r="C91" i="15" s="1"/>
  <c r="C105" i="15" s="1"/>
  <c r="F127" i="14"/>
  <c r="C197" i="14"/>
  <c r="E208" i="14"/>
  <c r="F208" i="14" s="1"/>
  <c r="C309" i="14"/>
  <c r="C269" i="15"/>
  <c r="C103" i="15"/>
  <c r="D99" i="5" l="1"/>
  <c r="D101" i="5" s="1"/>
  <c r="D98" i="5" s="1"/>
  <c r="D22" i="5"/>
  <c r="D21" i="10"/>
  <c r="D20" i="10"/>
  <c r="D22" i="10"/>
  <c r="D175" i="14"/>
  <c r="D176" i="14" s="1"/>
  <c r="D105" i="14"/>
  <c r="D106" i="14" s="1"/>
  <c r="D140" i="14"/>
  <c r="D141" i="14" s="1"/>
  <c r="D210" i="14"/>
  <c r="D211" i="14" s="1"/>
  <c r="D62" i="14"/>
  <c r="D63" i="14" s="1"/>
  <c r="D70" i="14" s="1"/>
  <c r="C271" i="15"/>
  <c r="E43" i="1"/>
  <c r="F43" i="1" s="1"/>
  <c r="E268" i="14"/>
  <c r="F268" i="14" s="1"/>
  <c r="F41" i="17"/>
  <c r="E284" i="15"/>
  <c r="C75" i="1"/>
  <c r="D111" i="15"/>
  <c r="D116" i="15" s="1"/>
  <c r="D109" i="15"/>
  <c r="D124" i="15"/>
  <c r="D126" i="15"/>
  <c r="D141" i="5"/>
  <c r="E261" i="14"/>
  <c r="F261" i="14" s="1"/>
  <c r="D125" i="14"/>
  <c r="E125" i="14" s="1"/>
  <c r="F125" i="14" s="1"/>
  <c r="E29" i="1"/>
  <c r="E38" i="1"/>
  <c r="F38" i="1" s="1"/>
  <c r="D166" i="5"/>
  <c r="D42" i="10"/>
  <c r="E16" i="12"/>
  <c r="E37" i="12"/>
  <c r="E45" i="12"/>
  <c r="E73" i="1"/>
  <c r="F73" i="1" s="1"/>
  <c r="E31" i="2"/>
  <c r="F31" i="2" s="1"/>
  <c r="E39" i="2"/>
  <c r="F39" i="2" s="1"/>
  <c r="E46" i="2"/>
  <c r="F46" i="2" s="1"/>
  <c r="E25" i="3"/>
  <c r="F25" i="3" s="1"/>
  <c r="E51" i="3"/>
  <c r="E81" i="3"/>
  <c r="F81" i="3" s="1"/>
  <c r="E85" i="3"/>
  <c r="F85" i="3" s="1"/>
  <c r="E86" i="3"/>
  <c r="F86" i="3" s="1"/>
  <c r="E87" i="3"/>
  <c r="F87" i="3" s="1"/>
  <c r="E88" i="3"/>
  <c r="F88" i="3" s="1"/>
  <c r="E90" i="3"/>
  <c r="F90" i="3" s="1"/>
  <c r="E92" i="3"/>
  <c r="F92" i="3" s="1"/>
  <c r="E153" i="3"/>
  <c r="E179" i="3"/>
  <c r="E24" i="4"/>
  <c r="F35" i="4"/>
  <c r="F59" i="4"/>
  <c r="E118" i="4"/>
  <c r="F118" i="4" s="1"/>
  <c r="E27" i="5"/>
  <c r="E21" i="5" s="1"/>
  <c r="E90" i="5"/>
  <c r="E86" i="5" s="1"/>
  <c r="D79" i="5"/>
  <c r="E149" i="5"/>
  <c r="E23" i="6"/>
  <c r="F23" i="6" s="1"/>
  <c r="E49" i="6"/>
  <c r="F49" i="6" s="1"/>
  <c r="E75" i="6"/>
  <c r="F75" i="6" s="1"/>
  <c r="E101" i="6"/>
  <c r="F101" i="6" s="1"/>
  <c r="E140" i="6"/>
  <c r="E193" i="6"/>
  <c r="F193" i="6" s="1"/>
  <c r="E200" i="6"/>
  <c r="E202" i="6"/>
  <c r="E204" i="6"/>
  <c r="E35" i="7"/>
  <c r="F35" i="7" s="1"/>
  <c r="E47" i="7"/>
  <c r="E48" i="7"/>
  <c r="E59" i="7"/>
  <c r="E60" i="7"/>
  <c r="E71" i="7"/>
  <c r="E72" i="7"/>
  <c r="E83" i="7"/>
  <c r="E84" i="7"/>
  <c r="E107" i="7"/>
  <c r="F107" i="7" s="1"/>
  <c r="E114" i="7"/>
  <c r="F114" i="7" s="1"/>
  <c r="E116" i="7"/>
  <c r="F116" i="7" s="1"/>
  <c r="E117" i="7"/>
  <c r="F117" i="7" s="1"/>
  <c r="E119" i="7"/>
  <c r="F119" i="7" s="1"/>
  <c r="E39" i="9"/>
  <c r="F39" i="9" s="1"/>
  <c r="C60" i="14"/>
  <c r="E205" i="15"/>
  <c r="C38" i="16"/>
  <c r="C127" i="16" s="1"/>
  <c r="C129" i="16" s="1"/>
  <c r="C133" i="16" s="1"/>
  <c r="C22" i="19"/>
  <c r="E50" i="12"/>
  <c r="F85" i="14"/>
  <c r="E100" i="14"/>
  <c r="F100" i="14" s="1"/>
  <c r="F130" i="14"/>
  <c r="F191" i="14"/>
  <c r="C290" i="14"/>
  <c r="C200" i="14"/>
  <c r="E200" i="14" s="1"/>
  <c r="F200" i="14" s="1"/>
  <c r="F229" i="14"/>
  <c r="C264" i="14"/>
  <c r="E21" i="15"/>
  <c r="E39" i="15"/>
  <c r="E72" i="15"/>
  <c r="E162" i="15"/>
  <c r="E165" i="15"/>
  <c r="E167" i="15"/>
  <c r="D210" i="15"/>
  <c r="C222" i="15"/>
  <c r="E227" i="15"/>
  <c r="E232" i="15"/>
  <c r="E276" i="15"/>
  <c r="E278" i="15"/>
  <c r="E279" i="15"/>
  <c r="E288" i="15"/>
  <c r="E291" i="15"/>
  <c r="E292" i="15"/>
  <c r="C64" i="16"/>
  <c r="E16" i="17"/>
  <c r="F16" i="17" s="1"/>
  <c r="E19" i="17"/>
  <c r="E43" i="17"/>
  <c r="E44" i="17"/>
  <c r="F44" i="17" s="1"/>
  <c r="E45" i="17"/>
  <c r="F45" i="17" s="1"/>
  <c r="C33" i="19"/>
  <c r="D33" i="19"/>
  <c r="D22" i="19"/>
  <c r="C77" i="19"/>
  <c r="E77" i="19"/>
  <c r="D88" i="19"/>
  <c r="D93" i="19"/>
  <c r="E98" i="19"/>
  <c r="D37" i="14"/>
  <c r="E37" i="14" s="1"/>
  <c r="F37" i="14" s="1"/>
  <c r="D68" i="14"/>
  <c r="E68" i="14" s="1"/>
  <c r="F68" i="14" s="1"/>
  <c r="D146" i="14"/>
  <c r="E146" i="14" s="1"/>
  <c r="F146" i="14" s="1"/>
  <c r="C310" i="14"/>
  <c r="C306" i="15"/>
  <c r="E303" i="15"/>
  <c r="E288" i="14"/>
  <c r="F288" i="14" s="1"/>
  <c r="D291" i="14"/>
  <c r="D289" i="14"/>
  <c r="E289" i="14" s="1"/>
  <c r="F289" i="14" s="1"/>
  <c r="C126" i="15"/>
  <c r="C115" i="15"/>
  <c r="C127" i="15"/>
  <c r="E127" i="15" s="1"/>
  <c r="C112" i="15"/>
  <c r="C110" i="15"/>
  <c r="C113" i="15"/>
  <c r="E113" i="15" s="1"/>
  <c r="C114" i="15"/>
  <c r="E114" i="15" s="1"/>
  <c r="C122" i="15"/>
  <c r="C111" i="15"/>
  <c r="C123" i="15"/>
  <c r="C121" i="15"/>
  <c r="C124" i="15"/>
  <c r="C125" i="15"/>
  <c r="E125" i="15" s="1"/>
  <c r="C109" i="15"/>
  <c r="D113" i="14"/>
  <c r="D324" i="14"/>
  <c r="E92" i="14"/>
  <c r="F92" i="14" s="1"/>
  <c r="C33" i="2"/>
  <c r="E111" i="15"/>
  <c r="E124" i="15"/>
  <c r="E126" i="15"/>
  <c r="C265" i="14"/>
  <c r="D266" i="14"/>
  <c r="E193" i="14"/>
  <c r="F193" i="14" s="1"/>
  <c r="D194" i="14"/>
  <c r="D282" i="14"/>
  <c r="E65" i="1"/>
  <c r="F65" i="1" s="1"/>
  <c r="D75" i="1"/>
  <c r="E75" i="1" s="1"/>
  <c r="F75" i="1" s="1"/>
  <c r="E19" i="2"/>
  <c r="F19" i="2" s="1"/>
  <c r="D33" i="2"/>
  <c r="F38" i="3"/>
  <c r="F42" i="3"/>
  <c r="F43" i="3"/>
  <c r="F44" i="3"/>
  <c r="F45" i="3"/>
  <c r="F46" i="3"/>
  <c r="F47" i="3"/>
  <c r="F48" i="3"/>
  <c r="F49" i="3"/>
  <c r="F50" i="3"/>
  <c r="F68" i="3"/>
  <c r="D122" i="15"/>
  <c r="D121" i="15"/>
  <c r="D115" i="15"/>
  <c r="E115" i="15" s="1"/>
  <c r="E77" i="15"/>
  <c r="D112" i="15"/>
  <c r="E112" i="15" s="1"/>
  <c r="D123" i="15"/>
  <c r="E123" i="15" s="1"/>
  <c r="D271" i="14"/>
  <c r="E285" i="14"/>
  <c r="F285" i="14" s="1"/>
  <c r="C52" i="3"/>
  <c r="E41" i="3"/>
  <c r="F41" i="3" s="1"/>
  <c r="F51" i="3"/>
  <c r="C95" i="3"/>
  <c r="E84" i="3"/>
  <c r="F84" i="3" s="1"/>
  <c r="E89" i="3"/>
  <c r="F89" i="3" s="1"/>
  <c r="E91" i="3"/>
  <c r="F91" i="3" s="1"/>
  <c r="E93" i="3"/>
  <c r="F93" i="3" s="1"/>
  <c r="E94" i="3"/>
  <c r="F111" i="3"/>
  <c r="E124" i="3"/>
  <c r="F137" i="3"/>
  <c r="F153" i="3"/>
  <c r="F179" i="3"/>
  <c r="F24" i="4"/>
  <c r="E157" i="5"/>
  <c r="E153" i="5"/>
  <c r="D154" i="5"/>
  <c r="D152" i="5"/>
  <c r="D156" i="5"/>
  <c r="F124" i="3"/>
  <c r="E166" i="3"/>
  <c r="F166" i="3" s="1"/>
  <c r="E18" i="4"/>
  <c r="F18" i="4" s="1"/>
  <c r="E30" i="4"/>
  <c r="F30" i="4" s="1"/>
  <c r="E41" i="4"/>
  <c r="F41" i="4" s="1"/>
  <c r="C83" i="4"/>
  <c r="E171" i="4"/>
  <c r="F171" i="4" s="1"/>
  <c r="E15" i="5"/>
  <c r="C25" i="5"/>
  <c r="C27" i="5" s="1"/>
  <c r="C88" i="5"/>
  <c r="C90" i="5" s="1"/>
  <c r="C86" i="5" s="1"/>
  <c r="I31" i="11"/>
  <c r="C176" i="4"/>
  <c r="E176" i="4" s="1"/>
  <c r="D43" i="5"/>
  <c r="E77" i="5"/>
  <c r="E71" i="5" s="1"/>
  <c r="F127" i="6"/>
  <c r="E128" i="6"/>
  <c r="F128" i="6" s="1"/>
  <c r="F141" i="6"/>
  <c r="F201" i="6"/>
  <c r="F203" i="6"/>
  <c r="F205" i="6"/>
  <c r="F95" i="7"/>
  <c r="F29" i="8"/>
  <c r="F56" i="8"/>
  <c r="H31" i="11"/>
  <c r="F140" i="6"/>
  <c r="F192" i="6"/>
  <c r="C208" i="6"/>
  <c r="E199" i="6"/>
  <c r="F199" i="6" s="1"/>
  <c r="F200" i="6"/>
  <c r="F202" i="6"/>
  <c r="F204" i="6"/>
  <c r="E36" i="7"/>
  <c r="F36" i="7" s="1"/>
  <c r="E96" i="7"/>
  <c r="F96" i="7" s="1"/>
  <c r="E108" i="7"/>
  <c r="F108" i="7" s="1"/>
  <c r="E113" i="7"/>
  <c r="F113" i="7" s="1"/>
  <c r="E115" i="7"/>
  <c r="F115" i="7" s="1"/>
  <c r="C43" i="8"/>
  <c r="F22" i="8"/>
  <c r="C75" i="8"/>
  <c r="C15" i="10"/>
  <c r="E15" i="10"/>
  <c r="C48" i="10"/>
  <c r="C42" i="10" s="1"/>
  <c r="E48" i="10"/>
  <c r="E42" i="10" s="1"/>
  <c r="C33" i="11"/>
  <c r="G33" i="11"/>
  <c r="E33" i="11"/>
  <c r="E36" i="11" s="1"/>
  <c r="E38" i="11" s="1"/>
  <c r="F16" i="12"/>
  <c r="F23" i="12"/>
  <c r="F30" i="12"/>
  <c r="F50" i="12"/>
  <c r="F55" i="12"/>
  <c r="E60" i="12"/>
  <c r="F60" i="12" s="1"/>
  <c r="F65" i="12"/>
  <c r="F70" i="12"/>
  <c r="E75" i="12"/>
  <c r="F75" i="12" s="1"/>
  <c r="F84" i="12"/>
  <c r="F92" i="12"/>
  <c r="F99" i="12"/>
  <c r="F13" i="13"/>
  <c r="F17" i="13"/>
  <c r="F21" i="13"/>
  <c r="F20" i="14"/>
  <c r="C122" i="7"/>
  <c r="E118" i="7"/>
  <c r="F118" i="7" s="1"/>
  <c r="E120" i="7"/>
  <c r="F120" i="7" s="1"/>
  <c r="E38" i="8"/>
  <c r="F38" i="8" s="1"/>
  <c r="F24" i="14"/>
  <c r="F53" i="14"/>
  <c r="E110" i="14"/>
  <c r="F110" i="14" s="1"/>
  <c r="E123" i="14"/>
  <c r="E155" i="14"/>
  <c r="F155" i="14" s="1"/>
  <c r="E164" i="14"/>
  <c r="F164" i="14" s="1"/>
  <c r="E204" i="14"/>
  <c r="F204" i="14" s="1"/>
  <c r="E226" i="14"/>
  <c r="F226" i="14" s="1"/>
  <c r="E230" i="14"/>
  <c r="F230" i="14" s="1"/>
  <c r="E264" i="14"/>
  <c r="F264" i="14" s="1"/>
  <c r="F297" i="14"/>
  <c r="E36" i="15"/>
  <c r="D44" i="15"/>
  <c r="E296" i="14"/>
  <c r="E307" i="14"/>
  <c r="F307" i="14" s="1"/>
  <c r="C31" i="14"/>
  <c r="F120" i="14"/>
  <c r="F123" i="14"/>
  <c r="C269" i="14"/>
  <c r="C227" i="14"/>
  <c r="C300" i="14"/>
  <c r="F296" i="14"/>
  <c r="E189" i="15"/>
  <c r="C65" i="16"/>
  <c r="C114" i="16" s="1"/>
  <c r="C116" i="16" s="1"/>
  <c r="C119" i="16" s="1"/>
  <c r="C123" i="16" s="1"/>
  <c r="E129" i="14"/>
  <c r="F129" i="14" s="1"/>
  <c r="C210" i="15"/>
  <c r="E220" i="15"/>
  <c r="D229" i="15"/>
  <c r="E229" i="15" s="1"/>
  <c r="C240" i="15"/>
  <c r="C253" i="15" s="1"/>
  <c r="D240" i="15"/>
  <c r="E265" i="15"/>
  <c r="F19" i="17"/>
  <c r="C23" i="19"/>
  <c r="D101" i="19"/>
  <c r="D103" i="19" s="1"/>
  <c r="D326" i="15"/>
  <c r="D20" i="17"/>
  <c r="E20" i="17" s="1"/>
  <c r="F20" i="17" s="1"/>
  <c r="E25" i="17"/>
  <c r="F25" i="17" s="1"/>
  <c r="C108" i="19" l="1"/>
  <c r="C109" i="19"/>
  <c r="E46" i="17"/>
  <c r="F46" i="17" s="1"/>
  <c r="F43" i="17"/>
  <c r="C246" i="15"/>
  <c r="E246" i="15" s="1"/>
  <c r="C223" i="15"/>
  <c r="E222" i="15"/>
  <c r="E139" i="5"/>
  <c r="E137" i="5"/>
  <c r="E138" i="5"/>
  <c r="E135" i="5"/>
  <c r="E140" i="5"/>
  <c r="E136" i="5"/>
  <c r="D117" i="15"/>
  <c r="D148" i="14"/>
  <c r="D322" i="14"/>
  <c r="D323" i="14"/>
  <c r="D183" i="14"/>
  <c r="E108" i="19"/>
  <c r="E110" i="19"/>
  <c r="E112" i="19"/>
  <c r="E113" i="19"/>
  <c r="E109" i="19"/>
  <c r="E111" i="19"/>
  <c r="D53" i="19"/>
  <c r="D35" i="19"/>
  <c r="D45" i="19"/>
  <c r="D110" i="19"/>
  <c r="D29" i="19"/>
  <c r="D39" i="19"/>
  <c r="D211" i="15"/>
  <c r="D180" i="15"/>
  <c r="D234" i="15"/>
  <c r="E290" i="14"/>
  <c r="F290" i="14"/>
  <c r="C45" i="19"/>
  <c r="C53" i="19"/>
  <c r="C29" i="19"/>
  <c r="C110" i="19"/>
  <c r="C35" i="19"/>
  <c r="C39" i="19"/>
  <c r="C61" i="14"/>
  <c r="F60" i="14"/>
  <c r="E60" i="14"/>
  <c r="D155" i="5"/>
  <c r="D153" i="5"/>
  <c r="D157" i="5"/>
  <c r="E240" i="15"/>
  <c r="D252" i="15"/>
  <c r="E210" i="15"/>
  <c r="C180" i="15"/>
  <c r="E180" i="15" s="1"/>
  <c r="C211" i="15"/>
  <c r="C234" i="15"/>
  <c r="E234" i="15" s="1"/>
  <c r="E227" i="14"/>
  <c r="F227" i="14" s="1"/>
  <c r="C272" i="14"/>
  <c r="E269" i="14"/>
  <c r="C270" i="14"/>
  <c r="F269" i="14"/>
  <c r="D253" i="15"/>
  <c r="E253" i="15" s="1"/>
  <c r="E122" i="7"/>
  <c r="F122" i="7"/>
  <c r="C36" i="11"/>
  <c r="C38" i="11" s="1"/>
  <c r="C40" i="11" s="1"/>
  <c r="H33" i="11"/>
  <c r="H36" i="11" s="1"/>
  <c r="H38" i="11" s="1"/>
  <c r="H40" i="11" s="1"/>
  <c r="C24" i="10"/>
  <c r="C20" i="10" s="1"/>
  <c r="C17" i="10"/>
  <c r="C28" i="10" s="1"/>
  <c r="E208" i="6"/>
  <c r="F208" i="6" s="1"/>
  <c r="E24" i="5"/>
  <c r="E20" i="5" s="1"/>
  <c r="E17" i="5"/>
  <c r="D158" i="5"/>
  <c r="E158" i="5"/>
  <c r="D273" i="14"/>
  <c r="E271" i="14"/>
  <c r="F271" i="14" s="1"/>
  <c r="D304" i="14"/>
  <c r="D128" i="15"/>
  <c r="E122" i="15"/>
  <c r="D195" i="14"/>
  <c r="E195" i="14" s="1"/>
  <c r="F195" i="14" s="1"/>
  <c r="E194" i="14"/>
  <c r="F194" i="14" s="1"/>
  <c r="D196" i="14"/>
  <c r="D265" i="14"/>
  <c r="E265" i="14" s="1"/>
  <c r="E266" i="14"/>
  <c r="F266" i="14" s="1"/>
  <c r="C41" i="2"/>
  <c r="D325" i="14"/>
  <c r="E109" i="15"/>
  <c r="C128" i="15"/>
  <c r="E306" i="15"/>
  <c r="C310" i="15"/>
  <c r="E310" i="15" s="1"/>
  <c r="D330" i="15"/>
  <c r="E330" i="15" s="1"/>
  <c r="E326" i="15"/>
  <c r="C46" i="19"/>
  <c r="C54" i="19"/>
  <c r="C30" i="19"/>
  <c r="C40" i="19"/>
  <c r="C111" i="19"/>
  <c r="C36" i="19"/>
  <c r="C252" i="15"/>
  <c r="C254" i="15" s="1"/>
  <c r="C32" i="14"/>
  <c r="E31" i="14"/>
  <c r="F31" i="14" s="1"/>
  <c r="D100" i="15"/>
  <c r="E100" i="15" s="1"/>
  <c r="D89" i="15"/>
  <c r="E89" i="15" s="1"/>
  <c r="D258" i="15"/>
  <c r="D97" i="15"/>
  <c r="E97" i="15" s="1"/>
  <c r="D83" i="15"/>
  <c r="D88" i="15"/>
  <c r="E88" i="15" s="1"/>
  <c r="D98" i="15"/>
  <c r="E98" i="15" s="1"/>
  <c r="D95" i="15"/>
  <c r="D96" i="15"/>
  <c r="D85" i="15"/>
  <c r="E85" i="15" s="1"/>
  <c r="D101" i="15"/>
  <c r="E101" i="15" s="1"/>
  <c r="D86" i="15"/>
  <c r="E86" i="15" s="1"/>
  <c r="D99" i="15"/>
  <c r="E99" i="15" s="1"/>
  <c r="D87" i="15"/>
  <c r="E87" i="15" s="1"/>
  <c r="D84" i="15"/>
  <c r="E44" i="15"/>
  <c r="I33" i="11"/>
  <c r="I36" i="11" s="1"/>
  <c r="I38" i="11" s="1"/>
  <c r="I40" i="11" s="1"/>
  <c r="G36" i="11"/>
  <c r="G38" i="11" s="1"/>
  <c r="G40" i="11" s="1"/>
  <c r="E24" i="10"/>
  <c r="E20" i="10" s="1"/>
  <c r="E17" i="10"/>
  <c r="E28" i="10" s="1"/>
  <c r="F176" i="4"/>
  <c r="C21" i="5"/>
  <c r="C20" i="5"/>
  <c r="C22" i="5"/>
  <c r="E95" i="3"/>
  <c r="F95" i="3" s="1"/>
  <c r="D129" i="15"/>
  <c r="E121" i="15"/>
  <c r="D41" i="2"/>
  <c r="E33" i="2"/>
  <c r="F33" i="2" s="1"/>
  <c r="E282" i="14"/>
  <c r="F282" i="14" s="1"/>
  <c r="D281" i="14"/>
  <c r="E281" i="14" s="1"/>
  <c r="F281" i="14" s="1"/>
  <c r="E43" i="8"/>
  <c r="F43" i="8" s="1"/>
  <c r="F265" i="14"/>
  <c r="E75" i="8"/>
  <c r="F75" i="8" s="1"/>
  <c r="E52" i="3"/>
  <c r="F52" i="3" s="1"/>
  <c r="E83" i="4"/>
  <c r="F83" i="4" s="1"/>
  <c r="C129" i="15"/>
  <c r="C116" i="15"/>
  <c r="E116" i="15" s="1"/>
  <c r="E110" i="15"/>
  <c r="E291" i="14"/>
  <c r="F291" i="14" s="1"/>
  <c r="D305" i="14"/>
  <c r="E300" i="14"/>
  <c r="F300" i="14" s="1"/>
  <c r="C312" i="14"/>
  <c r="E61" i="14" l="1"/>
  <c r="C174" i="14"/>
  <c r="C104" i="14"/>
  <c r="C139" i="14"/>
  <c r="C209" i="14"/>
  <c r="F61" i="14"/>
  <c r="C55" i="19"/>
  <c r="C37" i="19"/>
  <c r="C112" i="19"/>
  <c r="C47" i="19"/>
  <c r="C247" i="15"/>
  <c r="E247" i="15" s="1"/>
  <c r="E223" i="15"/>
  <c r="D235" i="15"/>
  <c r="D181" i="15"/>
  <c r="D37" i="19"/>
  <c r="D55" i="19"/>
  <c r="D47" i="19"/>
  <c r="D112" i="19"/>
  <c r="E141" i="5"/>
  <c r="D309" i="14"/>
  <c r="E309" i="14" s="1"/>
  <c r="F309" i="14" s="1"/>
  <c r="E305" i="14"/>
  <c r="F305" i="14" s="1"/>
  <c r="D48" i="2"/>
  <c r="E41" i="2"/>
  <c r="E129" i="15"/>
  <c r="D131" i="15"/>
  <c r="E22" i="10"/>
  <c r="E70" i="10"/>
  <c r="E72" i="10" s="1"/>
  <c r="E69" i="10" s="1"/>
  <c r="E95" i="15"/>
  <c r="C175" i="14"/>
  <c r="C105" i="14"/>
  <c r="E32" i="14"/>
  <c r="F32" i="14" s="1"/>
  <c r="C62" i="14"/>
  <c r="C140" i="14"/>
  <c r="C210" i="14"/>
  <c r="C48" i="19"/>
  <c r="C113" i="19"/>
  <c r="C56" i="19"/>
  <c r="C38" i="19"/>
  <c r="D197" i="14"/>
  <c r="E197" i="14" s="1"/>
  <c r="F197" i="14" s="1"/>
  <c r="E196" i="14"/>
  <c r="F196" i="14" s="1"/>
  <c r="E128" i="15"/>
  <c r="E112" i="5"/>
  <c r="E111" i="5" s="1"/>
  <c r="E28" i="5"/>
  <c r="D254" i="15"/>
  <c r="E254" i="15" s="1"/>
  <c r="E252" i="15"/>
  <c r="C313" i="14"/>
  <c r="D90" i="15"/>
  <c r="E90" i="15" s="1"/>
  <c r="E84" i="15"/>
  <c r="D102" i="15"/>
  <c r="E102" i="15" s="1"/>
  <c r="E96" i="15"/>
  <c r="E83" i="15"/>
  <c r="E258" i="15"/>
  <c r="D264" i="15"/>
  <c r="C117" i="15"/>
  <c r="C48" i="2"/>
  <c r="F41" i="2"/>
  <c r="E304" i="14"/>
  <c r="F304" i="14" s="1"/>
  <c r="D310" i="14"/>
  <c r="C22" i="10"/>
  <c r="C70" i="10"/>
  <c r="C72" i="10" s="1"/>
  <c r="C69" i="10" s="1"/>
  <c r="E270" i="14"/>
  <c r="F270" i="14" s="1"/>
  <c r="C273" i="14"/>
  <c r="E273" i="14" s="1"/>
  <c r="E272" i="14"/>
  <c r="F272" i="14" s="1"/>
  <c r="C181" i="15"/>
  <c r="E181" i="15" s="1"/>
  <c r="E211" i="15"/>
  <c r="C235" i="15"/>
  <c r="E235" i="15" s="1"/>
  <c r="E139" i="14" l="1"/>
  <c r="F139" i="14" s="1"/>
  <c r="F174" i="14"/>
  <c r="E174" i="14"/>
  <c r="F209" i="14"/>
  <c r="E209" i="14"/>
  <c r="E104" i="14"/>
  <c r="F104" i="14" s="1"/>
  <c r="F273" i="14"/>
  <c r="D312" i="14"/>
  <c r="E310" i="14"/>
  <c r="F310" i="14" s="1"/>
  <c r="C131" i="15"/>
  <c r="E117" i="15"/>
  <c r="E264" i="15"/>
  <c r="D266" i="15"/>
  <c r="D91" i="15"/>
  <c r="C314" i="14"/>
  <c r="C315" i="14"/>
  <c r="C251" i="14"/>
  <c r="C256" i="14"/>
  <c r="E99" i="5"/>
  <c r="E101" i="5" s="1"/>
  <c r="E98" i="5" s="1"/>
  <c r="E22" i="5"/>
  <c r="C141" i="14"/>
  <c r="E140" i="14"/>
  <c r="F140" i="14"/>
  <c r="D103" i="15"/>
  <c r="E103" i="15" s="1"/>
  <c r="E131" i="15"/>
  <c r="E210" i="14"/>
  <c r="F210" i="14"/>
  <c r="E62" i="14"/>
  <c r="C63" i="14"/>
  <c r="F62" i="14"/>
  <c r="E105" i="14"/>
  <c r="C106" i="14"/>
  <c r="F105" i="14"/>
  <c r="C176" i="14"/>
  <c r="E175" i="14"/>
  <c r="F175" i="14" s="1"/>
  <c r="E48" i="2"/>
  <c r="F48" i="2" s="1"/>
  <c r="F176" i="14" l="1"/>
  <c r="E176" i="14"/>
  <c r="C183" i="14"/>
  <c r="C323" i="14"/>
  <c r="E106" i="14"/>
  <c r="C324" i="14"/>
  <c r="F106" i="14"/>
  <c r="C113" i="14"/>
  <c r="C257" i="14"/>
  <c r="E266" i="15"/>
  <c r="D267" i="15"/>
  <c r="E312" i="14"/>
  <c r="F312" i="14" s="1"/>
  <c r="D313" i="14"/>
  <c r="E63" i="14"/>
  <c r="F63" i="14"/>
  <c r="C70" i="14"/>
  <c r="C148" i="14"/>
  <c r="C322" i="14"/>
  <c r="E141" i="14"/>
  <c r="C211" i="14"/>
  <c r="F141" i="14"/>
  <c r="C318" i="14"/>
  <c r="D105" i="15"/>
  <c r="E105" i="15" s="1"/>
  <c r="E91" i="15"/>
  <c r="E211" i="14" l="1"/>
  <c r="F211" i="14" s="1"/>
  <c r="E322" i="14"/>
  <c r="F322" i="14" s="1"/>
  <c r="E70" i="14"/>
  <c r="F70" i="14"/>
  <c r="E113" i="14"/>
  <c r="F113" i="14" s="1"/>
  <c r="C325" i="14"/>
  <c r="E324" i="14"/>
  <c r="F324" i="14" s="1"/>
  <c r="E323" i="14"/>
  <c r="F323" i="14"/>
  <c r="E148" i="14"/>
  <c r="F148" i="14" s="1"/>
  <c r="D314" i="14"/>
  <c r="D256" i="14"/>
  <c r="D315" i="14"/>
  <c r="E315" i="14" s="1"/>
  <c r="F315" i="14" s="1"/>
  <c r="D251" i="14"/>
  <c r="E251" i="14" s="1"/>
  <c r="F251" i="14" s="1"/>
  <c r="E313" i="14"/>
  <c r="F313" i="14" s="1"/>
  <c r="E267" i="15"/>
  <c r="D268" i="15"/>
  <c r="D269" i="15"/>
  <c r="E269" i="15" s="1"/>
  <c r="E183" i="14"/>
  <c r="F183" i="14"/>
  <c r="D271" i="15" l="1"/>
  <c r="E271" i="15" s="1"/>
  <c r="E268" i="15"/>
  <c r="E314" i="14"/>
  <c r="F314" i="14" s="1"/>
  <c r="D318" i="14"/>
  <c r="E318" i="14" s="1"/>
  <c r="F318" i="14" s="1"/>
  <c r="F325" i="14"/>
  <c r="E325" i="14"/>
  <c r="E256" i="14"/>
  <c r="F256" i="14" s="1"/>
  <c r="D257" i="14"/>
  <c r="E257" i="14" s="1"/>
  <c r="F257" i="14" s="1"/>
</calcChain>
</file>

<file path=xl/sharedStrings.xml><?xml version="1.0" encoding="utf-8"?>
<sst xmlns="http://schemas.openxmlformats.org/spreadsheetml/2006/main" count="2307" uniqueCount="983">
  <si>
    <t>JOHN DEMPSEY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</si>
  <si>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</si>
  <si>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</si>
  <si>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</si>
  <si>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</si>
  <si>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</si>
  <si>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</si>
  <si>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</si>
  <si>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</si>
  <si>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</si>
  <si>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</si>
  <si>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</si>
  <si>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</si>
  <si>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</si>
  <si>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</si>
  <si>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</si>
  <si>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</si>
  <si>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</si>
  <si>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</si>
  <si>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</si>
  <si>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</si>
  <si>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</si>
  <si>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</si>
  <si>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</si>
  <si>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</si>
  <si>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</si>
  <si>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</si>
  <si>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</si>
  <si>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</si>
  <si>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</si>
  <si>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</si>
  <si>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</si>
  <si>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</si>
  <si>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</si>
  <si>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</si>
  <si>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</si>
  <si>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</si>
  <si>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</si>
  <si>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</si>
  <si>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</si>
  <si>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</si>
  <si>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</si>
  <si>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</si>
  <si>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</si>
  <si>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</si>
  <si>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</si>
  <si>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</si>
  <si>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</si>
  <si>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</si>
  <si>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</si>
  <si>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</si>
  <si>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</si>
  <si>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</si>
  <si>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</si>
  <si>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</si>
  <si>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</si>
  <si>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</si>
  <si>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</si>
  <si>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</si>
  <si>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</si>
  <si>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</si>
  <si>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</si>
  <si>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</si>
  <si>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</si>
  <si>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</si>
  <si>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</si>
  <si>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</si>
  <si>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</si>
  <si>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</si>
  <si>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</si>
  <si>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</si>
  <si>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</si>
  <si>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</si>
  <si>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</si>
  <si>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</si>
  <si>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</si>
  <si>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</si>
  <si>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</si>
  <si>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</si>
  <si>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</si>
  <si>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</si>
  <si>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</si>
  <si>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</si>
  <si>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</si>
  <si>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</si>
  <si>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</si>
  <si>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</si>
  <si>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</si>
  <si>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</si>
  <si>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</si>
  <si>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</si>
  <si>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</si>
  <si>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</si>
  <si>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</si>
  <si>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</si>
  <si>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</si>
  <si>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</si>
  <si>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</si>
  <si>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</si>
  <si>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</si>
  <si>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</si>
  <si>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</si>
  <si>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</si>
  <si>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</si>
  <si>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</si>
  <si>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</si>
  <si>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</si>
  <si>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</si>
  <si>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</si>
  <si>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</si>
  <si>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</si>
  <si>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</si>
  <si>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</si>
  <si>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</si>
  <si>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</si>
  <si>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</si>
  <si>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</si>
  <si>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</si>
  <si>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</si>
  <si>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</si>
  <si>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</si>
  <si>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</si>
  <si>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</si>
  <si>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</si>
  <si>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</si>
  <si>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</si>
  <si>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</si>
  <si>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</si>
  <si>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</si>
  <si>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</si>
  <si>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</si>
  <si>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</si>
  <si>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</si>
  <si>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</si>
  <si>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</si>
  <si>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</si>
  <si>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</si>
  <si>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</si>
  <si>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</si>
  <si>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</si>
  <si>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</si>
  <si>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</si>
  <si>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</si>
  <si>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</si>
  <si>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</si>
  <si>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</si>
  <si>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</si>
  <si>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</si>
  <si>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</si>
  <si>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</si>
  <si>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</si>
  <si>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</si>
  <si>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</si>
  <si>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</si>
  <si>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</si>
  <si>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</si>
  <si>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</si>
  <si>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</si>
  <si>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</si>
  <si>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</si>
  <si>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</si>
  <si>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</si>
  <si>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</si>
  <si>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</si>
  <si>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</si>
  <si>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</si>
  <si>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</si>
  <si>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</si>
  <si>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</si>
  <si>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</si>
  <si>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</si>
  <si>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</si>
  <si>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</si>
  <si>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</si>
  <si>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</si>
  <si>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</si>
  <si>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</si>
  <si>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</si>
  <si>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</si>
  <si>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</si>
  <si>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</si>
  <si>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</si>
  <si>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</si>
  <si>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</si>
  <si>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</si>
  <si>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</si>
  <si>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</si>
  <si>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</si>
  <si>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</si>
  <si>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</si>
  <si>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</si>
  <si>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</si>
  <si>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</si>
  <si>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</si>
  <si>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</si>
  <si>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</si>
  <si>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</si>
  <si>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</si>
  <si>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</si>
  <si>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</si>
  <si>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</si>
  <si>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</si>
  <si>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</si>
  <si>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</si>
  <si>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</si>
  <si>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</si>
  <si>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</si>
  <si>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</si>
  <si>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</si>
  <si>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</si>
  <si>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</si>
  <si>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</si>
  <si>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</si>
  <si>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</si>
  <si>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</si>
  <si>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</si>
  <si>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</si>
  <si>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</si>
  <si>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</si>
  <si>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</si>
  <si>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</si>
  <si>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</si>
  <si>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</si>
  <si>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</si>
  <si>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</si>
  <si>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</si>
  <si>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</si>
  <si>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</si>
  <si>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</si>
  <si>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</si>
  <si>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</si>
  <si>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</si>
  <si>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</si>
  <si>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</si>
  <si>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</si>
  <si>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</si>
  <si>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</si>
  <si>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</si>
  <si>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</si>
  <si>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</si>
  <si>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</si>
  <si>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</si>
  <si>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</si>
  <si>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</si>
  <si>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</si>
  <si>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</si>
  <si>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</si>
  <si>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</si>
  <si>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</si>
  <si>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</si>
  <si>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</si>
  <si>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</si>
  <si>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</si>
  <si>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</si>
  <si>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</si>
  <si>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</si>
  <si>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</si>
  <si>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</si>
  <si>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</si>
  <si>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</si>
  <si>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</si>
  <si>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</si>
  <si>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</si>
  <si>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</si>
  <si>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</si>
  <si>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</si>
  <si>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</si>
  <si>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</si>
  <si>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</si>
  <si>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</si>
  <si>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</si>
  <si>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</si>
  <si>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</si>
  <si>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</si>
  <si>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</si>
  <si>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</si>
  <si>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</si>
  <si>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</si>
  <si>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</si>
  <si>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</si>
  <si>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</si>
  <si>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</si>
  <si>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</si>
  <si>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</si>
  <si>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</si>
  <si>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</si>
  <si>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</si>
  <si>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</si>
  <si>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</si>
  <si>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</si>
  <si>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</si>
  <si>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</si>
  <si>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</si>
  <si>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</si>
  <si>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</si>
  <si>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</si>
  <si>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</si>
  <si>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</si>
  <si>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</si>
  <si>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</si>
  <si>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</si>
  <si>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</si>
  <si>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</si>
  <si>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</si>
  <si>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</si>
  <si>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</si>
  <si>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</si>
  <si>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</si>
  <si>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</si>
  <si>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</si>
  <si>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</si>
  <si>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</si>
  <si>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</si>
  <si>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</si>
  <si>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</si>
  <si>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</si>
  <si>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</si>
  <si>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</si>
  <si>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</si>
  <si>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</si>
  <si>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</si>
  <si>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</si>
  <si>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</si>
  <si>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</si>
  <si>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</si>
  <si>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</si>
  <si>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</si>
  <si>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</si>
  <si>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</si>
  <si>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</si>
  <si>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</si>
  <si>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</si>
  <si>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</si>
  <si>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</si>
  <si>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</si>
  <si>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</si>
  <si>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</si>
  <si>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</si>
  <si>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</si>
  <si>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</si>
  <si>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</si>
  <si>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</si>
  <si>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</si>
  <si>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</si>
  <si>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</si>
  <si>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</si>
  <si>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</si>
  <si>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</si>
  <si>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</si>
  <si>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</si>
  <si>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</si>
  <si>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</si>
  <si>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</si>
  <si>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</si>
  <si>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</si>
  <si>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</si>
  <si>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</si>
  <si>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</si>
  <si>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</si>
  <si>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</si>
  <si>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</si>
  <si>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</si>
  <si>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</si>
  <si>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</si>
  <si>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</si>
  <si>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</si>
  <si>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</si>
  <si>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</si>
  <si>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</si>
  <si>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</si>
  <si>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</si>
  <si>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</si>
  <si>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</si>
  <si>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</si>
  <si>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</si>
  <si>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</si>
  <si>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</si>
  <si>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</si>
  <si>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</si>
  <si>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</si>
  <si>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</si>
  <si>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</si>
  <si>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</si>
  <si>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</si>
  <si>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</si>
  <si>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</si>
  <si>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</si>
  <si>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</si>
  <si>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</si>
  <si>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</si>
  <si>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</si>
  <si>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</si>
  <si>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</si>
  <si>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</si>
  <si>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</si>
  <si>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</si>
  <si>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</si>
  <si>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</si>
  <si>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</si>
  <si>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</si>
  <si>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</si>
  <si>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</si>
  <si>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</si>
  <si>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</si>
  <si>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</si>
  <si>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</si>
  <si>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</si>
  <si>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</si>
  <si>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</si>
  <si>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</si>
  <si>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</si>
  <si>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</si>
  <si>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</si>
  <si>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</si>
  <si>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</si>
  <si>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</si>
  <si>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</si>
  <si>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</si>
  <si>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</si>
  <si>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</si>
  <si>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</si>
  <si>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</si>
  <si>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</si>
  <si>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</si>
  <si>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</si>
  <si>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</si>
  <si>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</si>
  <si>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</si>
  <si>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</si>
  <si>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</si>
  <si>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</si>
  <si>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</si>
  <si>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</si>
  <si>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</si>
  <si>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</si>
  <si>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</si>
  <si>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</si>
  <si>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</si>
  <si>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</si>
  <si>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</si>
  <si>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</si>
  <si>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</si>
  <si>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</si>
  <si>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</si>
  <si>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</si>
  <si>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</si>
  <si>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</si>
  <si>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</si>
  <si>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</si>
  <si>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</si>
  <si>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</si>
  <si>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</si>
  <si>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</si>
  <si>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</si>
  <si>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</si>
  <si>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</si>
  <si>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</si>
  <si>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</si>
  <si>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</si>
  <si>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</si>
  <si>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</si>
  <si>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</si>
  <si>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</si>
  <si>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</si>
  <si>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</si>
  <si>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</si>
  <si>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</si>
  <si>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</si>
  <si>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</si>
  <si>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</si>
  <si>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</si>
  <si>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</si>
  <si>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</si>
  <si>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</si>
  <si>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</si>
  <si>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</si>
  <si>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</si>
  <si>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UNIVERSITY OF CONNECTICUT HEALTH CENTER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</si>
  <si>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</si>
  <si>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</si>
  <si>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</si>
  <si>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</si>
  <si>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</si>
  <si>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</si>
  <si>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</si>
  <si>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</si>
  <si>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</si>
  <si>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</si>
  <si>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</si>
  <si>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</si>
  <si>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</si>
  <si>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</si>
  <si>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</si>
  <si>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</si>
  <si>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</si>
  <si>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</si>
  <si>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</si>
  <si>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</si>
  <si>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</si>
  <si>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</si>
  <si>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</si>
  <si>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</si>
  <si>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</si>
  <si>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</si>
  <si>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</si>
  <si>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</si>
  <si>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</si>
  <si>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</si>
  <si>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</si>
  <si>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</si>
  <si>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</si>
  <si>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</si>
  <si>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</si>
  <si>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</si>
  <si>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</si>
  <si>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</si>
  <si>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</si>
  <si>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</si>
  <si>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</si>
  <si>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</si>
  <si>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</si>
  <si>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</si>
  <si>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</si>
  <si>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</si>
  <si>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</si>
  <si>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</si>
  <si>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</si>
  <si>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</si>
  <si>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</si>
  <si>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</si>
  <si>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</si>
  <si>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</si>
  <si>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</si>
  <si>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</si>
  <si>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</si>
  <si>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</si>
  <si>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</si>
  <si>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</si>
  <si>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</si>
  <si>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</si>
  <si>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</si>
  <si>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</si>
  <si>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</si>
  <si>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</si>
  <si>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</si>
  <si>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</si>
  <si>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</si>
  <si>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</si>
  <si>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</si>
  <si>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</si>
  <si>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</si>
  <si>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</si>
  <si>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</si>
  <si>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</si>
  <si>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</si>
  <si>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</si>
  <si>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</si>
  <si>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</si>
  <si>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</si>
  <si>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</si>
  <si>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</si>
  <si>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</si>
  <si>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</si>
  <si>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</si>
  <si>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</si>
  <si>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</si>
  <si>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</si>
  <si>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</si>
  <si>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</si>
  <si>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</si>
  <si>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</si>
  <si>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</si>
  <si>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</si>
  <si>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</si>
  <si>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</si>
  <si>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</si>
  <si>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</si>
  <si>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</si>
  <si>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</si>
  <si>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</si>
  <si>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</si>
  <si>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</si>
  <si>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</si>
  <si>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</si>
  <si>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</si>
  <si>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</si>
  <si>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</si>
  <si>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</si>
  <si>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</si>
  <si>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</si>
  <si>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</si>
  <si>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</si>
  <si>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</si>
  <si>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</si>
  <si>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</si>
  <si>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</si>
  <si>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</si>
  <si>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</si>
  <si>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</si>
  <si>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</si>
  <si>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</si>
  <si>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</si>
  <si>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</si>
  <si>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</si>
  <si>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</si>
  <si>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</si>
  <si>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</si>
  <si>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</si>
  <si>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</si>
  <si>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</si>
  <si>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</si>
  <si>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</si>
  <si>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</si>
  <si>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</si>
  <si>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</si>
  <si>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</si>
  <si>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</si>
  <si>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</si>
  <si>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</si>
  <si>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</si>
  <si>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</si>
  <si>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</si>
  <si>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</si>
  <si>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</si>
  <si>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</si>
  <si>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</si>
  <si>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</si>
  <si>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</si>
  <si>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</si>
  <si>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</si>
  <si>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</si>
  <si>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</si>
  <si>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</si>
  <si>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</si>
  <si>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</si>
  <si>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</si>
  <si>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</si>
  <si>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</si>
  <si>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</si>
  <si>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</si>
  <si>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</si>
  <si>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</si>
  <si>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</si>
  <si>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</si>
  <si>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</si>
  <si>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</si>
  <si>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</si>
  <si>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</si>
  <si>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</si>
  <si>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</si>
  <si>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</si>
  <si>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</si>
  <si>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</si>
  <si>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</si>
  <si>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</si>
  <si>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</si>
  <si>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</si>
  <si>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</si>
  <si>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</si>
  <si>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</si>
  <si>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</si>
  <si>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</si>
  <si>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</si>
  <si>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</si>
  <si>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</si>
  <si>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</si>
  <si>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</si>
  <si>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</si>
  <si>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</si>
  <si>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</si>
  <si>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</si>
  <si>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</si>
  <si>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</si>
  <si>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</si>
  <si>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</si>
  <si>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</si>
  <si>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</si>
  <si>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</si>
  <si>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</si>
  <si>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</si>
  <si>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</si>
  <si>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</si>
  <si>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</si>
  <si>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</si>
  <si>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</si>
  <si>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</si>
  <si>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</si>
  <si>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</si>
  <si>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</si>
  <si>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</si>
  <si>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</si>
  <si>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</si>
  <si>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</si>
  <si>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</si>
  <si>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</si>
  <si>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</si>
  <si>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</si>
  <si>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</si>
  <si>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</si>
  <si>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</si>
  <si>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</si>
  <si>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</si>
  <si>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</si>
  <si>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</si>
  <si>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</si>
  <si>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</si>
  <si>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</si>
  <si>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</si>
  <si>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</si>
  <si>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</si>
  <si>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</si>
  <si>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</si>
  <si>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</si>
  <si>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</si>
  <si>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</si>
  <si>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</si>
  <si>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</si>
  <si>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</si>
  <si>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</si>
  <si>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</si>
  <si>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</si>
  <si>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</si>
  <si>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</si>
  <si>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</si>
  <si>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</si>
  <si>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</si>
  <si>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</si>
  <si>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</si>
  <si>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</si>
  <si>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</si>
  <si>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</si>
  <si>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</si>
  <si>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</si>
  <si>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</si>
  <si>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</si>
  <si>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</si>
  <si>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</si>
  <si>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</si>
  <si>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</si>
  <si>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</si>
  <si>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</si>
  <si>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</si>
  <si>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</si>
  <si>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</si>
  <si>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</si>
  <si>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</si>
  <si>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</si>
  <si>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</si>
  <si>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</si>
  <si>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</si>
  <si>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</si>
  <si>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</si>
  <si>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</si>
  <si>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</si>
  <si>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</si>
  <si>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</si>
  <si>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</si>
  <si>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</si>
  <si>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</si>
  <si>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</si>
  <si>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</si>
  <si>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</si>
  <si>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</si>
  <si>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</si>
  <si>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</si>
  <si>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</si>
  <si>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</si>
  <si>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</si>
  <si>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</si>
  <si>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</si>
  <si>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</si>
  <si>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</si>
  <si>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</si>
  <si>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</si>
  <si>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</si>
  <si>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</si>
  <si>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</si>
  <si>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</si>
  <si>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</si>
  <si>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</si>
  <si>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</si>
  <si>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</si>
  <si>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</si>
  <si>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</si>
  <si>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</si>
  <si>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</si>
  <si>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</si>
  <si>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</si>
  <si>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</si>
  <si>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</si>
  <si>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</si>
  <si>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</si>
  <si>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</si>
  <si>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</si>
  <si>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</si>
  <si>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</si>
  <si>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</si>
  <si>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</si>
  <si>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</si>
  <si>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</si>
  <si>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</si>
  <si>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</si>
  <si>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</si>
  <si>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</si>
  <si>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</si>
  <si>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</si>
  <si>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</si>
  <si>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</si>
  <si>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</si>
  <si>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</si>
  <si>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</si>
  <si>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</si>
  <si>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</si>
  <si>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</si>
  <si>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</si>
  <si>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</si>
  <si>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</si>
  <si>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</si>
  <si>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</si>
  <si>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</si>
  <si>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</si>
  <si>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</si>
  <si>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</si>
  <si>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</si>
  <si>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</si>
  <si>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</si>
  <si>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</si>
  <si>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</si>
  <si>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</si>
  <si>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</si>
  <si>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</si>
  <si>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</si>
  <si>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</si>
  <si>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</si>
  <si>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</si>
  <si>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</si>
  <si>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</si>
  <si>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</si>
  <si>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</si>
  <si>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</si>
  <si>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</si>
  <si>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</si>
  <si>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</si>
  <si>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</si>
  <si>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</si>
  <si>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</si>
  <si>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</si>
  <si>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</si>
  <si>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</si>
  <si>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</si>
  <si>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</si>
  <si>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</si>
  <si>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</si>
  <si>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</si>
  <si>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</si>
  <si>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</si>
  <si>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</si>
  <si>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</si>
  <si>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</si>
  <si>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</si>
  <si>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</si>
  <si>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</si>
  <si>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</si>
  <si>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</si>
  <si>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</si>
  <si>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</si>
  <si>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</si>
  <si>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</si>
  <si>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</si>
  <si>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</si>
  <si>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</si>
  <si>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</si>
  <si>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</si>
  <si>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</si>
  <si>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</si>
  <si>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</si>
  <si>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</si>
  <si>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</si>
  <si>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</si>
  <si>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</si>
  <si>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</si>
  <si>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</si>
  <si>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</si>
  <si>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</si>
  <si>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</si>
  <si>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</si>
  <si>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</si>
  <si>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</si>
  <si>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</si>
  <si>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</si>
  <si>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</si>
  <si>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</si>
  <si>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</si>
  <si>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</si>
  <si>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</si>
  <si>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</si>
  <si>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</si>
  <si>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</si>
  <si>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</si>
  <si>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</si>
  <si>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</si>
  <si>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</si>
  <si>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</si>
  <si>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</si>
  <si>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</si>
  <si>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</si>
  <si>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</si>
  <si>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</si>
  <si>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</si>
  <si>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</si>
  <si>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</si>
  <si>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</si>
  <si>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</si>
  <si>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</si>
  <si>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</si>
  <si>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</si>
  <si>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</si>
  <si>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</si>
  <si>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</si>
  <si>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</si>
  <si>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</si>
  <si>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</si>
  <si>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</si>
  <si>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</si>
  <si>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</si>
  <si>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</si>
  <si>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</si>
  <si>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</si>
  <si>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</si>
  <si>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</si>
  <si>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</si>
  <si>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</si>
  <si>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</si>
  <si>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</si>
  <si>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</si>
  <si>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</si>
  <si>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</si>
  <si>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</si>
  <si>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</si>
  <si>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</si>
  <si>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</si>
  <si>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</si>
  <si>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</si>
  <si>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</si>
  <si>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</si>
  <si>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</si>
  <si>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</si>
  <si>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</si>
  <si>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</si>
  <si>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</si>
  <si>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</si>
  <si>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</si>
  <si>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</si>
  <si>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</si>
  <si>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</si>
  <si>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</si>
  <si>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</si>
  <si>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</si>
  <si>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</si>
  <si>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</si>
  <si>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</si>
  <si>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</si>
  <si>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</si>
  <si>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</si>
  <si>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</si>
  <si>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</si>
  <si>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</si>
  <si>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</si>
  <si>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</si>
  <si>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</si>
  <si>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</si>
  <si>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</si>
  <si>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</si>
  <si>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</si>
  <si>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</si>
  <si>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</si>
  <si>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</si>
  <si>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</si>
  <si>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</si>
  <si>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</si>
  <si>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</si>
  <si>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>*A.- K. The total operating expenses amount above must agree with the total operating expenses amount on Report 150.</t>
  </si>
  <si>
    <t xml:space="preserve">*A.- 0. The total operating expenses amount above must agree with the total operating expenses amount on Report 150.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</si>
</sst>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1577178</v>
      </c>
      <c r="E13" s="23">
        <f t="shared" ref="E13:E22" si="0">D13-C13</f>
        <v>1577178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29752888</v>
      </c>
      <c r="D15" s="23">
        <v>30512285</v>
      </c>
      <c r="E15" s="23">
        <f t="shared" si="0"/>
        <v>759397</v>
      </c>
      <c r="F15" s="24">
        <f t="shared" si="1"/>
        <v>2.5523471872713668E-2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7090582</v>
      </c>
      <c r="D19" s="23">
        <v>7348436</v>
      </c>
      <c r="E19" s="23">
        <f t="shared" si="0"/>
        <v>257854</v>
      </c>
      <c r="F19" s="24">
        <f t="shared" si="1"/>
        <v>3.6365703125639054E-2</v>
      </c>
    </row>
    <row r="20" spans="1:11" ht="24" customHeight="1" x14ac:dyDescent="0.2">
      <c r="A20" s="21">
        <v>8</v>
      </c>
      <c r="B20" s="22" t="s">
        <v>23</v>
      </c>
      <c r="C20" s="23">
        <v>3045246</v>
      </c>
      <c r="D20" s="23">
        <v>3634955</v>
      </c>
      <c r="E20" s="23">
        <f t="shared" si="0"/>
        <v>589709</v>
      </c>
      <c r="F20" s="24">
        <f t="shared" si="1"/>
        <v>0.19364905166938895</v>
      </c>
    </row>
    <row r="21" spans="1:11" ht="24" customHeight="1" x14ac:dyDescent="0.2">
      <c r="A21" s="21">
        <v>9</v>
      </c>
      <c r="B21" s="22" t="s">
        <v>24</v>
      </c>
      <c r="C21" s="23">
        <v>13267035</v>
      </c>
      <c r="D21" s="23">
        <v>13431049</v>
      </c>
      <c r="E21" s="23">
        <f t="shared" si="0"/>
        <v>164014</v>
      </c>
      <c r="F21" s="24">
        <f t="shared" si="1"/>
        <v>1.236252109080891E-2</v>
      </c>
    </row>
    <row r="22" spans="1:11" ht="24" customHeight="1" x14ac:dyDescent="0.25">
      <c r="A22" s="25"/>
      <c r="B22" s="26" t="s">
        <v>25</v>
      </c>
      <c r="C22" s="27">
        <f>SUM(C13:C21)</f>
        <v>53155751</v>
      </c>
      <c r="D22" s="27">
        <f>SUM(D13:D21)</f>
        <v>56503903</v>
      </c>
      <c r="E22" s="27">
        <f t="shared" si="0"/>
        <v>3348152</v>
      </c>
      <c r="F22" s="28">
        <f t="shared" si="1"/>
        <v>6.298757776933675E-2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613242</v>
      </c>
      <c r="D33" s="23">
        <v>623030</v>
      </c>
      <c r="E33" s="23">
        <f>D33-C33</f>
        <v>9788</v>
      </c>
      <c r="F33" s="24">
        <f>IF(C33=0,0,E33/C33)</f>
        <v>1.5961072464051713E-2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181042934</v>
      </c>
      <c r="D36" s="23">
        <v>186186491</v>
      </c>
      <c r="E36" s="23">
        <f>D36-C36</f>
        <v>5143557</v>
      </c>
      <c r="F36" s="24">
        <f>IF(C36=0,0,E36/C36)</f>
        <v>2.8410702844663356E-2</v>
      </c>
    </row>
    <row r="37" spans="1:8" ht="24" customHeight="1" x14ac:dyDescent="0.2">
      <c r="A37" s="21">
        <v>2</v>
      </c>
      <c r="B37" s="22" t="s">
        <v>39</v>
      </c>
      <c r="C37" s="23">
        <v>132361469</v>
      </c>
      <c r="D37" s="23">
        <v>138277486</v>
      </c>
      <c r="E37" s="23">
        <f>D37-C37</f>
        <v>5916017</v>
      </c>
      <c r="F37" s="24">
        <f>IF(C37=0,0,E37/C37)</f>
        <v>4.4695915244035253E-2</v>
      </c>
    </row>
    <row r="38" spans="1:8" ht="24" customHeight="1" x14ac:dyDescent="0.25">
      <c r="A38" s="25"/>
      <c r="B38" s="26" t="s">
        <v>40</v>
      </c>
      <c r="C38" s="27">
        <f>C36-C37</f>
        <v>48681465</v>
      </c>
      <c r="D38" s="27">
        <f>D36-D37</f>
        <v>47909005</v>
      </c>
      <c r="E38" s="27">
        <f>D38-C38</f>
        <v>-772460</v>
      </c>
      <c r="F38" s="28">
        <f>IF(C38=0,0,E38/C38)</f>
        <v>-1.586764079511576E-2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6030347</v>
      </c>
      <c r="D40" s="23">
        <v>7169410</v>
      </c>
      <c r="E40" s="23">
        <f>D40-C40</f>
        <v>1139063</v>
      </c>
      <c r="F40" s="24">
        <f>IF(C40=0,0,E40/C40)</f>
        <v>0.18888846694891687</v>
      </c>
    </row>
    <row r="41" spans="1:8" ht="24" customHeight="1" x14ac:dyDescent="0.25">
      <c r="A41" s="25"/>
      <c r="B41" s="26" t="s">
        <v>42</v>
      </c>
      <c r="C41" s="27">
        <f>+C38+C40</f>
        <v>54711812</v>
      </c>
      <c r="D41" s="27">
        <f>+D38+D40</f>
        <v>55078415</v>
      </c>
      <c r="E41" s="27">
        <f>D41-C41</f>
        <v>366603</v>
      </c>
      <c r="F41" s="28">
        <f>IF(C41=0,0,E41/C41)</f>
        <v>6.7006188718443469E-3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108480805</v>
      </c>
      <c r="D43" s="27">
        <f>D22+D29+D31+D32+D33+D41</f>
        <v>112205348</v>
      </c>
      <c r="E43" s="27">
        <f>D43-C43</f>
        <v>3724543</v>
      </c>
      <c r="F43" s="28">
        <f>IF(C43=0,0,E43/C43)</f>
        <v>3.4333659304980266E-2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11160327</v>
      </c>
      <c r="D49" s="23">
        <v>8760603</v>
      </c>
      <c r="E49" s="23">
        <f t="shared" ref="E49:E56" si="2">D49-C49</f>
        <v>-2399724</v>
      </c>
      <c r="F49" s="24">
        <f t="shared" ref="F49:F56" si="3">IF(C49=0,0,E49/C49)</f>
        <v>-0.21502273186081375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6506559</v>
      </c>
      <c r="D50" s="23">
        <v>7112987</v>
      </c>
      <c r="E50" s="23">
        <f t="shared" si="2"/>
        <v>606428</v>
      </c>
      <c r="F50" s="24">
        <f t="shared" si="3"/>
        <v>9.3202566825260486E-2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2833399</v>
      </c>
      <c r="D51" s="23">
        <v>9415877</v>
      </c>
      <c r="E51" s="23">
        <f t="shared" si="2"/>
        <v>6582478</v>
      </c>
      <c r="F51" s="24">
        <f t="shared" si="3"/>
        <v>2.3231736864451493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2062147</v>
      </c>
      <c r="D53" s="23">
        <v>1445127</v>
      </c>
      <c r="E53" s="23">
        <f t="shared" si="2"/>
        <v>-617020</v>
      </c>
      <c r="F53" s="24">
        <f t="shared" si="3"/>
        <v>-0.29921242278072319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10975690</v>
      </c>
      <c r="D55" s="23">
        <v>8719646</v>
      </c>
      <c r="E55" s="23">
        <f t="shared" si="2"/>
        <v>-2256044</v>
      </c>
      <c r="F55" s="24">
        <f t="shared" si="3"/>
        <v>-0.2055491727627147</v>
      </c>
    </row>
    <row r="56" spans="1:6" ht="24" customHeight="1" x14ac:dyDescent="0.25">
      <c r="A56" s="25"/>
      <c r="B56" s="26" t="s">
        <v>54</v>
      </c>
      <c r="C56" s="27">
        <f>SUM(C49:C55)</f>
        <v>33538122</v>
      </c>
      <c r="D56" s="27">
        <f>SUM(D49:D55)</f>
        <v>35454240</v>
      </c>
      <c r="E56" s="27">
        <f t="shared" si="2"/>
        <v>1916118</v>
      </c>
      <c r="F56" s="28">
        <f t="shared" si="3"/>
        <v>5.7132537117015672E-2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1245595</v>
      </c>
      <c r="D60" s="23">
        <v>415198</v>
      </c>
      <c r="E60" s="23">
        <f>D60-C60</f>
        <v>-830397</v>
      </c>
      <c r="F60" s="24">
        <f>IF(C60=0,0,E60/C60)</f>
        <v>-0.66666693427639001</v>
      </c>
    </row>
    <row r="61" spans="1:6" ht="24" customHeight="1" x14ac:dyDescent="0.25">
      <c r="A61" s="25"/>
      <c r="B61" s="26" t="s">
        <v>58</v>
      </c>
      <c r="C61" s="27">
        <f>SUM(C59:C60)</f>
        <v>1245595</v>
      </c>
      <c r="D61" s="27">
        <f>SUM(D59:D60)</f>
        <v>415198</v>
      </c>
      <c r="E61" s="27">
        <f>D61-C61</f>
        <v>-830397</v>
      </c>
      <c r="F61" s="28">
        <f>IF(C61=0,0,E61/C61)</f>
        <v>-0.66666693427639001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7202589</v>
      </c>
      <c r="D63" s="23">
        <v>7827458</v>
      </c>
      <c r="E63" s="23">
        <f>D63-C63</f>
        <v>624869</v>
      </c>
      <c r="F63" s="24">
        <f>IF(C63=0,0,E63/C63)</f>
        <v>8.6756165040098782E-2</v>
      </c>
    </row>
    <row r="64" spans="1:6" ht="24" customHeight="1" x14ac:dyDescent="0.2">
      <c r="A64" s="21">
        <v>4</v>
      </c>
      <c r="B64" s="22" t="s">
        <v>60</v>
      </c>
      <c r="C64" s="23">
        <v>1086613</v>
      </c>
      <c r="D64" s="23">
        <v>471882</v>
      </c>
      <c r="E64" s="23">
        <f>D64-C64</f>
        <v>-614731</v>
      </c>
      <c r="F64" s="24">
        <f>IF(C64=0,0,E64/C64)</f>
        <v>-0.56573131372438945</v>
      </c>
    </row>
    <row r="65" spans="1:6" ht="24" customHeight="1" x14ac:dyDescent="0.25">
      <c r="A65" s="25"/>
      <c r="B65" s="26" t="s">
        <v>61</v>
      </c>
      <c r="C65" s="27">
        <f>SUM(C61:C64)</f>
        <v>9534797</v>
      </c>
      <c r="D65" s="27">
        <f>SUM(D61:D64)</f>
        <v>8714538</v>
      </c>
      <c r="E65" s="27">
        <f>D65-C65</f>
        <v>-820259</v>
      </c>
      <c r="F65" s="28">
        <f>IF(C65=0,0,E65/C65)</f>
        <v>-8.6027945849292853E-2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65259763</v>
      </c>
      <c r="D70" s="23">
        <v>67969446</v>
      </c>
      <c r="E70" s="23">
        <f>D70-C70</f>
        <v>2709683</v>
      </c>
      <c r="F70" s="24">
        <f>IF(C70=0,0,E70/C70)</f>
        <v>4.1521496178280638E-2</v>
      </c>
    </row>
    <row r="71" spans="1:6" ht="24" customHeight="1" x14ac:dyDescent="0.2">
      <c r="A71" s="21">
        <v>2</v>
      </c>
      <c r="B71" s="22" t="s">
        <v>65</v>
      </c>
      <c r="C71" s="23">
        <v>148123</v>
      </c>
      <c r="D71" s="23">
        <v>67124</v>
      </c>
      <c r="E71" s="23">
        <f>D71-C71</f>
        <v>-80999</v>
      </c>
      <c r="F71" s="24">
        <f>IF(C71=0,0,E71/C71)</f>
        <v>-0.54683607542380319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65407886</v>
      </c>
      <c r="D73" s="27">
        <f>SUM(D70:D72)</f>
        <v>68036570</v>
      </c>
      <c r="E73" s="27">
        <f>D73-C73</f>
        <v>2628684</v>
      </c>
      <c r="F73" s="28">
        <f>IF(C73=0,0,E73/C73)</f>
        <v>4.0189098910794946E-2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108480805</v>
      </c>
      <c r="D75" s="27">
        <f>D56+D65+D67+D73</f>
        <v>112205348</v>
      </c>
      <c r="E75" s="27">
        <f>D75-C75</f>
        <v>3724543</v>
      </c>
      <c r="F75" s="28">
        <f>IF(C75=0,0,E75/C75)</f>
        <v>3.4333659304980266E-2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477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480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418724840</v>
      </c>
      <c r="D11" s="51">
        <v>415044939</v>
      </c>
      <c r="E11" s="51">
        <v>427311134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151860489</v>
      </c>
      <c r="D12" s="49">
        <v>158984528</v>
      </c>
      <c r="E12" s="49">
        <v>170801000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570585329</v>
      </c>
      <c r="D13" s="51">
        <f>+D11+D12</f>
        <v>574029467</v>
      </c>
      <c r="E13" s="51">
        <f>+E11+E12</f>
        <v>598112134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783711104</v>
      </c>
      <c r="D14" s="49">
        <v>785031400</v>
      </c>
      <c r="E14" s="49">
        <v>820092537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-213125775</v>
      </c>
      <c r="D15" s="51">
        <f>+D13-D14</f>
        <v>-211001933</v>
      </c>
      <c r="E15" s="51">
        <f>+E13-E14</f>
        <v>-221980403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253099082</v>
      </c>
      <c r="D16" s="49">
        <v>245837744</v>
      </c>
      <c r="E16" s="49">
        <v>215749000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39973307</v>
      </c>
      <c r="D17" s="51">
        <f>D15+D16</f>
        <v>34835811</v>
      </c>
      <c r="E17" s="51">
        <f>E15+E16</f>
        <v>-6231403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-0.25874688430882542</v>
      </c>
      <c r="D20" s="169">
        <f>IF(+D27=0,0,+D24/+D27)</f>
        <v>-0.25736110698053027</v>
      </c>
      <c r="E20" s="169">
        <f>IF(+E27=0,0,+E24/+E27)</f>
        <v>-0.27274972808813353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0.30727676597973153</v>
      </c>
      <c r="D21" s="169">
        <f>IF(+D27=0,0,+D26/+D27)</f>
        <v>0.29985068399082493</v>
      </c>
      <c r="E21" s="169">
        <f>IF(+E27=0,0,+E26/+E27)</f>
        <v>0.26509313565525294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4.8529881670906119E-2</v>
      </c>
      <c r="D22" s="169">
        <f>IF(+D27=0,0,+D28/+D27)</f>
        <v>4.2489577010294662E-2</v>
      </c>
      <c r="E22" s="169">
        <f>IF(+E27=0,0,+E28/+E27)</f>
        <v>-7.6565924328805702E-3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-213125775</v>
      </c>
      <c r="D24" s="51">
        <f>+D15</f>
        <v>-211001933</v>
      </c>
      <c r="E24" s="51">
        <f>+E15</f>
        <v>-221980403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570585329</v>
      </c>
      <c r="D25" s="51">
        <f>+D13</f>
        <v>574029467</v>
      </c>
      <c r="E25" s="51">
        <f>+E13</f>
        <v>598112134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253099082</v>
      </c>
      <c r="D26" s="51">
        <f>+D16</f>
        <v>245837744</v>
      </c>
      <c r="E26" s="51">
        <f>+E16</f>
        <v>215749000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823684411</v>
      </c>
      <c r="D27" s="51">
        <f>SUM(D25:D26)</f>
        <v>819867211</v>
      </c>
      <c r="E27" s="51">
        <f>SUM(E25:E26)</f>
        <v>813861134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39973307</v>
      </c>
      <c r="D28" s="51">
        <f>+D17</f>
        <v>34835811</v>
      </c>
      <c r="E28" s="51">
        <f>+E17</f>
        <v>-6231403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55446097</v>
      </c>
      <c r="D31" s="51">
        <v>65819357</v>
      </c>
      <c r="E31" s="52">
        <v>51005000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94960818</v>
      </c>
      <c r="D32" s="51">
        <v>102752317</v>
      </c>
      <c r="E32" s="51">
        <v>61746000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21623726</v>
      </c>
      <c r="D33" s="51">
        <f>+D32-C32</f>
        <v>7791499</v>
      </c>
      <c r="E33" s="51">
        <f>+E32-D32</f>
        <v>-41006317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1.2948</v>
      </c>
      <c r="D34" s="171">
        <f>IF(C32=0,0,+D33/C32)</f>
        <v>8.2049619665239187E-2</v>
      </c>
      <c r="E34" s="171">
        <f>IF(D32=0,0,+E33/D32)</f>
        <v>-0.39907924412059731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2.0139480270227499</v>
      </c>
      <c r="D38" s="269">
        <f>IF(+D40=0,0,+D39/+D40)</f>
        <v>1.968906325015888</v>
      </c>
      <c r="E38" s="269">
        <f>IF(+E40=0,0,+E39/+E40)</f>
        <v>1.8290504171328394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204871455</v>
      </c>
      <c r="D39" s="270">
        <v>230460887</v>
      </c>
      <c r="E39" s="270">
        <v>207621000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101726287</v>
      </c>
      <c r="D40" s="270">
        <v>117050204</v>
      </c>
      <c r="E40" s="270">
        <v>113513000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28.036140894413332</v>
      </c>
      <c r="D42" s="271">
        <f>IF((D48/365)=0,0,+D45/(D48/365))</f>
        <v>47.18448309390515</v>
      </c>
      <c r="E42" s="271">
        <f>IF((E48/365)=0,0,+E45/(E48/365))</f>
        <v>44.41908792386873</v>
      </c>
    </row>
    <row r="43" spans="1:14" ht="24" customHeight="1" x14ac:dyDescent="0.2">
      <c r="A43" s="17">
        <v>5</v>
      </c>
      <c r="B43" s="188" t="s">
        <v>16</v>
      </c>
      <c r="C43" s="272">
        <v>57935895</v>
      </c>
      <c r="D43" s="272">
        <v>97647270</v>
      </c>
      <c r="E43" s="272">
        <v>96175000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344</v>
      </c>
      <c r="C45" s="270">
        <f>+C43+C44</f>
        <v>57935895</v>
      </c>
      <c r="D45" s="270">
        <f>+D43+D44</f>
        <v>97647270</v>
      </c>
      <c r="E45" s="270">
        <f>+E43+E44</f>
        <v>96175000</v>
      </c>
    </row>
    <row r="46" spans="1:14" ht="24" customHeight="1" x14ac:dyDescent="0.2">
      <c r="A46" s="17">
        <v>8</v>
      </c>
      <c r="B46" s="45" t="s">
        <v>322</v>
      </c>
      <c r="C46" s="270">
        <f>+C14</f>
        <v>783711104</v>
      </c>
      <c r="D46" s="270">
        <f>+D14</f>
        <v>785031400</v>
      </c>
      <c r="E46" s="270">
        <f>+E14</f>
        <v>820092537</v>
      </c>
    </row>
    <row r="47" spans="1:14" ht="24" customHeight="1" x14ac:dyDescent="0.2">
      <c r="A47" s="17">
        <v>9</v>
      </c>
      <c r="B47" s="45" t="s">
        <v>345</v>
      </c>
      <c r="C47" s="270">
        <v>29448891</v>
      </c>
      <c r="D47" s="270">
        <v>29671773</v>
      </c>
      <c r="E47" s="270">
        <v>29804473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754262213</v>
      </c>
      <c r="D48" s="270">
        <f>+D46-D47</f>
        <v>755359627</v>
      </c>
      <c r="E48" s="270">
        <f>+E46-E47</f>
        <v>790288064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44.631329669861479</v>
      </c>
      <c r="D50" s="278">
        <f>IF((D55/365)=0,0,+D54/(D55/365))</f>
        <v>34.689432907408609</v>
      </c>
      <c r="E50" s="278">
        <f>IF((E55/365)=0,0,+E54/(E55/365))</f>
        <v>28.395457161198145</v>
      </c>
    </row>
    <row r="51" spans="1:5" ht="24" customHeight="1" x14ac:dyDescent="0.2">
      <c r="A51" s="17">
        <v>12</v>
      </c>
      <c r="B51" s="188" t="s">
        <v>348</v>
      </c>
      <c r="C51" s="279">
        <v>48523927</v>
      </c>
      <c r="D51" s="279">
        <v>42279080</v>
      </c>
      <c r="E51" s="279">
        <v>42659000</v>
      </c>
    </row>
    <row r="52" spans="1:5" ht="24" customHeight="1" x14ac:dyDescent="0.2">
      <c r="A52" s="17">
        <v>13</v>
      </c>
      <c r="B52" s="188" t="s">
        <v>21</v>
      </c>
      <c r="C52" s="270">
        <v>2676748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2833399</v>
      </c>
      <c r="E53" s="270">
        <v>9416000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51200675</v>
      </c>
      <c r="D54" s="280">
        <f>+D51+D52-D53</f>
        <v>39445681</v>
      </c>
      <c r="E54" s="280">
        <f>+E51+E52-E53</f>
        <v>33243000</v>
      </c>
    </row>
    <row r="55" spans="1:5" ht="24" customHeight="1" x14ac:dyDescent="0.2">
      <c r="A55" s="17">
        <v>16</v>
      </c>
      <c r="B55" s="45" t="s">
        <v>75</v>
      </c>
      <c r="C55" s="270">
        <f>+C11</f>
        <v>418724840</v>
      </c>
      <c r="D55" s="270">
        <f>+D11</f>
        <v>415044939</v>
      </c>
      <c r="E55" s="270">
        <f>+E11</f>
        <v>427311134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49.227038177239301</v>
      </c>
      <c r="D57" s="283">
        <f>IF((D61/365)=0,0,+D58/(D61/365))</f>
        <v>56.560243535494124</v>
      </c>
      <c r="E57" s="283">
        <f>IF((E61/365)=0,0,+E58/(E61/365))</f>
        <v>52.42676295817116</v>
      </c>
    </row>
    <row r="58" spans="1:5" ht="24" customHeight="1" x14ac:dyDescent="0.2">
      <c r="A58" s="17">
        <v>18</v>
      </c>
      <c r="B58" s="45" t="s">
        <v>54</v>
      </c>
      <c r="C58" s="281">
        <f>+C40</f>
        <v>101726287</v>
      </c>
      <c r="D58" s="281">
        <f>+D40</f>
        <v>117050204</v>
      </c>
      <c r="E58" s="281">
        <f>+E40</f>
        <v>113513000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783711104</v>
      </c>
      <c r="D59" s="281">
        <f t="shared" si="0"/>
        <v>785031400</v>
      </c>
      <c r="E59" s="281">
        <f t="shared" si="0"/>
        <v>820092537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29448891</v>
      </c>
      <c r="D60" s="176">
        <f t="shared" si="0"/>
        <v>29671773</v>
      </c>
      <c r="E60" s="176">
        <f t="shared" si="0"/>
        <v>29804473</v>
      </c>
    </row>
    <row r="61" spans="1:5" ht="24" customHeight="1" x14ac:dyDescent="0.2">
      <c r="A61" s="17">
        <v>21</v>
      </c>
      <c r="B61" s="45" t="s">
        <v>351</v>
      </c>
      <c r="C61" s="281">
        <f>+C59-C60</f>
        <v>754262213</v>
      </c>
      <c r="D61" s="281">
        <f>+D59-D60</f>
        <v>755359627</v>
      </c>
      <c r="E61" s="281">
        <f>+E59-E60</f>
        <v>790288064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19.57634930943528</v>
      </c>
      <c r="D65" s="284">
        <f>IF(D67=0,0,(D66/D67)*100)</f>
        <v>19.759800854159909</v>
      </c>
      <c r="E65" s="284">
        <f>IF(E67=0,0,(E66/E67)*100)</f>
        <v>11.998251153752733</v>
      </c>
    </row>
    <row r="66" spans="1:5" ht="24" customHeight="1" x14ac:dyDescent="0.2">
      <c r="A66" s="17">
        <v>2</v>
      </c>
      <c r="B66" s="45" t="s">
        <v>67</v>
      </c>
      <c r="C66" s="281">
        <f>+C32</f>
        <v>94960818</v>
      </c>
      <c r="D66" s="281">
        <f>+D32</f>
        <v>102752317</v>
      </c>
      <c r="E66" s="281">
        <f>+E32</f>
        <v>61746000</v>
      </c>
    </row>
    <row r="67" spans="1:5" ht="24" customHeight="1" x14ac:dyDescent="0.2">
      <c r="A67" s="17">
        <v>3</v>
      </c>
      <c r="B67" s="45" t="s">
        <v>43</v>
      </c>
      <c r="C67" s="281">
        <v>485079299</v>
      </c>
      <c r="D67" s="281">
        <v>520006845</v>
      </c>
      <c r="E67" s="281">
        <v>514625000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51.139539532124424</v>
      </c>
      <c r="D69" s="284">
        <f>IF(D75=0,0,(D72/D75)*100)</f>
        <v>46.897173075603007</v>
      </c>
      <c r="E69" s="284">
        <f>IF(E75=0,0,(E72/E75)*100)</f>
        <v>17.901648681282797</v>
      </c>
    </row>
    <row r="70" spans="1:5" ht="24" customHeight="1" x14ac:dyDescent="0.2">
      <c r="A70" s="17">
        <v>5</v>
      </c>
      <c r="B70" s="45" t="s">
        <v>356</v>
      </c>
      <c r="C70" s="281">
        <f>+C28</f>
        <v>39973307</v>
      </c>
      <c r="D70" s="281">
        <f>+D28</f>
        <v>34835811</v>
      </c>
      <c r="E70" s="281">
        <f>+E28</f>
        <v>-6231403</v>
      </c>
    </row>
    <row r="71" spans="1:5" ht="24" customHeight="1" x14ac:dyDescent="0.2">
      <c r="A71" s="17">
        <v>6</v>
      </c>
      <c r="B71" s="45" t="s">
        <v>345</v>
      </c>
      <c r="C71" s="176">
        <f>+C47</f>
        <v>29448891</v>
      </c>
      <c r="D71" s="176">
        <f>+D47</f>
        <v>29671773</v>
      </c>
      <c r="E71" s="176">
        <f>+E47</f>
        <v>29804473</v>
      </c>
    </row>
    <row r="72" spans="1:5" ht="24" customHeight="1" x14ac:dyDescent="0.2">
      <c r="A72" s="17">
        <v>7</v>
      </c>
      <c r="B72" s="45" t="s">
        <v>357</v>
      </c>
      <c r="C72" s="281">
        <f>+C70+C71</f>
        <v>69422198</v>
      </c>
      <c r="D72" s="281">
        <f>+D70+D71</f>
        <v>64507584</v>
      </c>
      <c r="E72" s="281">
        <f>+E70+E71</f>
        <v>23573070</v>
      </c>
    </row>
    <row r="73" spans="1:5" ht="24" customHeight="1" x14ac:dyDescent="0.2">
      <c r="A73" s="17">
        <v>8</v>
      </c>
      <c r="B73" s="45" t="s">
        <v>54</v>
      </c>
      <c r="C73" s="270">
        <f>+C40</f>
        <v>101726287</v>
      </c>
      <c r="D73" s="270">
        <f>+D40</f>
        <v>117050204</v>
      </c>
      <c r="E73" s="270">
        <f>+E40</f>
        <v>113513000</v>
      </c>
    </row>
    <row r="74" spans="1:5" ht="24" customHeight="1" x14ac:dyDescent="0.2">
      <c r="A74" s="17">
        <v>9</v>
      </c>
      <c r="B74" s="45" t="s">
        <v>58</v>
      </c>
      <c r="C74" s="281">
        <v>34024247</v>
      </c>
      <c r="D74" s="281">
        <v>20500910</v>
      </c>
      <c r="E74" s="281">
        <v>18168000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135750534</v>
      </c>
      <c r="D75" s="270">
        <f>+D73+D74</f>
        <v>137551114</v>
      </c>
      <c r="E75" s="270">
        <f>+E73+E74</f>
        <v>131681000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26.378439240232971</v>
      </c>
      <c r="D77" s="286">
        <f>IF(D80=0,0,(D78/D80)*100)</f>
        <v>16.633162878567063</v>
      </c>
      <c r="E77" s="286">
        <f>IF(E80=0,0,(E78/E80)*100)</f>
        <v>22.734439522486674</v>
      </c>
    </row>
    <row r="78" spans="1:5" ht="24" customHeight="1" x14ac:dyDescent="0.2">
      <c r="A78" s="17">
        <v>12</v>
      </c>
      <c r="B78" s="45" t="s">
        <v>58</v>
      </c>
      <c r="C78" s="270">
        <f>+C74</f>
        <v>34024247</v>
      </c>
      <c r="D78" s="270">
        <f>+D74</f>
        <v>20500910</v>
      </c>
      <c r="E78" s="270">
        <f>+E74</f>
        <v>18168000</v>
      </c>
    </row>
    <row r="79" spans="1:5" ht="24" customHeight="1" x14ac:dyDescent="0.2">
      <c r="A79" s="17">
        <v>13</v>
      </c>
      <c r="B79" s="45" t="s">
        <v>67</v>
      </c>
      <c r="C79" s="270">
        <f>+C32</f>
        <v>94960818</v>
      </c>
      <c r="D79" s="270">
        <f>+D32</f>
        <v>102752317</v>
      </c>
      <c r="E79" s="270">
        <f>+E32</f>
        <v>61746000</v>
      </c>
    </row>
    <row r="80" spans="1:5" ht="24" customHeight="1" x14ac:dyDescent="0.2">
      <c r="A80" s="17">
        <v>14</v>
      </c>
      <c r="B80" s="45" t="s">
        <v>360</v>
      </c>
      <c r="C80" s="270">
        <f>+C78+C79</f>
        <v>128985065</v>
      </c>
      <c r="D80" s="270">
        <f>+D78+D79</f>
        <v>123253227</v>
      </c>
      <c r="E80" s="270">
        <f>+E78+E79</f>
        <v>79914000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FILING&amp;R&amp;8UNIVERSITY OF CONNECTICUT HEALTH CENTER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24791</v>
      </c>
      <c r="D11" s="296">
        <v>5907</v>
      </c>
      <c r="E11" s="296">
        <v>5209</v>
      </c>
      <c r="F11" s="297">
        <v>91</v>
      </c>
      <c r="G11" s="297">
        <v>91</v>
      </c>
      <c r="H11" s="298">
        <f>IF(F11=0,0,$C11/(F11*365))</f>
        <v>0.74637964774951071</v>
      </c>
      <c r="I11" s="298">
        <f>IF(G11=0,0,$C11/(G11*365))</f>
        <v>0.74637964774951071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3262</v>
      </c>
      <c r="D13" s="296">
        <v>192</v>
      </c>
      <c r="E13" s="296">
        <v>0</v>
      </c>
      <c r="F13" s="297">
        <v>15</v>
      </c>
      <c r="G13" s="297">
        <v>15</v>
      </c>
      <c r="H13" s="298">
        <f>IF(F13=0,0,$C13/(F13*365))</f>
        <v>0.59579908675799087</v>
      </c>
      <c r="I13" s="298">
        <f>IF(G13=0,0,$C13/(G13*365))</f>
        <v>0.59579908675799087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0</v>
      </c>
      <c r="D15" s="296">
        <v>0</v>
      </c>
      <c r="E15" s="296">
        <v>0</v>
      </c>
      <c r="F15" s="297">
        <v>1</v>
      </c>
      <c r="G15" s="297">
        <v>1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5683</v>
      </c>
      <c r="D16" s="296">
        <v>809</v>
      </c>
      <c r="E16" s="296">
        <v>796</v>
      </c>
      <c r="F16" s="297">
        <v>33</v>
      </c>
      <c r="G16" s="297">
        <v>33</v>
      </c>
      <c r="H16" s="298">
        <f t="shared" si="0"/>
        <v>0.47181403071814032</v>
      </c>
      <c r="I16" s="298">
        <f t="shared" si="0"/>
        <v>0.47181403071814032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5683</v>
      </c>
      <c r="D17" s="300">
        <f>SUM(D15:D16)</f>
        <v>809</v>
      </c>
      <c r="E17" s="300">
        <f>SUM(E15:E16)</f>
        <v>796</v>
      </c>
      <c r="F17" s="300">
        <f>SUM(F15:F16)</f>
        <v>34</v>
      </c>
      <c r="G17" s="300">
        <f>SUM(G15:G16)</f>
        <v>34</v>
      </c>
      <c r="H17" s="301">
        <f t="shared" si="0"/>
        <v>0.45793714746172443</v>
      </c>
      <c r="I17" s="301">
        <f t="shared" si="0"/>
        <v>0.45793714746172443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3718</v>
      </c>
      <c r="D21" s="296">
        <v>823</v>
      </c>
      <c r="E21" s="296">
        <v>808</v>
      </c>
      <c r="F21" s="297">
        <v>20</v>
      </c>
      <c r="G21" s="297">
        <v>20</v>
      </c>
      <c r="H21" s="298">
        <f>IF(F21=0,0,$C21/(F21*365))</f>
        <v>0.50931506849315067</v>
      </c>
      <c r="I21" s="298">
        <f>IF(G21=0,0,$C21/(G21*365))</f>
        <v>0.50931506849315067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2766</v>
      </c>
      <c r="D23" s="296">
        <v>549</v>
      </c>
      <c r="E23" s="296">
        <v>485</v>
      </c>
      <c r="F23" s="297">
        <v>20</v>
      </c>
      <c r="G23" s="297">
        <v>20</v>
      </c>
      <c r="H23" s="298">
        <f>IF(F23=0,0,$C23/(F23*365))</f>
        <v>0.37890410958904108</v>
      </c>
      <c r="I23" s="298">
        <f>IF(G23=0,0,$C23/(G23*365))</f>
        <v>0.37890410958904108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8334</v>
      </c>
      <c r="D25" s="296">
        <v>250</v>
      </c>
      <c r="E25" s="296">
        <v>0</v>
      </c>
      <c r="F25" s="297">
        <v>30</v>
      </c>
      <c r="G25" s="297">
        <v>30</v>
      </c>
      <c r="H25" s="298">
        <f>IF(F25=0,0,$C25/(F25*365))</f>
        <v>0.76109589041095893</v>
      </c>
      <c r="I25" s="298">
        <f>IF(G25=0,0,$C25/(G25*365))</f>
        <v>0.76109589041095893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3060</v>
      </c>
      <c r="D29" s="296">
        <v>744</v>
      </c>
      <c r="E29" s="296">
        <v>773</v>
      </c>
      <c r="F29" s="297">
        <v>14</v>
      </c>
      <c r="G29" s="297">
        <v>14</v>
      </c>
      <c r="H29" s="298">
        <f>IF(F29=0,0,$C29/(F29*365))</f>
        <v>0.598825831702544</v>
      </c>
      <c r="I29" s="298">
        <f>IF(G29=0,0,$C29/(G29*365))</f>
        <v>0.598825831702544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48848</v>
      </c>
      <c r="D31" s="300">
        <f>SUM(D10:D29)-D13-D17-D23</f>
        <v>8533</v>
      </c>
      <c r="E31" s="300">
        <f>SUM(E10:E29)-E17-E23</f>
        <v>7586</v>
      </c>
      <c r="F31" s="300">
        <f>SUM(F10:F29)-F17-F23</f>
        <v>204</v>
      </c>
      <c r="G31" s="300">
        <f>SUM(G10:G29)-G17-G23</f>
        <v>204</v>
      </c>
      <c r="H31" s="301">
        <f>IF(F31=0,0,$C31/(F31*365))</f>
        <v>0.65603008326618317</v>
      </c>
      <c r="I31" s="301">
        <f>IF(G31=0,0,$C31/(G31*365))</f>
        <v>0.65603008326618317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51614</v>
      </c>
      <c r="D33" s="300">
        <f>SUM(D10:D29)-D13-D17</f>
        <v>9082</v>
      </c>
      <c r="E33" s="300">
        <f>SUM(E10:E29)-E17</f>
        <v>8071</v>
      </c>
      <c r="F33" s="300">
        <f>SUM(F10:F29)-F17</f>
        <v>224</v>
      </c>
      <c r="G33" s="300">
        <f>SUM(G10:G29)-G17</f>
        <v>224</v>
      </c>
      <c r="H33" s="301">
        <f>IF(F33=0,0,$C33/(F33*365))</f>
        <v>0.6312866927592955</v>
      </c>
      <c r="I33" s="301">
        <f>IF(G33=0,0,$C33/(G33*365))</f>
        <v>0.6312866927592955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51614</v>
      </c>
      <c r="D36" s="300">
        <f t="shared" si="1"/>
        <v>9082</v>
      </c>
      <c r="E36" s="300">
        <f t="shared" si="1"/>
        <v>8071</v>
      </c>
      <c r="F36" s="300">
        <f t="shared" si="1"/>
        <v>224</v>
      </c>
      <c r="G36" s="300">
        <f t="shared" si="1"/>
        <v>224</v>
      </c>
      <c r="H36" s="301">
        <f t="shared" si="1"/>
        <v>0.6312866927592955</v>
      </c>
      <c r="I36" s="301">
        <f t="shared" si="1"/>
        <v>0.6312866927592955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51230</v>
      </c>
      <c r="D37" s="300">
        <v>0</v>
      </c>
      <c r="E37" s="300">
        <v>0</v>
      </c>
      <c r="F37" s="302">
        <v>224</v>
      </c>
      <c r="G37" s="302">
        <v>224</v>
      </c>
      <c r="H37" s="301">
        <f>IF(F37=0,0,$C37/(F37*365))</f>
        <v>0.62659001956947158</v>
      </c>
      <c r="I37" s="301">
        <f>IF(G37=0,0,$C37/(G37*365))</f>
        <v>0.62659001956947158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384</v>
      </c>
      <c r="D38" s="300">
        <f t="shared" si="2"/>
        <v>9082</v>
      </c>
      <c r="E38" s="300">
        <f t="shared" si="2"/>
        <v>8071</v>
      </c>
      <c r="F38" s="300">
        <f t="shared" si="2"/>
        <v>0</v>
      </c>
      <c r="G38" s="300">
        <f t="shared" si="2"/>
        <v>0</v>
      </c>
      <c r="H38" s="301">
        <f t="shared" si="2"/>
        <v>4.6966731898239189E-3</v>
      </c>
      <c r="I38" s="301">
        <f t="shared" si="2"/>
        <v>4.6966731898239189E-3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7.4956080421627949E-3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7.495608042162866E-3</v>
      </c>
      <c r="I40" s="148">
        <f t="shared" si="3"/>
        <v>7.495608042162866E-3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224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FILING&amp;RJOHN DEMPSEY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526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5359</v>
      </c>
      <c r="D12" s="296">
        <v>4537</v>
      </c>
      <c r="E12" s="296">
        <f>+D12-C12</f>
        <v>-822</v>
      </c>
      <c r="F12" s="316">
        <f>IF(C12=0,0,+E12/C12)</f>
        <v>-0.15338682590035455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7248</v>
      </c>
      <c r="D13" s="296">
        <v>6286</v>
      </c>
      <c r="E13" s="296">
        <f>+D13-C13</f>
        <v>-962</v>
      </c>
      <c r="F13" s="316">
        <f>IF(C13=0,0,+E13/C13)</f>
        <v>-0.1327262693156733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4427</v>
      </c>
      <c r="D14" s="296">
        <v>3848</v>
      </c>
      <c r="E14" s="296">
        <f>+D14-C14</f>
        <v>-579</v>
      </c>
      <c r="F14" s="316">
        <f>IF(C14=0,0,+E14/C14)</f>
        <v>-0.13078834425118591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17034</v>
      </c>
      <c r="D16" s="300">
        <f>SUM(D12:D15)</f>
        <v>14671</v>
      </c>
      <c r="E16" s="300">
        <f>+D16-C16</f>
        <v>-2363</v>
      </c>
      <c r="F16" s="309">
        <f>IF(C16=0,0,+E16/C16)</f>
        <v>-0.13872255489021956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873</v>
      </c>
      <c r="D19" s="296">
        <v>786</v>
      </c>
      <c r="E19" s="296">
        <f>+D19-C19</f>
        <v>-87</v>
      </c>
      <c r="F19" s="316">
        <f>IF(C19=0,0,+E19/C19)</f>
        <v>-9.9656357388316158E-2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6167</v>
      </c>
      <c r="D20" s="296">
        <v>5897</v>
      </c>
      <c r="E20" s="296">
        <f>+D20-C20</f>
        <v>-270</v>
      </c>
      <c r="F20" s="316">
        <f>IF(C20=0,0,+E20/C20)</f>
        <v>-4.3781417220690774E-2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145</v>
      </c>
      <c r="D21" s="296">
        <v>193</v>
      </c>
      <c r="E21" s="296">
        <f>+D21-C21</f>
        <v>48</v>
      </c>
      <c r="F21" s="316">
        <f>IF(C21=0,0,+E21/C21)</f>
        <v>0.33103448275862069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7185</v>
      </c>
      <c r="D23" s="300">
        <f>SUM(D19:D22)</f>
        <v>6876</v>
      </c>
      <c r="E23" s="300">
        <f>+D23-C23</f>
        <v>-309</v>
      </c>
      <c r="F23" s="309">
        <f>IF(C23=0,0,+E23/C23)</f>
        <v>-4.3006263048016705E-2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6</v>
      </c>
      <c r="D26" s="296">
        <v>6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511</v>
      </c>
      <c r="D27" s="296">
        <v>454</v>
      </c>
      <c r="E27" s="296">
        <f>+D27-C27</f>
        <v>-57</v>
      </c>
      <c r="F27" s="316">
        <f>IF(C27=0,0,+E27/C27)</f>
        <v>-0.11154598825831702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517</v>
      </c>
      <c r="D30" s="300">
        <f>SUM(D26:D29)</f>
        <v>460</v>
      </c>
      <c r="E30" s="300">
        <f>+D30-C30</f>
        <v>-57</v>
      </c>
      <c r="F30" s="309">
        <f>IF(C30=0,0,+E30/C30)</f>
        <v>-0.1102514506769826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450</v>
      </c>
      <c r="D48" s="296">
        <v>345</v>
      </c>
      <c r="E48" s="296">
        <f>+D48-C48</f>
        <v>-105</v>
      </c>
      <c r="F48" s="316">
        <f>IF(C48=0,0,+E48/C48)</f>
        <v>-0.23333333333333334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332</v>
      </c>
      <c r="D49" s="296">
        <v>403</v>
      </c>
      <c r="E49" s="296">
        <f>+D49-C49</f>
        <v>71</v>
      </c>
      <c r="F49" s="316">
        <f>IF(C49=0,0,+E49/C49)</f>
        <v>0.21385542168674698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782</v>
      </c>
      <c r="D50" s="300">
        <f>SUM(D48:D49)</f>
        <v>748</v>
      </c>
      <c r="E50" s="300">
        <f>+D50-C50</f>
        <v>-34</v>
      </c>
      <c r="F50" s="309">
        <f>IF(C50=0,0,+E50/C50)</f>
        <v>-4.3478260869565216E-2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511</v>
      </c>
      <c r="D54" s="296">
        <v>477</v>
      </c>
      <c r="E54" s="296">
        <f>+D54-C54</f>
        <v>-34</v>
      </c>
      <c r="F54" s="316">
        <f>IF(C54=0,0,+E54/C54)</f>
        <v>-6.6536203522504889E-2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511</v>
      </c>
      <c r="D55" s="300">
        <f>SUM(D53:D54)</f>
        <v>477</v>
      </c>
      <c r="E55" s="300">
        <f>+D55-C55</f>
        <v>-34</v>
      </c>
      <c r="F55" s="309">
        <f>IF(C55=0,0,+E55/C55)</f>
        <v>-6.6536203522504889E-2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507</v>
      </c>
      <c r="D58" s="296">
        <v>329</v>
      </c>
      <c r="E58" s="296">
        <f>+D58-C58</f>
        <v>-178</v>
      </c>
      <c r="F58" s="316">
        <f>IF(C58=0,0,+E58/C58)</f>
        <v>-0.35108481262327418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1316</v>
      </c>
      <c r="D59" s="296">
        <v>1581</v>
      </c>
      <c r="E59" s="296">
        <f>+D59-C59</f>
        <v>265</v>
      </c>
      <c r="F59" s="316">
        <f>IF(C59=0,0,+E59/C59)</f>
        <v>0.20136778115501519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1823</v>
      </c>
      <c r="D60" s="300">
        <f>SUM(D58:D59)</f>
        <v>1910</v>
      </c>
      <c r="E60" s="300">
        <f>SUM(E58:E59)</f>
        <v>87</v>
      </c>
      <c r="F60" s="309">
        <f>IF(C60=0,0,+E60/C60)</f>
        <v>4.7723532638507954E-2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2701</v>
      </c>
      <c r="D63" s="296">
        <v>2277</v>
      </c>
      <c r="E63" s="296">
        <f>+D63-C63</f>
        <v>-424</v>
      </c>
      <c r="F63" s="316">
        <f>IF(C63=0,0,+E63/C63)</f>
        <v>-0.1569788967049241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7254</v>
      </c>
      <c r="D64" s="296">
        <v>7493</v>
      </c>
      <c r="E64" s="296">
        <f>+D64-C64</f>
        <v>239</v>
      </c>
      <c r="F64" s="316">
        <f>IF(C64=0,0,+E64/C64)</f>
        <v>3.2947339398952301E-2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9955</v>
      </c>
      <c r="D65" s="300">
        <f>SUM(D63:D64)</f>
        <v>9770</v>
      </c>
      <c r="E65" s="300">
        <f>+D65-C65</f>
        <v>-185</v>
      </c>
      <c r="F65" s="309">
        <f>IF(C65=0,0,+E65/C65)</f>
        <v>-1.8583626318432949E-2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309</v>
      </c>
      <c r="D68" s="296">
        <v>293</v>
      </c>
      <c r="E68" s="296">
        <f>+D68-C68</f>
        <v>-16</v>
      </c>
      <c r="F68" s="316">
        <f>IF(C68=0,0,+E68/C68)</f>
        <v>-5.1779935275080909E-2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2324</v>
      </c>
      <c r="D69" s="296">
        <v>2431</v>
      </c>
      <c r="E69" s="296">
        <f>+D69-C69</f>
        <v>107</v>
      </c>
      <c r="F69" s="318">
        <f>IF(C69=0,0,+E69/C69)</f>
        <v>4.6041308089500861E-2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2633</v>
      </c>
      <c r="D70" s="300">
        <f>SUM(D68:D69)</f>
        <v>2724</v>
      </c>
      <c r="E70" s="300">
        <f>+D70-C70</f>
        <v>91</v>
      </c>
      <c r="F70" s="309">
        <f>IF(C70=0,0,+E70/C70)</f>
        <v>3.4561336878085831E-2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4713</v>
      </c>
      <c r="D73" s="319">
        <v>4893</v>
      </c>
      <c r="E73" s="296">
        <f>+D73-C73</f>
        <v>180</v>
      </c>
      <c r="F73" s="316">
        <f>IF(C73=0,0,+E73/C73)</f>
        <v>3.8192234245703373E-2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24798</v>
      </c>
      <c r="D74" s="319">
        <v>25371</v>
      </c>
      <c r="E74" s="296">
        <f>+D74-C74</f>
        <v>573</v>
      </c>
      <c r="F74" s="316">
        <f>IF(C74=0,0,+E74/C74)</f>
        <v>2.3106702153399467E-2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29511</v>
      </c>
      <c r="D75" s="300">
        <f>SUM(D73:D74)</f>
        <v>30264</v>
      </c>
      <c r="E75" s="300">
        <f>SUM(E73:E74)</f>
        <v>753</v>
      </c>
      <c r="F75" s="309">
        <f>IF(C75=0,0,+E75/C75)</f>
        <v>2.551590932194775E-2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94723</v>
      </c>
      <c r="D80" s="319">
        <v>94908</v>
      </c>
      <c r="E80" s="296">
        <f t="shared" si="0"/>
        <v>185</v>
      </c>
      <c r="F80" s="316">
        <f t="shared" si="1"/>
        <v>1.953063142003526E-3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17200</v>
      </c>
      <c r="D81" s="319">
        <v>16113</v>
      </c>
      <c r="E81" s="296">
        <f t="shared" si="0"/>
        <v>-1087</v>
      </c>
      <c r="F81" s="316">
        <f t="shared" si="1"/>
        <v>-6.3197674418604646E-2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3274</v>
      </c>
      <c r="D83" s="319">
        <v>3341</v>
      </c>
      <c r="E83" s="296">
        <f t="shared" si="0"/>
        <v>67</v>
      </c>
      <c r="F83" s="316">
        <f t="shared" si="1"/>
        <v>2.0464263897373245E-2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115197</v>
      </c>
      <c r="D84" s="320">
        <f>SUM(D79:D83)</f>
        <v>114362</v>
      </c>
      <c r="E84" s="300">
        <f t="shared" si="0"/>
        <v>-835</v>
      </c>
      <c r="F84" s="309">
        <f t="shared" si="1"/>
        <v>-7.2484526506766669E-3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31081</v>
      </c>
      <c r="D87" s="322">
        <v>26396</v>
      </c>
      <c r="E87" s="323">
        <f t="shared" ref="E87:E92" si="2">+D87-C87</f>
        <v>-4685</v>
      </c>
      <c r="F87" s="318">
        <f t="shared" ref="F87:F92" si="3">IF(C87=0,0,+E87/C87)</f>
        <v>-0.15073517583089346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3810</v>
      </c>
      <c r="D89" s="322">
        <v>3781</v>
      </c>
      <c r="E89" s="296">
        <f t="shared" si="2"/>
        <v>-29</v>
      </c>
      <c r="F89" s="316">
        <f t="shared" si="3"/>
        <v>-7.6115485564304461E-3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2633</v>
      </c>
      <c r="D90" s="322">
        <v>2724</v>
      </c>
      <c r="E90" s="296">
        <f t="shared" si="2"/>
        <v>91</v>
      </c>
      <c r="F90" s="316">
        <f t="shared" si="3"/>
        <v>3.4561336878085831E-2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100971</v>
      </c>
      <c r="D91" s="322">
        <v>134744</v>
      </c>
      <c r="E91" s="296">
        <f t="shared" si="2"/>
        <v>33773</v>
      </c>
      <c r="F91" s="316">
        <f t="shared" si="3"/>
        <v>0.33448217805112357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138495</v>
      </c>
      <c r="D92" s="320">
        <f>SUM(D87:D91)</f>
        <v>167645</v>
      </c>
      <c r="E92" s="300">
        <f t="shared" si="2"/>
        <v>29150</v>
      </c>
      <c r="F92" s="309">
        <f t="shared" si="3"/>
        <v>0.21047691252391784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552</v>
      </c>
      <c r="D96" s="325">
        <v>592.4</v>
      </c>
      <c r="E96" s="326">
        <f>+D96-C96</f>
        <v>40.399999999999977</v>
      </c>
      <c r="F96" s="316">
        <f>IF(C96=0,0,+E96/C96)</f>
        <v>7.3188405797101411E-2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28</v>
      </c>
      <c r="D97" s="325">
        <v>30</v>
      </c>
      <c r="E97" s="326">
        <f>+D97-C97</f>
        <v>2</v>
      </c>
      <c r="F97" s="316">
        <f>IF(C97=0,0,+E97/C97)</f>
        <v>7.1428571428571425E-2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615</v>
      </c>
      <c r="D98" s="325">
        <v>662.9</v>
      </c>
      <c r="E98" s="326">
        <f>+D98-C98</f>
        <v>47.899999999999977</v>
      </c>
      <c r="F98" s="316">
        <f>IF(C98=0,0,+E98/C98)</f>
        <v>7.7886178861788585E-2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1195</v>
      </c>
      <c r="D99" s="327">
        <f>SUM(D96:D98)</f>
        <v>1285.3</v>
      </c>
      <c r="E99" s="327">
        <f>+D99-C99</f>
        <v>90.299999999999955</v>
      </c>
      <c r="F99" s="309">
        <f>IF(C99=0,0,+E99/C99)</f>
        <v>7.5564853556485317E-2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FILING&amp;RJOHN DEMPSEY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585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7254</v>
      </c>
      <c r="D12" s="296">
        <v>7493</v>
      </c>
      <c r="E12" s="296">
        <f>+D12-C12</f>
        <v>239</v>
      </c>
      <c r="F12" s="316">
        <f>IF(C12=0,0,+E12/C12)</f>
        <v>3.2947339398952301E-2</v>
      </c>
    </row>
    <row r="13" spans="1:16" ht="15.75" customHeight="1" x14ac:dyDescent="0.25">
      <c r="A13" s="294"/>
      <c r="B13" s="135" t="s">
        <v>587</v>
      </c>
      <c r="C13" s="300">
        <f>SUM(C11:C12)</f>
        <v>7254</v>
      </c>
      <c r="D13" s="300">
        <f>SUM(D11:D12)</f>
        <v>7493</v>
      </c>
      <c r="E13" s="300">
        <f>+D13-C13</f>
        <v>239</v>
      </c>
      <c r="F13" s="309">
        <f>IF(C13=0,0,+E13/C13)</f>
        <v>3.2947339398952301E-2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561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586</v>
      </c>
      <c r="C16" s="296">
        <v>2324</v>
      </c>
      <c r="D16" s="296">
        <v>2431</v>
      </c>
      <c r="E16" s="296">
        <f>+D16-C16</f>
        <v>107</v>
      </c>
      <c r="F16" s="316">
        <f>IF(C16=0,0,+E16/C16)</f>
        <v>4.6041308089500861E-2</v>
      </c>
    </row>
    <row r="17" spans="1:6" ht="15.75" customHeight="1" x14ac:dyDescent="0.25">
      <c r="A17" s="294"/>
      <c r="B17" s="135" t="s">
        <v>588</v>
      </c>
      <c r="C17" s="300">
        <f>SUM(C15:C16)</f>
        <v>2324</v>
      </c>
      <c r="D17" s="300">
        <f>SUM(D15:D16)</f>
        <v>2431</v>
      </c>
      <c r="E17" s="300">
        <f>+D17-C17</f>
        <v>107</v>
      </c>
      <c r="F17" s="309">
        <f>IF(C17=0,0,+E17/C17)</f>
        <v>4.6041308089500861E-2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589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586</v>
      </c>
      <c r="C20" s="296">
        <v>24798</v>
      </c>
      <c r="D20" s="296">
        <v>25371</v>
      </c>
      <c r="E20" s="296">
        <f>+D20-C20</f>
        <v>573</v>
      </c>
      <c r="F20" s="316">
        <f>IF(C20=0,0,+E20/C20)</f>
        <v>2.3106702153399467E-2</v>
      </c>
    </row>
    <row r="21" spans="1:6" ht="15.75" customHeight="1" x14ac:dyDescent="0.25">
      <c r="A21" s="294"/>
      <c r="B21" s="135" t="s">
        <v>590</v>
      </c>
      <c r="C21" s="300">
        <f>SUM(C19:C20)</f>
        <v>24798</v>
      </c>
      <c r="D21" s="300">
        <f>SUM(D19:D20)</f>
        <v>25371</v>
      </c>
      <c r="E21" s="300">
        <f>+D21-C21</f>
        <v>573</v>
      </c>
      <c r="F21" s="309">
        <f>IF(C21=0,0,+E21/C21)</f>
        <v>2.3106702153399467E-2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591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592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593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FILING&amp;RJOHN DEMPSEY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598</v>
      </c>
      <c r="D7" s="341" t="s">
        <v>598</v>
      </c>
      <c r="E7" s="341" t="s">
        <v>599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600</v>
      </c>
      <c r="D8" s="344" t="s">
        <v>601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605</v>
      </c>
      <c r="C15" s="361">
        <v>122456094</v>
      </c>
      <c r="D15" s="361">
        <v>115405918</v>
      </c>
      <c r="E15" s="361">
        <f t="shared" ref="E15:E24" si="0">D15-C15</f>
        <v>-7050176</v>
      </c>
      <c r="F15" s="362">
        <f t="shared" ref="F15:F24" si="1">IF(C15=0,0,E15/C15)</f>
        <v>-5.7573092279098827E-2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606</v>
      </c>
      <c r="C16" s="361">
        <v>71351724</v>
      </c>
      <c r="D16" s="361">
        <v>69374209</v>
      </c>
      <c r="E16" s="361">
        <f t="shared" si="0"/>
        <v>-1977515</v>
      </c>
      <c r="F16" s="362">
        <f t="shared" si="1"/>
        <v>-2.7715027600454335E-2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607</v>
      </c>
      <c r="C17" s="366">
        <f>IF(C15=0,0,C16/C15)</f>
        <v>0.58267189218039239</v>
      </c>
      <c r="D17" s="366">
        <f>IF(LN_IA1=0,0,LN_IA2/LN_IA1)</f>
        <v>0.60113216204389097</v>
      </c>
      <c r="E17" s="367">
        <f t="shared" si="0"/>
        <v>1.846026986349858E-2</v>
      </c>
      <c r="F17" s="362">
        <f t="shared" si="1"/>
        <v>3.1682101215521424E-2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3950</v>
      </c>
      <c r="D18" s="369">
        <v>3811</v>
      </c>
      <c r="E18" s="369">
        <f t="shared" si="0"/>
        <v>-139</v>
      </c>
      <c r="F18" s="362">
        <f t="shared" si="1"/>
        <v>-3.5189873417721521E-2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608</v>
      </c>
      <c r="C19" s="372">
        <v>1.6328</v>
      </c>
      <c r="D19" s="372">
        <v>1.5492999999999999</v>
      </c>
      <c r="E19" s="373">
        <f t="shared" si="0"/>
        <v>-8.350000000000013E-2</v>
      </c>
      <c r="F19" s="362">
        <f t="shared" si="1"/>
        <v>-5.1139147476727174E-2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609</v>
      </c>
      <c r="C20" s="376">
        <f>C18*C19</f>
        <v>6449.56</v>
      </c>
      <c r="D20" s="376">
        <f>LN_IA4*LN_IA5</f>
        <v>5904.3822999999993</v>
      </c>
      <c r="E20" s="376">
        <f t="shared" si="0"/>
        <v>-545.1777000000011</v>
      </c>
      <c r="F20" s="362">
        <f t="shared" si="1"/>
        <v>-8.4529440768052563E-2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610</v>
      </c>
      <c r="C21" s="378">
        <f>IF(C20=0,0,C16/C20)</f>
        <v>11063.037478525666</v>
      </c>
      <c r="D21" s="378">
        <f>IF(LN_IA6=0,0,LN_IA2/LN_IA6)</f>
        <v>11749.613333811398</v>
      </c>
      <c r="E21" s="378">
        <f t="shared" si="0"/>
        <v>686.57585528573145</v>
      </c>
      <c r="F21" s="362">
        <f t="shared" si="1"/>
        <v>6.2060338909493515E-2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20358</v>
      </c>
      <c r="D22" s="369">
        <v>19382</v>
      </c>
      <c r="E22" s="369">
        <f t="shared" si="0"/>
        <v>-976</v>
      </c>
      <c r="F22" s="362">
        <f t="shared" si="1"/>
        <v>-4.794184104528932E-2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611</v>
      </c>
      <c r="C23" s="378">
        <f>IF(C22=0,0,C16/C22)</f>
        <v>3504.8493958149129</v>
      </c>
      <c r="D23" s="378">
        <f>IF(LN_IA8=0,0,LN_IA2/LN_IA8)</f>
        <v>3579.3111649984521</v>
      </c>
      <c r="E23" s="378">
        <f t="shared" si="0"/>
        <v>74.461769183539218</v>
      </c>
      <c r="F23" s="362">
        <f t="shared" si="1"/>
        <v>2.1245354871011826E-2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612</v>
      </c>
      <c r="C24" s="379">
        <f>IF(C18=0,0,C22/C18)</f>
        <v>5.1539240506329111</v>
      </c>
      <c r="D24" s="379">
        <f>IF(LN_IA4=0,0,LN_IA8/LN_IA4)</f>
        <v>5.085804250852795</v>
      </c>
      <c r="E24" s="379">
        <f t="shared" si="0"/>
        <v>-6.8119799780116175E-2</v>
      </c>
      <c r="F24" s="362">
        <f t="shared" si="1"/>
        <v>-1.3217074817342514E-2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614</v>
      </c>
      <c r="C27" s="361">
        <v>78497959</v>
      </c>
      <c r="D27" s="361">
        <v>90907100</v>
      </c>
      <c r="E27" s="361">
        <f t="shared" ref="E27:E32" si="2">D27-C27</f>
        <v>12409141</v>
      </c>
      <c r="F27" s="362">
        <f t="shared" ref="F27:F32" si="3">IF(C27=0,0,E27/C27)</f>
        <v>0.15808233944018851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615</v>
      </c>
      <c r="C28" s="361">
        <v>26108680</v>
      </c>
      <c r="D28" s="361">
        <v>31957894</v>
      </c>
      <c r="E28" s="361">
        <f t="shared" si="2"/>
        <v>5849214</v>
      </c>
      <c r="F28" s="362">
        <f t="shared" si="3"/>
        <v>0.22403330999499016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616</v>
      </c>
      <c r="C29" s="366">
        <f>IF(C27=0,0,C28/C27)</f>
        <v>0.33260329736726019</v>
      </c>
      <c r="D29" s="366">
        <f>IF(LN_IA11=0,0,LN_IA12/LN_IA11)</f>
        <v>0.35154453282526887</v>
      </c>
      <c r="E29" s="367">
        <f t="shared" si="2"/>
        <v>1.8941235458008687E-2</v>
      </c>
      <c r="F29" s="362">
        <f t="shared" si="3"/>
        <v>5.6948429579439186E-2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617</v>
      </c>
      <c r="C30" s="366">
        <f>IF(C15=0,0,C27/C15)</f>
        <v>0.64102942071629365</v>
      </c>
      <c r="D30" s="366">
        <f>IF(LN_IA1=0,0,LN_IA11/LN_IA1)</f>
        <v>0.78771610308580531</v>
      </c>
      <c r="E30" s="367">
        <f t="shared" si="2"/>
        <v>0.14668668236951166</v>
      </c>
      <c r="F30" s="362">
        <f t="shared" si="3"/>
        <v>0.228829875242859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618</v>
      </c>
      <c r="C31" s="376">
        <f>C30*C18</f>
        <v>2532.0662118293599</v>
      </c>
      <c r="D31" s="376">
        <f>LN_IA14*LN_IA4</f>
        <v>3001.9860688600043</v>
      </c>
      <c r="E31" s="376">
        <f t="shared" si="2"/>
        <v>469.91985703064438</v>
      </c>
      <c r="F31" s="362">
        <f t="shared" si="3"/>
        <v>0.18558750748114838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619</v>
      </c>
      <c r="C32" s="378">
        <f>IF(C31=0,0,C28/C31)</f>
        <v>10311.215353700043</v>
      </c>
      <c r="D32" s="378">
        <f>IF(LN_IA15=0,0,LN_IA12/LN_IA15)</f>
        <v>10645.58371256397</v>
      </c>
      <c r="E32" s="378">
        <f t="shared" si="2"/>
        <v>334.36835886392691</v>
      </c>
      <c r="F32" s="362">
        <f t="shared" si="3"/>
        <v>3.2427638003307072E-2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621</v>
      </c>
      <c r="C35" s="361">
        <f>C15+C27</f>
        <v>200954053</v>
      </c>
      <c r="D35" s="361">
        <f>LN_IA1+LN_IA11</f>
        <v>206313018</v>
      </c>
      <c r="E35" s="361">
        <f>D35-C35</f>
        <v>5358965</v>
      </c>
      <c r="F35" s="362">
        <f>IF(C35=0,0,E35/C35)</f>
        <v>2.6667613417082958E-2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622</v>
      </c>
      <c r="C36" s="361">
        <f>C16+C28</f>
        <v>97460404</v>
      </c>
      <c r="D36" s="361">
        <f>LN_IA2+LN_IA12</f>
        <v>101332103</v>
      </c>
      <c r="E36" s="361">
        <f>D36-C36</f>
        <v>3871699</v>
      </c>
      <c r="F36" s="362">
        <f>IF(C36=0,0,E36/C36)</f>
        <v>3.9725866517031881E-2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623</v>
      </c>
      <c r="C37" s="361">
        <f>C35-C36</f>
        <v>103493649</v>
      </c>
      <c r="D37" s="361">
        <f>LN_IA17-LN_IA18</f>
        <v>104980915</v>
      </c>
      <c r="E37" s="361">
        <f>D37-C37</f>
        <v>1487266</v>
      </c>
      <c r="F37" s="362">
        <f>IF(C37=0,0,E37/C37)</f>
        <v>1.4370601620201835E-2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605</v>
      </c>
      <c r="C42" s="361">
        <v>94439318</v>
      </c>
      <c r="D42" s="361">
        <v>79750329</v>
      </c>
      <c r="E42" s="361">
        <f t="shared" ref="E42:E53" si="4">D42-C42</f>
        <v>-14688989</v>
      </c>
      <c r="F42" s="362">
        <f t="shared" ref="F42:F53" si="5">IF(C42=0,0,E42/C42)</f>
        <v>-0.15553891441698042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606</v>
      </c>
      <c r="C43" s="361">
        <v>46796535</v>
      </c>
      <c r="D43" s="361">
        <v>48509473</v>
      </c>
      <c r="E43" s="361">
        <f t="shared" si="4"/>
        <v>1712938</v>
      </c>
      <c r="F43" s="362">
        <f t="shared" si="5"/>
        <v>3.6603949416340334E-2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607</v>
      </c>
      <c r="C44" s="366">
        <f>IF(C42=0,0,C43/C42)</f>
        <v>0.4955196203344035</v>
      </c>
      <c r="D44" s="366">
        <f>IF(LN_IB1=0,0,LN_IB2/LN_IB1)</f>
        <v>0.60826674457982488</v>
      </c>
      <c r="E44" s="367">
        <f t="shared" si="4"/>
        <v>0.11274712424542138</v>
      </c>
      <c r="F44" s="362">
        <f t="shared" si="5"/>
        <v>0.2275331180011268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3604</v>
      </c>
      <c r="D45" s="369">
        <v>3328</v>
      </c>
      <c r="E45" s="369">
        <f t="shared" si="4"/>
        <v>-276</v>
      </c>
      <c r="F45" s="362">
        <f t="shared" si="5"/>
        <v>-7.6581576026637066E-2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608</v>
      </c>
      <c r="C46" s="372">
        <v>1.4117999999999999</v>
      </c>
      <c r="D46" s="372">
        <v>1.4120999999999999</v>
      </c>
      <c r="E46" s="373">
        <f t="shared" si="4"/>
        <v>2.9999999999996696E-4</v>
      </c>
      <c r="F46" s="362">
        <f t="shared" si="5"/>
        <v>2.1249468763278578E-4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609</v>
      </c>
      <c r="C47" s="376">
        <f>C45*C46</f>
        <v>5088.1271999999999</v>
      </c>
      <c r="D47" s="376">
        <f>LN_IB4*LN_IB5</f>
        <v>4699.4687999999996</v>
      </c>
      <c r="E47" s="376">
        <f t="shared" si="4"/>
        <v>-388.65840000000026</v>
      </c>
      <c r="F47" s="362">
        <f t="shared" si="5"/>
        <v>-7.638535451708052E-2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610</v>
      </c>
      <c r="C48" s="378">
        <f>IF(C47=0,0,C43/C47)</f>
        <v>9197.2022633396427</v>
      </c>
      <c r="D48" s="378">
        <f>IF(LN_IB6=0,0,LN_IB2/LN_IB6)</f>
        <v>10322.331111124731</v>
      </c>
      <c r="E48" s="378">
        <f t="shared" si="4"/>
        <v>1125.1288477850885</v>
      </c>
      <c r="F48" s="362">
        <f t="shared" si="5"/>
        <v>0.12233381582461113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626</v>
      </c>
      <c r="C49" s="378">
        <f>C21-C48</f>
        <v>1865.8352151860236</v>
      </c>
      <c r="D49" s="378">
        <f>LN_IA7-LN_IB7</f>
        <v>1427.2822226866665</v>
      </c>
      <c r="E49" s="378">
        <f t="shared" si="4"/>
        <v>-438.55299249935706</v>
      </c>
      <c r="F49" s="362">
        <f t="shared" si="5"/>
        <v>-0.23504379643495654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627</v>
      </c>
      <c r="C50" s="391">
        <f>C49*C47</f>
        <v>9493606.9091058597</v>
      </c>
      <c r="D50" s="391">
        <f>LN_IB8*LN_IB6</f>
        <v>6707468.274310641</v>
      </c>
      <c r="E50" s="391">
        <f t="shared" si="4"/>
        <v>-2786138.6347952187</v>
      </c>
      <c r="F50" s="362">
        <f t="shared" si="5"/>
        <v>-0.2934752472343124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18134</v>
      </c>
      <c r="D51" s="369">
        <v>17563</v>
      </c>
      <c r="E51" s="369">
        <f t="shared" si="4"/>
        <v>-571</v>
      </c>
      <c r="F51" s="362">
        <f t="shared" si="5"/>
        <v>-3.1487812948053383E-2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611</v>
      </c>
      <c r="C52" s="378">
        <f>IF(C51=0,0,C43/C51)</f>
        <v>2580.5963935149443</v>
      </c>
      <c r="D52" s="378">
        <f>IF(LN_IB10=0,0,LN_IB2/LN_IB10)</f>
        <v>2762.0265899903206</v>
      </c>
      <c r="E52" s="378">
        <f t="shared" si="4"/>
        <v>181.43019647537631</v>
      </c>
      <c r="F52" s="362">
        <f t="shared" si="5"/>
        <v>7.0305529733867556E-2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612</v>
      </c>
      <c r="C53" s="379">
        <f>IF(C45=0,0,C51/C45)</f>
        <v>5.0316315205327413</v>
      </c>
      <c r="D53" s="379">
        <f>IF(LN_IB4=0,0,LN_IB10/LN_IB4)</f>
        <v>5.27734375</v>
      </c>
      <c r="E53" s="379">
        <f t="shared" si="4"/>
        <v>0.24571222946725868</v>
      </c>
      <c r="F53" s="362">
        <f t="shared" si="5"/>
        <v>4.8833510256975861E-2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614</v>
      </c>
      <c r="C56" s="361">
        <v>126472419</v>
      </c>
      <c r="D56" s="361">
        <v>137682140</v>
      </c>
      <c r="E56" s="361">
        <f t="shared" ref="E56:E63" si="6">D56-C56</f>
        <v>11209721</v>
      </c>
      <c r="F56" s="362">
        <f t="shared" ref="F56:F63" si="7">IF(C56=0,0,E56/C56)</f>
        <v>8.8633720210570185E-2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615</v>
      </c>
      <c r="C57" s="361">
        <v>66092946</v>
      </c>
      <c r="D57" s="361">
        <v>70434181</v>
      </c>
      <c r="E57" s="361">
        <f t="shared" si="6"/>
        <v>4341235</v>
      </c>
      <c r="F57" s="362">
        <f t="shared" si="7"/>
        <v>6.5683787192660464E-2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616</v>
      </c>
      <c r="C58" s="366">
        <f>IF(C56=0,0,C57/C56)</f>
        <v>0.52258782209265719</v>
      </c>
      <c r="D58" s="366">
        <f>IF(LN_IB13=0,0,LN_IB14/LN_IB13)</f>
        <v>0.51157093432742984</v>
      </c>
      <c r="E58" s="367">
        <f t="shared" si="6"/>
        <v>-1.1016887765227357E-2</v>
      </c>
      <c r="F58" s="362">
        <f t="shared" si="7"/>
        <v>-2.1081409285641586E-2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617</v>
      </c>
      <c r="C59" s="366">
        <f>IF(C42=0,0,C56/C42)</f>
        <v>1.339192421952899</v>
      </c>
      <c r="D59" s="366">
        <f>IF(LN_IB1=0,0,LN_IB13/LN_IB1)</f>
        <v>1.7264146960447022</v>
      </c>
      <c r="E59" s="367">
        <f t="shared" si="6"/>
        <v>0.38722227409180321</v>
      </c>
      <c r="F59" s="362">
        <f t="shared" si="7"/>
        <v>0.28914610607423397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618</v>
      </c>
      <c r="C60" s="376">
        <f>C59*C45</f>
        <v>4826.4494887182482</v>
      </c>
      <c r="D60" s="376">
        <f>LN_IB16*LN_IB4</f>
        <v>5745.5081084367694</v>
      </c>
      <c r="E60" s="376">
        <f t="shared" si="6"/>
        <v>919.05861971852119</v>
      </c>
      <c r="F60" s="362">
        <f t="shared" si="7"/>
        <v>0.19042126554246691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619</v>
      </c>
      <c r="C61" s="378">
        <f>IF(C60=0,0,C57/C60)</f>
        <v>13693.906080337369</v>
      </c>
      <c r="D61" s="378">
        <f>IF(LN_IB17=0,0,LN_IB14/LN_IB17)</f>
        <v>12258.999495027019</v>
      </c>
      <c r="E61" s="378">
        <f t="shared" si="6"/>
        <v>-1434.9065853103493</v>
      </c>
      <c r="F61" s="362">
        <f t="shared" si="7"/>
        <v>-0.10478431624200232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629</v>
      </c>
      <c r="C62" s="378">
        <f>C32-C61</f>
        <v>-3382.6907266373255</v>
      </c>
      <c r="D62" s="378">
        <f>LN_IA16-LN_IB18</f>
        <v>-1613.4157824630493</v>
      </c>
      <c r="E62" s="378">
        <f t="shared" si="6"/>
        <v>1769.2749441742762</v>
      </c>
      <c r="F62" s="362">
        <f t="shared" si="7"/>
        <v>-0.52303774928105295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630</v>
      </c>
      <c r="C63" s="361">
        <f>C62*C60</f>
        <v>-16326385.928070679</v>
      </c>
      <c r="D63" s="361">
        <f>LN_IB19*LN_IB17</f>
        <v>-9269893.4604213051</v>
      </c>
      <c r="E63" s="361">
        <f t="shared" si="6"/>
        <v>7056492.4676493742</v>
      </c>
      <c r="F63" s="362">
        <f t="shared" si="7"/>
        <v>-0.43221399388316761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621</v>
      </c>
      <c r="C66" s="361">
        <f>C42+C56</f>
        <v>220911737</v>
      </c>
      <c r="D66" s="361">
        <f>LN_IB1+LN_IB13</f>
        <v>217432469</v>
      </c>
      <c r="E66" s="361">
        <f>D66-C66</f>
        <v>-3479268</v>
      </c>
      <c r="F66" s="362">
        <f>IF(C66=0,0,E66/C66)</f>
        <v>-1.5749584188005365E-2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622</v>
      </c>
      <c r="C67" s="361">
        <f>C43+C57</f>
        <v>112889481</v>
      </c>
      <c r="D67" s="361">
        <f>LN_IB2+LN_IB14</f>
        <v>118943654</v>
      </c>
      <c r="E67" s="361">
        <f>D67-C67</f>
        <v>6054173</v>
      </c>
      <c r="F67" s="362">
        <f>IF(C67=0,0,E67/C67)</f>
        <v>5.3629203946823002E-2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623</v>
      </c>
      <c r="C68" s="361">
        <f>C66-C67</f>
        <v>108022256</v>
      </c>
      <c r="D68" s="361">
        <f>LN_IB21-LN_IB22</f>
        <v>98488815</v>
      </c>
      <c r="E68" s="361">
        <f>D68-C68</f>
        <v>-9533441</v>
      </c>
      <c r="F68" s="362">
        <f>IF(C68=0,0,E68/C68)</f>
        <v>-8.8254414905017356E-2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632</v>
      </c>
      <c r="C70" s="353">
        <f>C50+C63</f>
        <v>-6832779.0189648196</v>
      </c>
      <c r="D70" s="353">
        <f>LN_IB9+LN_IB20</f>
        <v>-2562425.1861106642</v>
      </c>
      <c r="E70" s="361">
        <f>D70-C70</f>
        <v>4270353.8328541555</v>
      </c>
      <c r="F70" s="362">
        <f>IF(C70=0,0,E70/C70)</f>
        <v>-0.62498052710346885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634</v>
      </c>
      <c r="C73" s="400">
        <v>216807678</v>
      </c>
      <c r="D73" s="400">
        <v>213799162</v>
      </c>
      <c r="E73" s="400">
        <f>D73-C73</f>
        <v>-3008516</v>
      </c>
      <c r="F73" s="401">
        <f>IF(C73=0,0,E73/C73)</f>
        <v>-1.3876427383720238E-2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635</v>
      </c>
      <c r="C74" s="400">
        <v>116704450</v>
      </c>
      <c r="D74" s="400">
        <v>120391584</v>
      </c>
      <c r="E74" s="400">
        <f>D74-C74</f>
        <v>3687134</v>
      </c>
      <c r="F74" s="401">
        <f>IF(C74=0,0,E74/C74)</f>
        <v>3.1593773844956215E-2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637</v>
      </c>
      <c r="C76" s="353">
        <f>C73-C74</f>
        <v>100103228</v>
      </c>
      <c r="D76" s="353">
        <f>LN_IB32-LN_IB33</f>
        <v>93407578</v>
      </c>
      <c r="E76" s="400">
        <f>D76-C76</f>
        <v>-6695650</v>
      </c>
      <c r="F76" s="401">
        <f>IF(C76=0,0,E76/C76)</f>
        <v>-6.6887453419584034E-2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638</v>
      </c>
      <c r="C77" s="366">
        <f>IF(C73=0,0,C76/C73)</f>
        <v>0.4617144047822882</v>
      </c>
      <c r="D77" s="366">
        <f>IF(LN_IB1=0,0,LN_IB34/LN_IB32)</f>
        <v>0.43689403235359736</v>
      </c>
      <c r="E77" s="405">
        <f>D77-C77</f>
        <v>-2.482037242869084E-2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605</v>
      </c>
      <c r="C83" s="361">
        <v>1330032</v>
      </c>
      <c r="D83" s="361">
        <v>1175924</v>
      </c>
      <c r="E83" s="361">
        <f t="shared" ref="E83:E95" si="8">D83-C83</f>
        <v>-154108</v>
      </c>
      <c r="F83" s="362">
        <f t="shared" ref="F83:F95" si="9">IF(C83=0,0,E83/C83)</f>
        <v>-0.11586788889289881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606</v>
      </c>
      <c r="C84" s="361">
        <v>159546</v>
      </c>
      <c r="D84" s="361">
        <v>230603</v>
      </c>
      <c r="E84" s="361">
        <f t="shared" si="8"/>
        <v>71057</v>
      </c>
      <c r="F84" s="362">
        <f t="shared" si="9"/>
        <v>0.44536998733907462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607</v>
      </c>
      <c r="C85" s="366">
        <f>IF(C83=0,0,C84/C83)</f>
        <v>0.1199565123245155</v>
      </c>
      <c r="D85" s="366">
        <f>IF(LN_IC1=0,0,LN_IC2/LN_IC1)</f>
        <v>0.19610365976032465</v>
      </c>
      <c r="E85" s="367">
        <f t="shared" si="8"/>
        <v>7.6147147435809151E-2</v>
      </c>
      <c r="F85" s="362">
        <f t="shared" si="9"/>
        <v>0.6347896080023574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81</v>
      </c>
      <c r="D86" s="369">
        <v>50</v>
      </c>
      <c r="E86" s="369">
        <f t="shared" si="8"/>
        <v>-31</v>
      </c>
      <c r="F86" s="362">
        <f t="shared" si="9"/>
        <v>-0.38271604938271603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608</v>
      </c>
      <c r="C87" s="372">
        <v>1.0525</v>
      </c>
      <c r="D87" s="372">
        <v>1.3480000000000001</v>
      </c>
      <c r="E87" s="373">
        <f t="shared" si="8"/>
        <v>0.2955000000000001</v>
      </c>
      <c r="F87" s="362">
        <f t="shared" si="9"/>
        <v>0.2807600950118766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609</v>
      </c>
      <c r="C88" s="376">
        <f>C86*C87</f>
        <v>85.252499999999998</v>
      </c>
      <c r="D88" s="376">
        <f>LN_IC4*LN_IC5</f>
        <v>67.400000000000006</v>
      </c>
      <c r="E88" s="376">
        <f t="shared" si="8"/>
        <v>-17.852499999999992</v>
      </c>
      <c r="F88" s="362">
        <f t="shared" si="9"/>
        <v>-0.20940734875810085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610</v>
      </c>
      <c r="C89" s="378">
        <f>IF(C88=0,0,C84/C88)</f>
        <v>1871.452450074778</v>
      </c>
      <c r="D89" s="378">
        <f>IF(LN_IC6=0,0,LN_IC2/LN_IC6)</f>
        <v>3421.4094955489613</v>
      </c>
      <c r="E89" s="378">
        <f t="shared" si="8"/>
        <v>1549.9570454741834</v>
      </c>
      <c r="F89" s="362">
        <f t="shared" si="9"/>
        <v>0.82821075438611946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641</v>
      </c>
      <c r="C90" s="378">
        <f>C48-C89</f>
        <v>7325.7498132648652</v>
      </c>
      <c r="D90" s="378">
        <f>LN_IB7-LN_IC7</f>
        <v>6900.9216155757695</v>
      </c>
      <c r="E90" s="378">
        <f t="shared" si="8"/>
        <v>-424.82819768909576</v>
      </c>
      <c r="F90" s="362">
        <f t="shared" si="9"/>
        <v>-5.799108739966137E-2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642</v>
      </c>
      <c r="C91" s="378">
        <f>C21-C89</f>
        <v>9191.5850284508888</v>
      </c>
      <c r="D91" s="378">
        <f>LN_IA7-LN_IC7</f>
        <v>8328.203838262436</v>
      </c>
      <c r="E91" s="378">
        <f t="shared" si="8"/>
        <v>-863.38119018845282</v>
      </c>
      <c r="F91" s="362">
        <f t="shared" si="9"/>
        <v>-9.393169812562388E-2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627</v>
      </c>
      <c r="C92" s="353">
        <f>C91*C88</f>
        <v>783605.60263800935</v>
      </c>
      <c r="D92" s="353">
        <f>LN_IC9*LN_IC6</f>
        <v>561320.93869888817</v>
      </c>
      <c r="E92" s="353">
        <f t="shared" si="8"/>
        <v>-222284.66393912118</v>
      </c>
      <c r="F92" s="362">
        <f t="shared" si="9"/>
        <v>-0.28366905901489159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295</v>
      </c>
      <c r="D93" s="369">
        <v>234</v>
      </c>
      <c r="E93" s="369">
        <f t="shared" si="8"/>
        <v>-61</v>
      </c>
      <c r="F93" s="362">
        <f t="shared" si="9"/>
        <v>-0.20677966101694914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611</v>
      </c>
      <c r="C94" s="411">
        <f>IF(C93=0,0,C84/C93)</f>
        <v>540.83389830508474</v>
      </c>
      <c r="D94" s="411">
        <f>IF(LN_IC11=0,0,LN_IC2/LN_IC11)</f>
        <v>985.482905982906</v>
      </c>
      <c r="E94" s="411">
        <f t="shared" si="8"/>
        <v>444.64900767782126</v>
      </c>
      <c r="F94" s="362">
        <f t="shared" si="9"/>
        <v>0.82215447121806418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612</v>
      </c>
      <c r="C95" s="379">
        <f>IF(C86=0,0,C93/C86)</f>
        <v>3.6419753086419755</v>
      </c>
      <c r="D95" s="379">
        <f>IF(LN_IC4=0,0,LN_IC11/LN_IC4)</f>
        <v>4.68</v>
      </c>
      <c r="E95" s="379">
        <f t="shared" si="8"/>
        <v>1.0380246913580242</v>
      </c>
      <c r="F95" s="362">
        <f t="shared" si="9"/>
        <v>0.28501694915254222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614</v>
      </c>
      <c r="C98" s="361">
        <v>2774027</v>
      </c>
      <c r="D98" s="361">
        <v>2457383</v>
      </c>
      <c r="E98" s="361">
        <f t="shared" ref="E98:E106" si="10">D98-C98</f>
        <v>-316644</v>
      </c>
      <c r="F98" s="362">
        <f t="shared" ref="F98:F106" si="11">IF(C98=0,0,E98/C98)</f>
        <v>-0.11414596901904704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615</v>
      </c>
      <c r="C99" s="361">
        <v>317574</v>
      </c>
      <c r="D99" s="361">
        <v>342475</v>
      </c>
      <c r="E99" s="361">
        <f t="shared" si="10"/>
        <v>24901</v>
      </c>
      <c r="F99" s="362">
        <f t="shared" si="11"/>
        <v>7.8410071353448324E-2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616</v>
      </c>
      <c r="C100" s="366">
        <f>IF(C98=0,0,C99/C98)</f>
        <v>0.11448122170404254</v>
      </c>
      <c r="D100" s="366">
        <f>IF(LN_IC14=0,0,LN_IC15/LN_IC14)</f>
        <v>0.13936573989483936</v>
      </c>
      <c r="E100" s="367">
        <f t="shared" si="10"/>
        <v>2.4884518190796817E-2</v>
      </c>
      <c r="F100" s="362">
        <f t="shared" si="11"/>
        <v>0.21736768546310944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617</v>
      </c>
      <c r="C101" s="366">
        <f>IF(C83=0,0,C98/C83)</f>
        <v>2.0856844045857543</v>
      </c>
      <c r="D101" s="366">
        <f>IF(LN_IC1=0,0,LN_IC14/LN_IC1)</f>
        <v>2.0897464461989039</v>
      </c>
      <c r="E101" s="367">
        <f t="shared" si="10"/>
        <v>4.0620416131496029E-3</v>
      </c>
      <c r="F101" s="362">
        <f t="shared" si="11"/>
        <v>1.9475821002537439E-3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618</v>
      </c>
      <c r="C102" s="376">
        <f>C101*C86</f>
        <v>168.94043677144609</v>
      </c>
      <c r="D102" s="376">
        <f>LN_IC17*LN_IC4</f>
        <v>104.4873223099452</v>
      </c>
      <c r="E102" s="376">
        <f t="shared" si="10"/>
        <v>-64.453114461500888</v>
      </c>
      <c r="F102" s="362">
        <f t="shared" si="11"/>
        <v>-0.38151383820971985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619</v>
      </c>
      <c r="C103" s="378">
        <f>IF(C102=0,0,C99/C102)</f>
        <v>1879.7986205613718</v>
      </c>
      <c r="D103" s="378">
        <f>IF(LN_IC18=0,0,LN_IC15/LN_IC18)</f>
        <v>3277.6703664019815</v>
      </c>
      <c r="E103" s="378">
        <f t="shared" si="10"/>
        <v>1397.8717458406097</v>
      </c>
      <c r="F103" s="362">
        <f t="shared" si="11"/>
        <v>0.74362845602214434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644</v>
      </c>
      <c r="C104" s="378">
        <f>C61-C103</f>
        <v>11814.107459775996</v>
      </c>
      <c r="D104" s="378">
        <f>LN_IB18-LN_IC19</f>
        <v>8981.3291286250387</v>
      </c>
      <c r="E104" s="378">
        <f t="shared" si="10"/>
        <v>-2832.7783311509575</v>
      </c>
      <c r="F104" s="362">
        <f t="shared" si="11"/>
        <v>-0.23977929274774593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645</v>
      </c>
      <c r="C105" s="378">
        <f>C32-C103</f>
        <v>8431.4167331386707</v>
      </c>
      <c r="D105" s="378">
        <f>LN_IA16-LN_IC19</f>
        <v>7367.9133461619886</v>
      </c>
      <c r="E105" s="378">
        <f t="shared" si="10"/>
        <v>-1063.5033869766821</v>
      </c>
      <c r="F105" s="362">
        <f t="shared" si="11"/>
        <v>-0.12613578721553517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630</v>
      </c>
      <c r="C106" s="361">
        <f>C105*C102</f>
        <v>1424407.2254985261</v>
      </c>
      <c r="D106" s="361">
        <f>LN_IC21*LN_IC18</f>
        <v>769853.53655217448</v>
      </c>
      <c r="E106" s="361">
        <f t="shared" si="10"/>
        <v>-654553.68894635164</v>
      </c>
      <c r="F106" s="362">
        <f t="shared" si="11"/>
        <v>-0.45952707710905172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621</v>
      </c>
      <c r="C109" s="361">
        <f>C83+C98</f>
        <v>4104059</v>
      </c>
      <c r="D109" s="361">
        <f>LN_IC1+LN_IC14</f>
        <v>3633307</v>
      </c>
      <c r="E109" s="361">
        <f>D109-C109</f>
        <v>-470752</v>
      </c>
      <c r="F109" s="362">
        <f>IF(C109=0,0,E109/C109)</f>
        <v>-0.11470400401163823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622</v>
      </c>
      <c r="C110" s="361">
        <f>C84+C99</f>
        <v>477120</v>
      </c>
      <c r="D110" s="361">
        <f>LN_IC2+LN_IC15</f>
        <v>573078</v>
      </c>
      <c r="E110" s="361">
        <f>D110-C110</f>
        <v>95958</v>
      </c>
      <c r="F110" s="362">
        <f>IF(C110=0,0,E110/C110)</f>
        <v>0.2011192152917505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623</v>
      </c>
      <c r="C111" s="361">
        <f>C109-C110</f>
        <v>3626939</v>
      </c>
      <c r="D111" s="361">
        <f>LN_IC23-LN_IC24</f>
        <v>3060229</v>
      </c>
      <c r="E111" s="361">
        <f>D111-C111</f>
        <v>-566710</v>
      </c>
      <c r="F111" s="362">
        <f>IF(C111=0,0,E111/C111)</f>
        <v>-0.15625021540202358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632</v>
      </c>
      <c r="C113" s="361">
        <f>C92+C106</f>
        <v>2208012.8281365354</v>
      </c>
      <c r="D113" s="361">
        <f>LN_IC10+LN_IC22</f>
        <v>1331174.4752510628</v>
      </c>
      <c r="E113" s="361">
        <f>D113-C113</f>
        <v>-876838.35288547259</v>
      </c>
      <c r="F113" s="362">
        <f>IF(C113=0,0,E113/C113)</f>
        <v>-0.39711651205644721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605</v>
      </c>
      <c r="C118" s="361">
        <v>49196325</v>
      </c>
      <c r="D118" s="361">
        <v>61477752</v>
      </c>
      <c r="E118" s="361">
        <f t="shared" ref="E118:E130" si="12">D118-C118</f>
        <v>12281427</v>
      </c>
      <c r="F118" s="362">
        <f t="shared" ref="F118:F130" si="13">IF(C118=0,0,E118/C118)</f>
        <v>0.24964114697591741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606</v>
      </c>
      <c r="C119" s="361">
        <v>16885004</v>
      </c>
      <c r="D119" s="361">
        <v>19975514</v>
      </c>
      <c r="E119" s="361">
        <f t="shared" si="12"/>
        <v>3090510</v>
      </c>
      <c r="F119" s="362">
        <f t="shared" si="13"/>
        <v>0.18303282605085555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607</v>
      </c>
      <c r="C120" s="366">
        <f>IF(C118=0,0,C119/C118)</f>
        <v>0.34321677483023377</v>
      </c>
      <c r="D120" s="366">
        <f>IF(LN_ID1=0,0,LN_1D2/LN_ID1)</f>
        <v>0.32492264844036589</v>
      </c>
      <c r="E120" s="367">
        <f t="shared" si="12"/>
        <v>-1.8294126389867882E-2</v>
      </c>
      <c r="F120" s="362">
        <f t="shared" si="13"/>
        <v>-5.3301958795332061E-2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1757</v>
      </c>
      <c r="D121" s="369">
        <v>1872</v>
      </c>
      <c r="E121" s="369">
        <f t="shared" si="12"/>
        <v>115</v>
      </c>
      <c r="F121" s="362">
        <f t="shared" si="13"/>
        <v>6.5452475811041549E-2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608</v>
      </c>
      <c r="C122" s="372">
        <v>1.3660000000000001</v>
      </c>
      <c r="D122" s="372">
        <v>1.3310999999999999</v>
      </c>
      <c r="E122" s="373">
        <f t="shared" si="12"/>
        <v>-3.4900000000000153E-2</v>
      </c>
      <c r="F122" s="362">
        <f t="shared" si="13"/>
        <v>-2.5549048316251939E-2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609</v>
      </c>
      <c r="C123" s="376">
        <f>C121*C122</f>
        <v>2400.0620000000004</v>
      </c>
      <c r="D123" s="376">
        <f>LN_ID4*LN_ID5</f>
        <v>2491.8191999999999</v>
      </c>
      <c r="E123" s="376">
        <f t="shared" si="12"/>
        <v>91.757199999999557</v>
      </c>
      <c r="F123" s="362">
        <f t="shared" si="13"/>
        <v>3.8231179027874922E-2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610</v>
      </c>
      <c r="C124" s="378">
        <f>IF(C123=0,0,C119/C123)</f>
        <v>7035.2365897214313</v>
      </c>
      <c r="D124" s="378">
        <f>IF(LN_ID6=0,0,LN_1D2/LN_ID6)</f>
        <v>8016.4379502333077</v>
      </c>
      <c r="E124" s="378">
        <f t="shared" si="12"/>
        <v>981.20136051187637</v>
      </c>
      <c r="F124" s="362">
        <f t="shared" si="13"/>
        <v>0.13946956125760204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649</v>
      </c>
      <c r="C125" s="378">
        <f>C48-C124</f>
        <v>2161.9656736182114</v>
      </c>
      <c r="D125" s="378">
        <f>LN_IB7-LN_ID7</f>
        <v>2305.8931608914236</v>
      </c>
      <c r="E125" s="378">
        <f t="shared" si="12"/>
        <v>143.92748727321214</v>
      </c>
      <c r="F125" s="362">
        <f t="shared" si="13"/>
        <v>6.6572512704301506E-2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650</v>
      </c>
      <c r="C126" s="378">
        <f>C21-C124</f>
        <v>4027.800888804235</v>
      </c>
      <c r="D126" s="378">
        <f>LN_IA7-LN_ID7</f>
        <v>3733.1753835780901</v>
      </c>
      <c r="E126" s="378">
        <f t="shared" si="12"/>
        <v>-294.62550522614492</v>
      </c>
      <c r="F126" s="362">
        <f t="shared" si="13"/>
        <v>-7.3147981580989396E-2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627</v>
      </c>
      <c r="C127" s="391">
        <f>C126*C123</f>
        <v>9666971.8567852713</v>
      </c>
      <c r="D127" s="391">
        <f>LN_ID9*LN_ID6</f>
        <v>9302398.0977672487</v>
      </c>
      <c r="E127" s="391">
        <f t="shared" si="12"/>
        <v>-364573.75901802257</v>
      </c>
      <c r="F127" s="362">
        <f t="shared" si="13"/>
        <v>-3.7713336132465032E-2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11690</v>
      </c>
      <c r="D128" s="369">
        <v>14060</v>
      </c>
      <c r="E128" s="369">
        <f t="shared" si="12"/>
        <v>2370</v>
      </c>
      <c r="F128" s="362">
        <f t="shared" si="13"/>
        <v>0.20273738237810093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611</v>
      </c>
      <c r="C129" s="378">
        <f>IF(C128=0,0,C119/C128)</f>
        <v>1444.3972626176219</v>
      </c>
      <c r="D129" s="378">
        <f>IF(LN_ID11=0,0,LN_1D2/LN_ID11)</f>
        <v>1420.7335704125178</v>
      </c>
      <c r="E129" s="378">
        <f t="shared" si="12"/>
        <v>-23.663692205104098</v>
      </c>
      <c r="F129" s="362">
        <f t="shared" si="13"/>
        <v>-1.63830912848861E-2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612</v>
      </c>
      <c r="C130" s="379">
        <f>IF(C121=0,0,C128/C121)</f>
        <v>6.6533864541832672</v>
      </c>
      <c r="D130" s="379">
        <f>IF(LN_ID4=0,0,LN_ID11/LN_ID4)</f>
        <v>7.5106837606837606</v>
      </c>
      <c r="E130" s="379">
        <f t="shared" si="12"/>
        <v>0.85729730650049341</v>
      </c>
      <c r="F130" s="362">
        <f t="shared" si="13"/>
        <v>0.12885127181534362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614</v>
      </c>
      <c r="C133" s="361">
        <v>33158225</v>
      </c>
      <c r="D133" s="361">
        <v>44013114</v>
      </c>
      <c r="E133" s="361">
        <f t="shared" ref="E133:E141" si="14">D133-C133</f>
        <v>10854889</v>
      </c>
      <c r="F133" s="362">
        <f t="shared" ref="F133:F141" si="15">IF(C133=0,0,E133/C133)</f>
        <v>0.32736640758062291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615</v>
      </c>
      <c r="C134" s="361">
        <v>13205257</v>
      </c>
      <c r="D134" s="361">
        <v>18881757</v>
      </c>
      <c r="E134" s="361">
        <f t="shared" si="14"/>
        <v>5676500</v>
      </c>
      <c r="F134" s="362">
        <f t="shared" si="15"/>
        <v>0.42986668112555476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616</v>
      </c>
      <c r="C135" s="366">
        <f>IF(C133=0,0,C134/C133)</f>
        <v>0.39824981584508823</v>
      </c>
      <c r="D135" s="366">
        <f>IF(LN_ID14=0,0,LN_ID15/LN_ID14)</f>
        <v>0.42900297852135616</v>
      </c>
      <c r="E135" s="367">
        <f t="shared" si="14"/>
        <v>3.0753162676267931E-2</v>
      </c>
      <c r="F135" s="362">
        <f t="shared" si="15"/>
        <v>7.7220783168498286E-2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617</v>
      </c>
      <c r="C136" s="366">
        <f>IF(C118=0,0,C133/C118)</f>
        <v>0.67399800696495116</v>
      </c>
      <c r="D136" s="366">
        <f>IF(LN_ID1=0,0,LN_ID14/LN_ID1)</f>
        <v>0.71591937844441678</v>
      </c>
      <c r="E136" s="367">
        <f t="shared" si="14"/>
        <v>4.1921371479465619E-2</v>
      </c>
      <c r="F136" s="362">
        <f t="shared" si="15"/>
        <v>6.2198064454581675E-2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618</v>
      </c>
      <c r="C137" s="376">
        <f>C136*C121</f>
        <v>1184.2144982374191</v>
      </c>
      <c r="D137" s="376">
        <f>LN_ID17*LN_ID4</f>
        <v>1340.2010764479483</v>
      </c>
      <c r="E137" s="376">
        <f t="shared" si="14"/>
        <v>155.98657821052916</v>
      </c>
      <c r="F137" s="362">
        <f t="shared" si="15"/>
        <v>0.13172155757483045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619</v>
      </c>
      <c r="C138" s="378">
        <f>IF(C137=0,0,C134/C137)</f>
        <v>11151.068509678493</v>
      </c>
      <c r="D138" s="378">
        <f>IF(LN_ID18=0,0,LN_ID15/LN_ID18)</f>
        <v>14088.749316665202</v>
      </c>
      <c r="E138" s="378">
        <f t="shared" si="14"/>
        <v>2937.6808069867093</v>
      </c>
      <c r="F138" s="362">
        <f t="shared" si="15"/>
        <v>0.26344388472162733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652</v>
      </c>
      <c r="C139" s="378">
        <f>C61-C138</f>
        <v>2542.8375706588758</v>
      </c>
      <c r="D139" s="378">
        <f>LN_IB18-LN_ID19</f>
        <v>-1829.7498216381828</v>
      </c>
      <c r="E139" s="378">
        <f t="shared" si="14"/>
        <v>-4372.5873922970586</v>
      </c>
      <c r="F139" s="362">
        <f t="shared" si="15"/>
        <v>-1.7195700750811524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653</v>
      </c>
      <c r="C140" s="378">
        <f>C32-C138</f>
        <v>-839.85315597844965</v>
      </c>
      <c r="D140" s="378">
        <f>LN_IA16-LN_ID19</f>
        <v>-3443.165604101232</v>
      </c>
      <c r="E140" s="378">
        <f t="shared" si="14"/>
        <v>-2603.3124481227824</v>
      </c>
      <c r="F140" s="362">
        <f t="shared" si="15"/>
        <v>3.0997233618653954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630</v>
      </c>
      <c r="C141" s="353">
        <f>C140*C137</f>
        <v>-994566.28370013263</v>
      </c>
      <c r="D141" s="353">
        <f>LN_ID21*LN_ID18</f>
        <v>-4614534.2490050215</v>
      </c>
      <c r="E141" s="353">
        <f t="shared" si="14"/>
        <v>-3619967.9653048888</v>
      </c>
      <c r="F141" s="362">
        <f t="shared" si="15"/>
        <v>3.6397453087162259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621</v>
      </c>
      <c r="C144" s="361">
        <f>C118+C133</f>
        <v>82354550</v>
      </c>
      <c r="D144" s="361">
        <f>LN_ID1+LN_ID14</f>
        <v>105490866</v>
      </c>
      <c r="E144" s="361">
        <f>D144-C144</f>
        <v>23136316</v>
      </c>
      <c r="F144" s="362">
        <f>IF(C144=0,0,E144/C144)</f>
        <v>0.28093549172450094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622</v>
      </c>
      <c r="C145" s="361">
        <f>C119+C134</f>
        <v>30090261</v>
      </c>
      <c r="D145" s="361">
        <f>LN_1D2+LN_ID15</f>
        <v>38857271</v>
      </c>
      <c r="E145" s="361">
        <f>D145-C145</f>
        <v>8767010</v>
      </c>
      <c r="F145" s="362">
        <f>IF(C145=0,0,E145/C145)</f>
        <v>0.29135706067820416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623</v>
      </c>
      <c r="C146" s="361">
        <f>C144-C145</f>
        <v>52264289</v>
      </c>
      <c r="D146" s="361">
        <f>LN_ID23-LN_ID24</f>
        <v>66633595</v>
      </c>
      <c r="E146" s="361">
        <f>D146-C146</f>
        <v>14369306</v>
      </c>
      <c r="F146" s="362">
        <f>IF(C146=0,0,E146/C146)</f>
        <v>0.2749354535369265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632</v>
      </c>
      <c r="C148" s="361">
        <f>C127+C141</f>
        <v>8672405.5730851386</v>
      </c>
      <c r="D148" s="361">
        <f>LN_ID10+LN_ID22</f>
        <v>4687863.8487622272</v>
      </c>
      <c r="E148" s="361">
        <f>D148-C148</f>
        <v>-3984541.7243229114</v>
      </c>
      <c r="F148" s="415">
        <f>IF(C148=0,0,E148/C148)</f>
        <v>-0.45945057466972716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605</v>
      </c>
      <c r="C153" s="361">
        <v>3413097</v>
      </c>
      <c r="D153" s="361">
        <v>268209</v>
      </c>
      <c r="E153" s="361">
        <f t="shared" ref="E153:E165" si="16">D153-C153</f>
        <v>-3144888</v>
      </c>
      <c r="F153" s="362">
        <f t="shared" ref="F153:F165" si="17">IF(C153=0,0,E153/C153)</f>
        <v>-0.92141770362811248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606</v>
      </c>
      <c r="C154" s="361">
        <v>475015</v>
      </c>
      <c r="D154" s="361">
        <v>46811</v>
      </c>
      <c r="E154" s="361">
        <f t="shared" si="16"/>
        <v>-428204</v>
      </c>
      <c r="F154" s="362">
        <f t="shared" si="17"/>
        <v>-0.90145363830615877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607</v>
      </c>
      <c r="C155" s="366">
        <f>IF(C153=0,0,C154/C153)</f>
        <v>0.13917418696274966</v>
      </c>
      <c r="D155" s="366">
        <f>IF(LN_IE1=0,0,LN_IE2/LN_IE1)</f>
        <v>0.17453180169196411</v>
      </c>
      <c r="E155" s="367">
        <f t="shared" si="16"/>
        <v>3.5357614729214448E-2</v>
      </c>
      <c r="F155" s="362">
        <f t="shared" si="17"/>
        <v>0.25405296413679074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172</v>
      </c>
      <c r="D156" s="419">
        <v>9</v>
      </c>
      <c r="E156" s="419">
        <f t="shared" si="16"/>
        <v>-163</v>
      </c>
      <c r="F156" s="362">
        <f t="shared" si="17"/>
        <v>-0.94767441860465118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608</v>
      </c>
      <c r="C157" s="372">
        <v>1.2331000000000001</v>
      </c>
      <c r="D157" s="372">
        <v>2.2553999999999998</v>
      </c>
      <c r="E157" s="373">
        <f t="shared" si="16"/>
        <v>1.0222999999999998</v>
      </c>
      <c r="F157" s="362">
        <f t="shared" si="17"/>
        <v>0.82904873895061204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609</v>
      </c>
      <c r="C158" s="376">
        <f>C156*C157</f>
        <v>212.09320000000002</v>
      </c>
      <c r="D158" s="376">
        <f>LN_IE4*LN_IE5</f>
        <v>20.2986</v>
      </c>
      <c r="E158" s="376">
        <f t="shared" si="16"/>
        <v>-191.79460000000003</v>
      </c>
      <c r="F158" s="362">
        <f t="shared" si="17"/>
        <v>-0.90429396133397966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610</v>
      </c>
      <c r="C159" s="378">
        <f>IF(C158=0,0,C154/C158)</f>
        <v>2239.6521906407179</v>
      </c>
      <c r="D159" s="378">
        <f>IF(LN_IE6=0,0,LN_IE2/LN_IE6)</f>
        <v>2306.1196338663749</v>
      </c>
      <c r="E159" s="378">
        <f t="shared" si="16"/>
        <v>66.467443225657007</v>
      </c>
      <c r="F159" s="362">
        <f t="shared" si="17"/>
        <v>2.9677573823032787E-2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657</v>
      </c>
      <c r="C160" s="378">
        <f>C48-C159</f>
        <v>6957.5500726989249</v>
      </c>
      <c r="D160" s="378">
        <f>LN_IB7-LN_IE7</f>
        <v>8016.2114772583564</v>
      </c>
      <c r="E160" s="378">
        <f t="shared" si="16"/>
        <v>1058.6614045594315</v>
      </c>
      <c r="F160" s="362">
        <f t="shared" si="17"/>
        <v>0.15216008415283497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658</v>
      </c>
      <c r="C161" s="378">
        <f>C21-C159</f>
        <v>8823.3852878849484</v>
      </c>
      <c r="D161" s="378">
        <f>LN_IA7-LN_IE7</f>
        <v>9443.4936999450219</v>
      </c>
      <c r="E161" s="378">
        <f t="shared" si="16"/>
        <v>620.10841206007353</v>
      </c>
      <c r="F161" s="362">
        <f t="shared" si="17"/>
        <v>7.02801013247739E-2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627</v>
      </c>
      <c r="C162" s="391">
        <f>C161*C158</f>
        <v>1871380.0205404402</v>
      </c>
      <c r="D162" s="391">
        <f>LN_IE9*LN_IE6</f>
        <v>191689.70121770402</v>
      </c>
      <c r="E162" s="391">
        <f t="shared" si="16"/>
        <v>-1679690.3193227362</v>
      </c>
      <c r="F162" s="362">
        <f t="shared" si="17"/>
        <v>-0.89756773123913902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744</v>
      </c>
      <c r="D163" s="369">
        <v>80</v>
      </c>
      <c r="E163" s="419">
        <f t="shared" si="16"/>
        <v>-664</v>
      </c>
      <c r="F163" s="362">
        <f t="shared" si="17"/>
        <v>-0.89247311827956988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611</v>
      </c>
      <c r="C164" s="378">
        <f>IF(C163=0,0,C154/C163)</f>
        <v>638.46102150537638</v>
      </c>
      <c r="D164" s="378">
        <f>IF(LN_IE11=0,0,LN_IE2/LN_IE11)</f>
        <v>585.13750000000005</v>
      </c>
      <c r="E164" s="378">
        <f t="shared" si="16"/>
        <v>-53.323521505376334</v>
      </c>
      <c r="F164" s="362">
        <f t="shared" si="17"/>
        <v>-8.3518836247276379E-2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612</v>
      </c>
      <c r="C165" s="379">
        <f>IF(C156=0,0,C163/C156)</f>
        <v>4.3255813953488369</v>
      </c>
      <c r="D165" s="379">
        <f>IF(LN_IE4=0,0,LN_IE11/LN_IE4)</f>
        <v>8.8888888888888893</v>
      </c>
      <c r="E165" s="379">
        <f t="shared" si="16"/>
        <v>4.5633074935400524</v>
      </c>
      <c r="F165" s="362">
        <f t="shared" si="17"/>
        <v>1.0549581839904423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614</v>
      </c>
      <c r="C168" s="424">
        <v>4257954</v>
      </c>
      <c r="D168" s="424">
        <v>149029</v>
      </c>
      <c r="E168" s="424">
        <f t="shared" ref="E168:E176" si="18">D168-C168</f>
        <v>-4108925</v>
      </c>
      <c r="F168" s="362">
        <f t="shared" ref="F168:F176" si="19">IF(C168=0,0,E168/C168)</f>
        <v>-0.96499985673870592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615</v>
      </c>
      <c r="C169" s="424">
        <v>839224</v>
      </c>
      <c r="D169" s="424">
        <v>10854</v>
      </c>
      <c r="E169" s="424">
        <f t="shared" si="18"/>
        <v>-828370</v>
      </c>
      <c r="F169" s="362">
        <f t="shared" si="19"/>
        <v>-0.98706662345214147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616</v>
      </c>
      <c r="C170" s="366">
        <f>IF(C168=0,0,C169/C168)</f>
        <v>0.19709560037520368</v>
      </c>
      <c r="D170" s="366">
        <f>IF(LN_IE14=0,0,LN_IE15/LN_IE14)</f>
        <v>7.2831462332834551E-2</v>
      </c>
      <c r="E170" s="367">
        <f t="shared" si="18"/>
        <v>-0.12426413804236913</v>
      </c>
      <c r="F170" s="362">
        <f t="shared" si="19"/>
        <v>-0.63047646830173798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617</v>
      </c>
      <c r="C171" s="366">
        <f>IF(C153=0,0,C168/C153)</f>
        <v>1.2475338380362468</v>
      </c>
      <c r="D171" s="366">
        <f>IF(LN_IE1=0,0,LN_IE14/LN_IE1)</f>
        <v>0.55564503801140153</v>
      </c>
      <c r="E171" s="367">
        <f t="shared" si="18"/>
        <v>-0.69188880002484532</v>
      </c>
      <c r="F171" s="362">
        <f t="shared" si="19"/>
        <v>-0.55460523709236864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618</v>
      </c>
      <c r="C172" s="376">
        <f>C171*C156</f>
        <v>214.57582014223445</v>
      </c>
      <c r="D172" s="376">
        <f>LN_IE17*LN_IE4</f>
        <v>5.0008053421026135</v>
      </c>
      <c r="E172" s="376">
        <f t="shared" si="18"/>
        <v>-209.57501480013184</v>
      </c>
      <c r="F172" s="362">
        <f t="shared" si="19"/>
        <v>-0.97669446008041461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619</v>
      </c>
      <c r="C173" s="378">
        <f>IF(C172=0,0,C169/C172)</f>
        <v>3911.0837346151543</v>
      </c>
      <c r="D173" s="378">
        <f>IF(LN_IE18=0,0,LN_IE15/LN_IE18)</f>
        <v>2170.4504089808024</v>
      </c>
      <c r="E173" s="378">
        <f t="shared" si="18"/>
        <v>-1740.6333256343519</v>
      </c>
      <c r="F173" s="362">
        <f t="shared" si="19"/>
        <v>-0.44505140870005638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660</v>
      </c>
      <c r="C174" s="378">
        <f>C61-C173</f>
        <v>9782.8223457222139</v>
      </c>
      <c r="D174" s="378">
        <f>LN_IB18-LN_IE19</f>
        <v>10088.549086046216</v>
      </c>
      <c r="E174" s="378">
        <f t="shared" si="18"/>
        <v>305.72674032400209</v>
      </c>
      <c r="F174" s="362">
        <f t="shared" si="19"/>
        <v>3.1251384265164425E-2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661</v>
      </c>
      <c r="C175" s="378">
        <f>C32-C173</f>
        <v>6400.1316190848884</v>
      </c>
      <c r="D175" s="378">
        <f>LN_IA16-LN_IE19</f>
        <v>8475.1333035831667</v>
      </c>
      <c r="E175" s="378">
        <f t="shared" si="18"/>
        <v>2075.0016844982783</v>
      </c>
      <c r="F175" s="362">
        <f t="shared" si="19"/>
        <v>0.32421234561969348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630</v>
      </c>
      <c r="C176" s="353">
        <f>C175*C172</f>
        <v>1373313.4911833866</v>
      </c>
      <c r="D176" s="353">
        <f>LN_IE21*LN_IE18</f>
        <v>42382.491899590474</v>
      </c>
      <c r="E176" s="353">
        <f t="shared" si="18"/>
        <v>-1330930.9992837962</v>
      </c>
      <c r="F176" s="362">
        <f t="shared" si="19"/>
        <v>-0.96913851631715242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621</v>
      </c>
      <c r="C179" s="361">
        <f>C153+C168</f>
        <v>7671051</v>
      </c>
      <c r="D179" s="361">
        <f>LN_IE1+LN_IE14</f>
        <v>417238</v>
      </c>
      <c r="E179" s="361">
        <f>D179-C179</f>
        <v>-7253813</v>
      </c>
      <c r="F179" s="362">
        <f>IF(C179=0,0,E179/C179)</f>
        <v>-0.94560875687047319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622</v>
      </c>
      <c r="C180" s="361">
        <f>C154+C169</f>
        <v>1314239</v>
      </c>
      <c r="D180" s="361">
        <f>LN_IE15+LN_IE2</f>
        <v>57665</v>
      </c>
      <c r="E180" s="361">
        <f>D180-C180</f>
        <v>-1256574</v>
      </c>
      <c r="F180" s="362">
        <f>IF(C180=0,0,E180/C180)</f>
        <v>-0.95612289697688169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623</v>
      </c>
      <c r="C181" s="361">
        <f>C179-C180</f>
        <v>6356812</v>
      </c>
      <c r="D181" s="361">
        <f>LN_IE23-LN_IE24</f>
        <v>359573</v>
      </c>
      <c r="E181" s="361">
        <f>D181-C181</f>
        <v>-5997239</v>
      </c>
      <c r="F181" s="362">
        <f>IF(C181=0,0,E181/C181)</f>
        <v>-0.94343501113451211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663</v>
      </c>
      <c r="C183" s="361">
        <f>C162+C176</f>
        <v>3244693.5117238266</v>
      </c>
      <c r="D183" s="361">
        <f>LN_IE10+LN_IE22</f>
        <v>234072.19311729449</v>
      </c>
      <c r="E183" s="353">
        <f>D183-C183</f>
        <v>-3010621.3186065322</v>
      </c>
      <c r="F183" s="362">
        <f>IF(C183=0,0,E183/C183)</f>
        <v>-0.92785999901946437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605</v>
      </c>
      <c r="C188" s="361">
        <f>C118+C153</f>
        <v>52609422</v>
      </c>
      <c r="D188" s="361">
        <f>LN_ID1+LN_IE1</f>
        <v>61745961</v>
      </c>
      <c r="E188" s="361">
        <f t="shared" ref="E188:E200" si="20">D188-C188</f>
        <v>9136539</v>
      </c>
      <c r="F188" s="362">
        <f t="shared" ref="F188:F200" si="21">IF(C188=0,0,E188/C188)</f>
        <v>0.17366735182910772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606</v>
      </c>
      <c r="C189" s="361">
        <f>C119+C154</f>
        <v>17360019</v>
      </c>
      <c r="D189" s="361">
        <f>LN_1D2+LN_IE2</f>
        <v>20022325</v>
      </c>
      <c r="E189" s="361">
        <f t="shared" si="20"/>
        <v>2662306</v>
      </c>
      <c r="F189" s="362">
        <f t="shared" si="21"/>
        <v>0.15335847270674069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607</v>
      </c>
      <c r="C190" s="366">
        <f>IF(C188=0,0,C189/C188)</f>
        <v>0.32997927633571034</v>
      </c>
      <c r="D190" s="366">
        <f>IF(LN_IF1=0,0,LN_IF2/LN_IF1)</f>
        <v>0.32426938824387236</v>
      </c>
      <c r="E190" s="367">
        <f t="shared" si="20"/>
        <v>-5.709888091837978E-3</v>
      </c>
      <c r="F190" s="362">
        <f t="shared" si="21"/>
        <v>-1.7303777847033401E-2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1929</v>
      </c>
      <c r="D191" s="369">
        <f>LN_ID4+LN_IE4</f>
        <v>1881</v>
      </c>
      <c r="E191" s="369">
        <f t="shared" si="20"/>
        <v>-48</v>
      </c>
      <c r="F191" s="362">
        <f t="shared" si="21"/>
        <v>-2.4883359253499222E-2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608</v>
      </c>
      <c r="C192" s="372">
        <f>IF((C121+C156)=0,0,(C123+C158)/(C121+C156))</f>
        <v>1.3541499222395024</v>
      </c>
      <c r="D192" s="372">
        <f>IF((LN_ID4+LN_IE4)=0,0,(LN_ID6+LN_IE6)/(LN_ID4+LN_IE4))</f>
        <v>1.3355224880382774</v>
      </c>
      <c r="E192" s="373">
        <f t="shared" si="20"/>
        <v>-1.8627434201224924E-2</v>
      </c>
      <c r="F192" s="362">
        <f t="shared" si="21"/>
        <v>-1.3755813810053429E-2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609</v>
      </c>
      <c r="C193" s="376">
        <f>C123+C158</f>
        <v>2612.1552000000001</v>
      </c>
      <c r="D193" s="376">
        <f>LN_IF4*LN_IF5</f>
        <v>2512.1178</v>
      </c>
      <c r="E193" s="376">
        <f t="shared" si="20"/>
        <v>-100.03740000000016</v>
      </c>
      <c r="F193" s="362">
        <f t="shared" si="21"/>
        <v>-3.8296882206692834E-2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610</v>
      </c>
      <c r="C194" s="378">
        <f>IF(C193=0,0,C189/C193)</f>
        <v>6645.8604756715831</v>
      </c>
      <c r="D194" s="378">
        <f>IF(LN_IF6=0,0,LN_IF2/LN_IF6)</f>
        <v>7970.2970139378021</v>
      </c>
      <c r="E194" s="378">
        <f t="shared" si="20"/>
        <v>1324.436538266219</v>
      </c>
      <c r="F194" s="362">
        <f t="shared" si="21"/>
        <v>0.19928744262907219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666</v>
      </c>
      <c r="C195" s="378">
        <f>C48-C194</f>
        <v>2551.3417876680596</v>
      </c>
      <c r="D195" s="378">
        <f>LN_IB7-LN_IF7</f>
        <v>2352.0340971869291</v>
      </c>
      <c r="E195" s="378">
        <f t="shared" si="20"/>
        <v>-199.30769048113052</v>
      </c>
      <c r="F195" s="362">
        <f t="shared" si="21"/>
        <v>-7.8118773205725148E-2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667</v>
      </c>
      <c r="C196" s="378">
        <f>C21-C194</f>
        <v>4417.1770028540832</v>
      </c>
      <c r="D196" s="378">
        <f>LN_IA7-LN_IF7</f>
        <v>3779.3163198735956</v>
      </c>
      <c r="E196" s="378">
        <f t="shared" si="20"/>
        <v>-637.86068298048758</v>
      </c>
      <c r="F196" s="362">
        <f t="shared" si="21"/>
        <v>-0.14440460107628578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627</v>
      </c>
      <c r="C197" s="391">
        <f>C127+C162</f>
        <v>11538351.877325712</v>
      </c>
      <c r="D197" s="391">
        <f>LN_IF9*LN_IF6</f>
        <v>9494087.7989849541</v>
      </c>
      <c r="E197" s="391">
        <f t="shared" si="20"/>
        <v>-2044264.0783407576</v>
      </c>
      <c r="F197" s="362">
        <f t="shared" si="21"/>
        <v>-0.17717123728545575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12434</v>
      </c>
      <c r="D198" s="369">
        <f>LN_ID11+LN_IE11</f>
        <v>14140</v>
      </c>
      <c r="E198" s="369">
        <f t="shared" si="20"/>
        <v>1706</v>
      </c>
      <c r="F198" s="362">
        <f t="shared" si="21"/>
        <v>0.13720443944024449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611</v>
      </c>
      <c r="C199" s="432">
        <f>IF(C198=0,0,C189/C198)</f>
        <v>1396.1733151037479</v>
      </c>
      <c r="D199" s="432">
        <f>IF(LN_IF11=0,0,LN_IF2/LN_IF11)</f>
        <v>1416.0060113154173</v>
      </c>
      <c r="E199" s="432">
        <f t="shared" si="20"/>
        <v>19.832696211669372</v>
      </c>
      <c r="F199" s="362">
        <f t="shared" si="21"/>
        <v>1.4205038870976867E-2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612</v>
      </c>
      <c r="C200" s="379">
        <f>IF(C191=0,0,C198/C191)</f>
        <v>6.4458268532918614</v>
      </c>
      <c r="D200" s="379">
        <f>IF(LN_IF4=0,0,LN_IF11/LN_IF4)</f>
        <v>7.5172780435938327</v>
      </c>
      <c r="E200" s="379">
        <f t="shared" si="20"/>
        <v>1.0714511903019712</v>
      </c>
      <c r="F200" s="362">
        <f t="shared" si="21"/>
        <v>0.16622401046264296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614</v>
      </c>
      <c r="C203" s="361">
        <f>C133+C168</f>
        <v>37416179</v>
      </c>
      <c r="D203" s="361">
        <f>LN_ID14+LN_IE14</f>
        <v>44162143</v>
      </c>
      <c r="E203" s="361">
        <f t="shared" ref="E203:E211" si="22">D203-C203</f>
        <v>6745964</v>
      </c>
      <c r="F203" s="362">
        <f t="shared" ref="F203:F211" si="23">IF(C203=0,0,E203/C203)</f>
        <v>0.1802953743619839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615</v>
      </c>
      <c r="C204" s="361">
        <f>C134+C169</f>
        <v>14044481</v>
      </c>
      <c r="D204" s="361">
        <f>LN_ID15+LN_IE15</f>
        <v>18892611</v>
      </c>
      <c r="E204" s="361">
        <f t="shared" si="22"/>
        <v>4848130</v>
      </c>
      <c r="F204" s="362">
        <f t="shared" si="23"/>
        <v>0.3451982312482747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616</v>
      </c>
      <c r="C205" s="366">
        <f>IF(C203=0,0,C204/C203)</f>
        <v>0.37535850467253751</v>
      </c>
      <c r="D205" s="366">
        <f>IF(LN_IF14=0,0,LN_IF15/LN_IF14)</f>
        <v>0.42780104670192298</v>
      </c>
      <c r="E205" s="367">
        <f t="shared" si="22"/>
        <v>5.2442542029385475E-2</v>
      </c>
      <c r="F205" s="362">
        <f t="shared" si="23"/>
        <v>0.13971321117430471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617</v>
      </c>
      <c r="C206" s="366">
        <f>IF(C188=0,0,C203/C188)</f>
        <v>0.71120680626371446</v>
      </c>
      <c r="D206" s="366">
        <f>IF(LN_IF1=0,0,LN_IF14/LN_IF1)</f>
        <v>0.71522318682512687</v>
      </c>
      <c r="E206" s="367">
        <f t="shared" si="22"/>
        <v>4.0163805614124026E-3</v>
      </c>
      <c r="F206" s="362">
        <f t="shared" si="23"/>
        <v>5.6472752032734825E-3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618</v>
      </c>
      <c r="C207" s="376">
        <f>C137+C172</f>
        <v>1398.7903183796536</v>
      </c>
      <c r="D207" s="376">
        <f>LN_ID18+LN_IE18</f>
        <v>1345.2018817900509</v>
      </c>
      <c r="E207" s="376">
        <f t="shared" si="22"/>
        <v>-53.588436589602679</v>
      </c>
      <c r="F207" s="362">
        <f t="shared" si="23"/>
        <v>-3.831055726184826E-2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619</v>
      </c>
      <c r="C208" s="378">
        <f>IF(C207=0,0,C204/C207)</f>
        <v>10040.447675008934</v>
      </c>
      <c r="D208" s="378">
        <f>IF(LN_IF18=0,0,LN_IF15/LN_IF18)</f>
        <v>14044.442886787916</v>
      </c>
      <c r="E208" s="378">
        <f t="shared" si="22"/>
        <v>4003.9952117789817</v>
      </c>
      <c r="F208" s="362">
        <f t="shared" si="23"/>
        <v>0.39878652241225077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669</v>
      </c>
      <c r="C209" s="378">
        <f>C61-C208</f>
        <v>3653.4584053284343</v>
      </c>
      <c r="D209" s="378">
        <f>LN_IB18-LN_IF19</f>
        <v>-1785.4433917608967</v>
      </c>
      <c r="E209" s="378">
        <f t="shared" si="22"/>
        <v>-5438.901797089331</v>
      </c>
      <c r="F209" s="362">
        <f t="shared" si="23"/>
        <v>-1.488699526223398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670</v>
      </c>
      <c r="C210" s="378">
        <f>C32-C208</f>
        <v>270.76767869110881</v>
      </c>
      <c r="D210" s="378">
        <f>LN_IA16-LN_IF19</f>
        <v>-3398.859174223946</v>
      </c>
      <c r="E210" s="378">
        <f t="shared" si="22"/>
        <v>-3669.6268529150548</v>
      </c>
      <c r="F210" s="362">
        <f t="shared" si="23"/>
        <v>-13.552676858087473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630</v>
      </c>
      <c r="C211" s="391">
        <f>C141+C176</f>
        <v>378747.20748325402</v>
      </c>
      <c r="D211" s="353">
        <f>LN_IF21*LN_IF18</f>
        <v>-4572151.7571054306</v>
      </c>
      <c r="E211" s="353">
        <f t="shared" si="22"/>
        <v>-4950898.964588685</v>
      </c>
      <c r="F211" s="362">
        <f t="shared" si="23"/>
        <v>-13.071776812526293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621</v>
      </c>
      <c r="C214" s="361">
        <f>C188+C203</f>
        <v>90025601</v>
      </c>
      <c r="D214" s="361">
        <f>LN_IF1+LN_IF14</f>
        <v>105908104</v>
      </c>
      <c r="E214" s="361">
        <f>D214-C214</f>
        <v>15882503</v>
      </c>
      <c r="F214" s="362">
        <f>IF(C214=0,0,E214/C214)</f>
        <v>0.17642207131724674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622</v>
      </c>
      <c r="C215" s="361">
        <f>C189+C204</f>
        <v>31404500</v>
      </c>
      <c r="D215" s="361">
        <f>LN_IF2+LN_IF15</f>
        <v>38914936</v>
      </c>
      <c r="E215" s="361">
        <f>D215-C215</f>
        <v>7510436</v>
      </c>
      <c r="F215" s="362">
        <f>IF(C215=0,0,E215/C215)</f>
        <v>0.2391515865560668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623</v>
      </c>
      <c r="C216" s="361">
        <f>C214-C215</f>
        <v>58621101</v>
      </c>
      <c r="D216" s="361">
        <f>LN_IF23-LN_IF24</f>
        <v>66993168</v>
      </c>
      <c r="E216" s="361">
        <f>D216-C216</f>
        <v>8372067</v>
      </c>
      <c r="F216" s="362">
        <f>IF(C216=0,0,E216/C216)</f>
        <v>0.14281661137684876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605</v>
      </c>
      <c r="C221" s="361">
        <v>1755977</v>
      </c>
      <c r="D221" s="361">
        <v>2278364</v>
      </c>
      <c r="E221" s="361">
        <f t="shared" ref="E221:E230" si="24">D221-C221</f>
        <v>522387</v>
      </c>
      <c r="F221" s="362">
        <f t="shared" ref="F221:F230" si="25">IF(C221=0,0,E221/C221)</f>
        <v>0.29749079856968513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606</v>
      </c>
      <c r="C222" s="361">
        <v>578732</v>
      </c>
      <c r="D222" s="361">
        <v>716506</v>
      </c>
      <c r="E222" s="361">
        <f t="shared" si="24"/>
        <v>137774</v>
      </c>
      <c r="F222" s="362">
        <f t="shared" si="25"/>
        <v>0.23806183172867579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607</v>
      </c>
      <c r="C223" s="366">
        <f>IF(C221=0,0,C222/C221)</f>
        <v>0.32957834869135527</v>
      </c>
      <c r="D223" s="366">
        <f>IF(LN_IG1=0,0,LN_IG2/LN_IG1)</f>
        <v>0.31448267265458901</v>
      </c>
      <c r="E223" s="367">
        <f t="shared" si="24"/>
        <v>-1.5095676036766259E-2</v>
      </c>
      <c r="F223" s="362">
        <f t="shared" si="25"/>
        <v>-4.5802996758452459E-2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84</v>
      </c>
      <c r="D224" s="369">
        <v>62</v>
      </c>
      <c r="E224" s="369">
        <f t="shared" si="24"/>
        <v>-22</v>
      </c>
      <c r="F224" s="362">
        <f t="shared" si="25"/>
        <v>-0.26190476190476192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608</v>
      </c>
      <c r="C225" s="372">
        <v>1.4528000000000001</v>
      </c>
      <c r="D225" s="372">
        <v>1.5218</v>
      </c>
      <c r="E225" s="373">
        <f t="shared" si="24"/>
        <v>6.899999999999995E-2</v>
      </c>
      <c r="F225" s="362">
        <f t="shared" si="25"/>
        <v>4.7494493392070444E-2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609</v>
      </c>
      <c r="C226" s="376">
        <f>C224*C225</f>
        <v>122.0352</v>
      </c>
      <c r="D226" s="376">
        <f>LN_IG3*LN_IG4</f>
        <v>94.351600000000005</v>
      </c>
      <c r="E226" s="376">
        <f t="shared" si="24"/>
        <v>-27.683599999999998</v>
      </c>
      <c r="F226" s="362">
        <f t="shared" si="25"/>
        <v>-0.2268493024963289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610</v>
      </c>
      <c r="C227" s="378">
        <f>IF(C226=0,0,C222/C226)</f>
        <v>4742.3366372980909</v>
      </c>
      <c r="D227" s="378">
        <f>IF(LN_IG5=0,0,LN_IG2/LN_IG5)</f>
        <v>7593.9994658278183</v>
      </c>
      <c r="E227" s="378">
        <f t="shared" si="24"/>
        <v>2851.6628285297274</v>
      </c>
      <c r="F227" s="362">
        <f t="shared" si="25"/>
        <v>0.60132020280922949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304</v>
      </c>
      <c r="D228" s="369">
        <v>529</v>
      </c>
      <c r="E228" s="369">
        <f t="shared" si="24"/>
        <v>225</v>
      </c>
      <c r="F228" s="362">
        <f t="shared" si="25"/>
        <v>0.74013157894736847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611</v>
      </c>
      <c r="C229" s="378">
        <f>IF(C228=0,0,C222/C228)</f>
        <v>1903.7236842105262</v>
      </c>
      <c r="D229" s="378">
        <f>IF(LN_IG6=0,0,LN_IG2/LN_IG6)</f>
        <v>1354.4536862003781</v>
      </c>
      <c r="E229" s="378">
        <f t="shared" si="24"/>
        <v>-549.26999801014813</v>
      </c>
      <c r="F229" s="362">
        <f t="shared" si="25"/>
        <v>-0.28852401352454166</v>
      </c>
      <c r="Q229" s="330"/>
      <c r="U229" s="375"/>
    </row>
    <row r="230" spans="1:21" ht="11.25" customHeight="1" x14ac:dyDescent="0.2">
      <c r="A230" s="364">
        <v>10</v>
      </c>
      <c r="B230" s="360" t="s">
        <v>612</v>
      </c>
      <c r="C230" s="379">
        <f>IF(C224=0,0,C228/C224)</f>
        <v>3.6190476190476191</v>
      </c>
      <c r="D230" s="379">
        <f>IF(LN_IG3=0,0,LN_IG6/LN_IG3)</f>
        <v>8.5322580645161299</v>
      </c>
      <c r="E230" s="379">
        <f t="shared" si="24"/>
        <v>4.9132104454685113</v>
      </c>
      <c r="F230" s="362">
        <f t="shared" si="25"/>
        <v>1.3575976230899833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614</v>
      </c>
      <c r="C233" s="361">
        <v>1575205</v>
      </c>
      <c r="D233" s="361">
        <v>1791179</v>
      </c>
      <c r="E233" s="361">
        <f>D233-C233</f>
        <v>215974</v>
      </c>
      <c r="F233" s="362">
        <f>IF(C233=0,0,E233/C233)</f>
        <v>0.13710850333766081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615</v>
      </c>
      <c r="C234" s="361">
        <v>585727</v>
      </c>
      <c r="D234" s="361">
        <v>647617</v>
      </c>
      <c r="E234" s="361">
        <f>D234-C234</f>
        <v>61890</v>
      </c>
      <c r="F234" s="362">
        <f>IF(C234=0,0,E234/C234)</f>
        <v>0.10566355998613688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621</v>
      </c>
      <c r="C237" s="361">
        <f>C221+C233</f>
        <v>3331182</v>
      </c>
      <c r="D237" s="361">
        <f>LN_IG1+LN_IG9</f>
        <v>4069543</v>
      </c>
      <c r="E237" s="361">
        <f>D237-C237</f>
        <v>738361</v>
      </c>
      <c r="F237" s="362">
        <f>IF(C237=0,0,E237/C237)</f>
        <v>0.22165135378373202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622</v>
      </c>
      <c r="C238" s="361">
        <f>C222+C234</f>
        <v>1164459</v>
      </c>
      <c r="D238" s="361">
        <f>LN_IG2+LN_IG10</f>
        <v>1364123</v>
      </c>
      <c r="E238" s="361">
        <f>D238-C238</f>
        <v>199664</v>
      </c>
      <c r="F238" s="362">
        <f>IF(C238=0,0,E238/C238)</f>
        <v>0.17146503225961585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623</v>
      </c>
      <c r="C239" s="361">
        <f>C237-C238</f>
        <v>2166723</v>
      </c>
      <c r="D239" s="361">
        <f>LN_IG13-LN_IG14</f>
        <v>2705420</v>
      </c>
      <c r="E239" s="361">
        <f>D239-C239</f>
        <v>538697</v>
      </c>
      <c r="F239" s="362">
        <f>IF(C239=0,0,E239/C239)</f>
        <v>0.24862292041945372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677</v>
      </c>
      <c r="C243" s="361">
        <v>1509223</v>
      </c>
      <c r="D243" s="361">
        <v>2868190</v>
      </c>
      <c r="E243" s="353">
        <f>D243-C243</f>
        <v>1358967</v>
      </c>
      <c r="F243" s="415">
        <f>IF(C243=0,0,E243/C243)</f>
        <v>0.90044148545311065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678</v>
      </c>
      <c r="C244" s="361">
        <v>252835619</v>
      </c>
      <c r="D244" s="361">
        <v>262964301</v>
      </c>
      <c r="E244" s="353">
        <f>D244-C244</f>
        <v>10128682</v>
      </c>
      <c r="F244" s="415">
        <f>IF(C244=0,0,E244/C244)</f>
        <v>4.0060344503912639E-2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679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681</v>
      </c>
      <c r="C248" s="353">
        <v>1104104</v>
      </c>
      <c r="D248" s="353">
        <v>873533</v>
      </c>
      <c r="E248" s="353">
        <f>D248-C248</f>
        <v>-230571</v>
      </c>
      <c r="F248" s="362">
        <f>IF(C248=0,0,E248/C248)</f>
        <v>-0.20883087100490533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682</v>
      </c>
      <c r="C249" s="353">
        <v>6859997</v>
      </c>
      <c r="D249" s="353">
        <v>2513627</v>
      </c>
      <c r="E249" s="353">
        <f>D249-C249</f>
        <v>-4346370</v>
      </c>
      <c r="F249" s="362">
        <f>IF(C249=0,0,E249/C249)</f>
        <v>-0.63358190972969808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683</v>
      </c>
      <c r="C250" s="353">
        <f>C248+C249</f>
        <v>7964101</v>
      </c>
      <c r="D250" s="353">
        <f>LN_IH4+LN_IH5</f>
        <v>3387160</v>
      </c>
      <c r="E250" s="353">
        <f>D250-C250</f>
        <v>-4576941</v>
      </c>
      <c r="F250" s="362">
        <f>IF(C250=0,0,E250/C250)</f>
        <v>-0.57469650372339576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684</v>
      </c>
      <c r="C251" s="353">
        <f>C250*C313</f>
        <v>3754243.9789315499</v>
      </c>
      <c r="D251" s="353">
        <f>LN_IH6*LN_III10</f>
        <v>1664306.6485738652</v>
      </c>
      <c r="E251" s="353">
        <f>D251-C251</f>
        <v>-2089937.3303576848</v>
      </c>
      <c r="F251" s="362">
        <f>IF(C251=0,0,E251/C251)</f>
        <v>-0.55668660377061496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621</v>
      </c>
      <c r="C254" s="353">
        <f>C188+C203</f>
        <v>90025601</v>
      </c>
      <c r="D254" s="353">
        <f>LN_IF23</f>
        <v>105908104</v>
      </c>
      <c r="E254" s="353">
        <f>D254-C254</f>
        <v>15882503</v>
      </c>
      <c r="F254" s="362">
        <f>IF(C254=0,0,E254/C254)</f>
        <v>0.17642207131724674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622</v>
      </c>
      <c r="C255" s="353">
        <f>C189+C204</f>
        <v>31404500</v>
      </c>
      <c r="D255" s="353">
        <f>LN_IF24</f>
        <v>38914936</v>
      </c>
      <c r="E255" s="353">
        <f>D255-C255</f>
        <v>7510436</v>
      </c>
      <c r="F255" s="362">
        <f>IF(C255=0,0,E255/C255)</f>
        <v>0.2391515865560668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686</v>
      </c>
      <c r="C256" s="353">
        <f>C254*C313</f>
        <v>42437692.654066555</v>
      </c>
      <c r="D256" s="353">
        <f>LN_IH8*LN_III10</f>
        <v>52038746.804122739</v>
      </c>
      <c r="E256" s="353">
        <f>D256-C256</f>
        <v>9601054.1500561833</v>
      </c>
      <c r="F256" s="362">
        <f>IF(C256=0,0,E256/C256)</f>
        <v>0.22623883509218473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687</v>
      </c>
      <c r="C257" s="353">
        <f>C256-C255</f>
        <v>11033192.654066555</v>
      </c>
      <c r="D257" s="353">
        <f>LN_IH10-LN_IH9</f>
        <v>13123810.804122739</v>
      </c>
      <c r="E257" s="353">
        <f>D257-C257</f>
        <v>2090618.1500561833</v>
      </c>
      <c r="F257" s="362">
        <f>IF(C257=0,0,E257/C257)</f>
        <v>0.18948442355763945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690</v>
      </c>
      <c r="C261" s="361">
        <f>C15+C42+C188+C221</f>
        <v>271260811</v>
      </c>
      <c r="D261" s="361">
        <f>LN_IA1+LN_IB1+LN_IF1+LN_IG1</f>
        <v>259180572</v>
      </c>
      <c r="E261" s="361">
        <f t="shared" ref="E261:E274" si="26">D261-C261</f>
        <v>-12080239</v>
      </c>
      <c r="F261" s="415">
        <f t="shared" ref="F261:F274" si="27">IF(C261=0,0,E261/C261)</f>
        <v>-4.4533668374234864E-2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691</v>
      </c>
      <c r="C262" s="361">
        <f>C16+C43+C189+C222</f>
        <v>136087010</v>
      </c>
      <c r="D262" s="361">
        <f>+LN_IA2+LN_IB2+LN_IF2+LN_IG2</f>
        <v>138622513</v>
      </c>
      <c r="E262" s="361">
        <f t="shared" si="26"/>
        <v>2535503</v>
      </c>
      <c r="F262" s="415">
        <f t="shared" si="27"/>
        <v>1.8631484371653108E-2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692</v>
      </c>
      <c r="C263" s="366">
        <f>IF(C261=0,0,C262/C261)</f>
        <v>0.5016832674735312</v>
      </c>
      <c r="D263" s="366">
        <f>IF(LN_IIA1=0,0,LN_IIA2/LN_IIA1)</f>
        <v>0.5348491668580776</v>
      </c>
      <c r="E263" s="367">
        <f t="shared" si="26"/>
        <v>3.3165899384546393E-2</v>
      </c>
      <c r="F263" s="371">
        <f t="shared" si="27"/>
        <v>6.610923970330787E-2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693</v>
      </c>
      <c r="C264" s="369">
        <f>C18+C45+C191+C224</f>
        <v>9567</v>
      </c>
      <c r="D264" s="369">
        <f>LN_IA4+LN_IB4+LN_IF4+LN_IG3</f>
        <v>9082</v>
      </c>
      <c r="E264" s="369">
        <f t="shared" si="26"/>
        <v>-485</v>
      </c>
      <c r="F264" s="415">
        <f t="shared" si="27"/>
        <v>-5.0695097731786348E-2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694</v>
      </c>
      <c r="C265" s="439">
        <f>IF(C264=0,0,C266/C264)</f>
        <v>1.4917819170063762</v>
      </c>
      <c r="D265" s="439">
        <f>IF(LN_IIA4=0,0,LN_IIA6/LN_IIA4)</f>
        <v>1.4545607245100198</v>
      </c>
      <c r="E265" s="439">
        <f t="shared" si="26"/>
        <v>-3.7221192496356359E-2</v>
      </c>
      <c r="F265" s="415">
        <f t="shared" si="27"/>
        <v>-2.4950826975466862E-2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695</v>
      </c>
      <c r="C266" s="376">
        <f>C20+C47+C193+C226</f>
        <v>14271.877600000002</v>
      </c>
      <c r="D266" s="376">
        <f>LN_IA6+LN_IB6+LN_IF6+LN_IG5</f>
        <v>13210.3205</v>
      </c>
      <c r="E266" s="376">
        <f t="shared" si="26"/>
        <v>-1061.5571000000018</v>
      </c>
      <c r="F266" s="415">
        <f t="shared" si="27"/>
        <v>-7.4381040095243087E-2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696</v>
      </c>
      <c r="C267" s="361">
        <f>C27+C56+C203+C233</f>
        <v>243961762</v>
      </c>
      <c r="D267" s="361">
        <f>LN_IA11+LN_IB13+LN_IF14+LN_IG9</f>
        <v>274542562</v>
      </c>
      <c r="E267" s="361">
        <f t="shared" si="26"/>
        <v>30580800</v>
      </c>
      <c r="F267" s="415">
        <f t="shared" si="27"/>
        <v>0.12535079165398058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617</v>
      </c>
      <c r="C268" s="366">
        <f>IF(C261=0,0,C267/C261)</f>
        <v>0.89936235573667145</v>
      </c>
      <c r="D268" s="366">
        <f>IF(LN_IIA1=0,0,LN_IIA7/LN_IIA1)</f>
        <v>1.0592713793378001</v>
      </c>
      <c r="E268" s="367">
        <f t="shared" si="26"/>
        <v>0.15990902360112869</v>
      </c>
      <c r="F268" s="371">
        <f t="shared" si="27"/>
        <v>0.17780266494492816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697</v>
      </c>
      <c r="C269" s="361">
        <f>C28+C57+C204+C234</f>
        <v>106831834</v>
      </c>
      <c r="D269" s="361">
        <f>LN_IA12+LN_IB14+LN_IF15+LN_IG10</f>
        <v>121932303</v>
      </c>
      <c r="E269" s="361">
        <f t="shared" si="26"/>
        <v>15100469</v>
      </c>
      <c r="F269" s="415">
        <f t="shared" si="27"/>
        <v>0.14134802740538929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616</v>
      </c>
      <c r="C270" s="366">
        <f>IF(C267=0,0,C269/C267)</f>
        <v>0.43790401054735784</v>
      </c>
      <c r="D270" s="366">
        <f>IF(LN_IIA7=0,0,LN_IIA9/LN_IIA7)</f>
        <v>0.44412896168718641</v>
      </c>
      <c r="E270" s="367">
        <f t="shared" si="26"/>
        <v>6.2249511398285717E-3</v>
      </c>
      <c r="F270" s="371">
        <f t="shared" si="27"/>
        <v>1.4215332561233449E-2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698</v>
      </c>
      <c r="C271" s="353">
        <f>C261+C267</f>
        <v>515222573</v>
      </c>
      <c r="D271" s="353">
        <f>LN_IIA1+LN_IIA7</f>
        <v>533723134</v>
      </c>
      <c r="E271" s="353">
        <f t="shared" si="26"/>
        <v>18500561</v>
      </c>
      <c r="F271" s="415">
        <f t="shared" si="27"/>
        <v>3.5907900720025324E-2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699</v>
      </c>
      <c r="C272" s="353">
        <f>C262+C269</f>
        <v>242918844</v>
      </c>
      <c r="D272" s="353">
        <f>LN_IIA2+LN_IIA9</f>
        <v>260554816</v>
      </c>
      <c r="E272" s="353">
        <f t="shared" si="26"/>
        <v>17635972</v>
      </c>
      <c r="F272" s="415">
        <f t="shared" si="27"/>
        <v>7.2600263156200426E-2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700</v>
      </c>
      <c r="C273" s="366">
        <f>IF(C271=0,0,C272/C271)</f>
        <v>0.47148330979667696</v>
      </c>
      <c r="D273" s="366">
        <f>IF(LN_IIA11=0,0,LN_IIA12/LN_IIA11)</f>
        <v>0.48818347829007541</v>
      </c>
      <c r="E273" s="367">
        <f t="shared" si="26"/>
        <v>1.6700168493398448E-2</v>
      </c>
      <c r="F273" s="371">
        <f t="shared" si="27"/>
        <v>3.5420487101866342E-2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51230</v>
      </c>
      <c r="D274" s="421">
        <f>LN_IA8+LN_IB10+LN_IF11+LN_IG6</f>
        <v>51614</v>
      </c>
      <c r="E274" s="442">
        <f t="shared" si="26"/>
        <v>384</v>
      </c>
      <c r="F274" s="371">
        <f t="shared" si="27"/>
        <v>7.4956080421627949E-3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702</v>
      </c>
      <c r="C277" s="361">
        <f>C15+C188+C221</f>
        <v>176821493</v>
      </c>
      <c r="D277" s="361">
        <f>LN_IA1+LN_IF1+LN_IG1</f>
        <v>179430243</v>
      </c>
      <c r="E277" s="361">
        <f t="shared" ref="E277:E291" si="28">D277-C277</f>
        <v>2608750</v>
      </c>
      <c r="F277" s="415">
        <f t="shared" ref="F277:F291" si="29">IF(C277=0,0,E277/C277)</f>
        <v>1.4753579758542136E-2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703</v>
      </c>
      <c r="C278" s="361">
        <f>C16+C189+C222</f>
        <v>89290475</v>
      </c>
      <c r="D278" s="361">
        <f>LN_IA2+LN_IF2+LN_IG2</f>
        <v>90113040</v>
      </c>
      <c r="E278" s="361">
        <f t="shared" si="28"/>
        <v>822565</v>
      </c>
      <c r="F278" s="415">
        <f t="shared" si="29"/>
        <v>9.2122368035336358E-3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704</v>
      </c>
      <c r="C279" s="366">
        <f>IF(C277=0,0,C278/C277)</f>
        <v>0.50497523510900344</v>
      </c>
      <c r="D279" s="366">
        <f>IF(D277=0,0,LN_IIB2/D277)</f>
        <v>0.50221767798642503</v>
      </c>
      <c r="E279" s="367">
        <f t="shared" si="28"/>
        <v>-2.7575571225784135E-3</v>
      </c>
      <c r="F279" s="371">
        <f t="shared" si="29"/>
        <v>-5.4607769467807073E-3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705</v>
      </c>
      <c r="C280" s="369">
        <f>C18+C191+C224</f>
        <v>5963</v>
      </c>
      <c r="D280" s="369">
        <f>LN_IA4+LN_IF4+LN_IG3</f>
        <v>5754</v>
      </c>
      <c r="E280" s="369">
        <f t="shared" si="28"/>
        <v>-209</v>
      </c>
      <c r="F280" s="415">
        <f t="shared" si="29"/>
        <v>-3.5049471742411541E-2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706</v>
      </c>
      <c r="C281" s="439">
        <f>IF(C280=0,0,C282/C280)</f>
        <v>1.5401224886801947</v>
      </c>
      <c r="D281" s="439">
        <f>IF(LN_IIB4=0,0,LN_IIB6/LN_IIB4)</f>
        <v>1.4791191692735488</v>
      </c>
      <c r="E281" s="439">
        <f t="shared" si="28"/>
        <v>-6.1003319406645939E-2</v>
      </c>
      <c r="F281" s="415">
        <f t="shared" si="29"/>
        <v>-3.9609394613101603E-2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707</v>
      </c>
      <c r="C282" s="376">
        <f>C20+C193+C226</f>
        <v>9183.7504000000008</v>
      </c>
      <c r="D282" s="376">
        <f>LN_IA6+LN_IF6+LN_IG5</f>
        <v>8510.8516999999993</v>
      </c>
      <c r="E282" s="376">
        <f t="shared" si="28"/>
        <v>-672.89870000000155</v>
      </c>
      <c r="F282" s="415">
        <f t="shared" si="29"/>
        <v>-7.327057799828722E-2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708</v>
      </c>
      <c r="C283" s="361">
        <f>C27+C203+C233</f>
        <v>117489343</v>
      </c>
      <c r="D283" s="361">
        <f>LN_IA11+LN_IF14+LN_IG9</f>
        <v>136860422</v>
      </c>
      <c r="E283" s="361">
        <f t="shared" si="28"/>
        <v>19371079</v>
      </c>
      <c r="F283" s="415">
        <f t="shared" si="29"/>
        <v>0.16487520063841024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709</v>
      </c>
      <c r="C284" s="366">
        <f>IF(C277=0,0,C283/C277)</f>
        <v>0.66445170780228624</v>
      </c>
      <c r="D284" s="366">
        <f>IF(D277=0,0,LN_IIB7/D277)</f>
        <v>0.76275002313851847</v>
      </c>
      <c r="E284" s="367">
        <f t="shared" si="28"/>
        <v>9.8298315336232234E-2</v>
      </c>
      <c r="F284" s="371">
        <f t="shared" si="29"/>
        <v>0.14793899117418147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710</v>
      </c>
      <c r="C285" s="361">
        <f>C28+C204+C234</f>
        <v>40738888</v>
      </c>
      <c r="D285" s="361">
        <f>LN_IA12+LN_IF15+LN_IG10</f>
        <v>51498122</v>
      </c>
      <c r="E285" s="361">
        <f t="shared" si="28"/>
        <v>10759234</v>
      </c>
      <c r="F285" s="415">
        <f t="shared" si="29"/>
        <v>0.26410229950311848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711</v>
      </c>
      <c r="C286" s="366">
        <f>IF(C283=0,0,C285/C283)</f>
        <v>0.34674538949460293</v>
      </c>
      <c r="D286" s="366">
        <f>IF(LN_IIB7=0,0,LN_IIB9/LN_IIB7)</f>
        <v>0.37628206348801119</v>
      </c>
      <c r="E286" s="367">
        <f t="shared" si="28"/>
        <v>2.9536673993408258E-2</v>
      </c>
      <c r="F286" s="371">
        <f t="shared" si="29"/>
        <v>8.5182600514052381E-2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712</v>
      </c>
      <c r="C287" s="353">
        <f>C277+C283</f>
        <v>294310836</v>
      </c>
      <c r="D287" s="353">
        <f>D277+LN_IIB7</f>
        <v>316290665</v>
      </c>
      <c r="E287" s="353">
        <f t="shared" si="28"/>
        <v>21979829</v>
      </c>
      <c r="F287" s="415">
        <f t="shared" si="29"/>
        <v>7.4682364056755282E-2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713</v>
      </c>
      <c r="C288" s="353">
        <f>C278+C285</f>
        <v>130029363</v>
      </c>
      <c r="D288" s="353">
        <f>LN_IIB2+LN_IIB9</f>
        <v>141611162</v>
      </c>
      <c r="E288" s="353">
        <f t="shared" si="28"/>
        <v>11581799</v>
      </c>
      <c r="F288" s="415">
        <f t="shared" si="29"/>
        <v>8.9070643220793139E-2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714</v>
      </c>
      <c r="C289" s="366">
        <f>IF(C287=0,0,C288/C287)</f>
        <v>0.44180963489906977</v>
      </c>
      <c r="D289" s="366">
        <f>IF(LN_IIB11=0,0,LN_IIB12/LN_IIB11)</f>
        <v>0.44772475975539777</v>
      </c>
      <c r="E289" s="367">
        <f t="shared" si="28"/>
        <v>5.9151248563280023E-3</v>
      </c>
      <c r="F289" s="371">
        <f t="shared" si="29"/>
        <v>1.3388401675937413E-2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33096</v>
      </c>
      <c r="D290" s="421">
        <f>LN_IA8+LN_IF11+LN_IG6</f>
        <v>34051</v>
      </c>
      <c r="E290" s="442">
        <f t="shared" si="28"/>
        <v>955</v>
      </c>
      <c r="F290" s="371">
        <f t="shared" si="29"/>
        <v>2.885545080976553E-2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715</v>
      </c>
      <c r="C291" s="361">
        <f>C287-C288</f>
        <v>164281473</v>
      </c>
      <c r="D291" s="429">
        <f>LN_IIB11-LN_IIB12</f>
        <v>174679503</v>
      </c>
      <c r="E291" s="353">
        <f t="shared" si="28"/>
        <v>10398030</v>
      </c>
      <c r="F291" s="415">
        <f t="shared" si="29"/>
        <v>6.3293990552422186E-2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603</v>
      </c>
      <c r="C294" s="379">
        <f>IF(C18=0,0,C22/C18)</f>
        <v>5.1539240506329111</v>
      </c>
      <c r="D294" s="379">
        <f>IF(LN_IA4=0,0,LN_IA8/LN_IA4)</f>
        <v>5.085804250852795</v>
      </c>
      <c r="E294" s="379">
        <f t="shared" ref="E294:E300" si="30">D294-C294</f>
        <v>-6.8119799780116175E-2</v>
      </c>
      <c r="F294" s="415">
        <f t="shared" ref="F294:F300" si="31">IF(C294=0,0,E294/C294)</f>
        <v>-1.3217074817342514E-2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624</v>
      </c>
      <c r="C295" s="379">
        <f>IF(C45=0,0,C51/C45)</f>
        <v>5.0316315205327413</v>
      </c>
      <c r="D295" s="379">
        <f>IF(LN_IB4=0,0,(LN_IB10)/(LN_IB4))</f>
        <v>5.27734375</v>
      </c>
      <c r="E295" s="379">
        <f t="shared" si="30"/>
        <v>0.24571222946725868</v>
      </c>
      <c r="F295" s="415">
        <f t="shared" si="31"/>
        <v>4.8833510256975861E-2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639</v>
      </c>
      <c r="C296" s="379">
        <f>IF(C86=0,0,C93/C86)</f>
        <v>3.6419753086419755</v>
      </c>
      <c r="D296" s="379">
        <f>IF(LN_IC4=0,0,LN_IC11/LN_IC4)</f>
        <v>4.68</v>
      </c>
      <c r="E296" s="379">
        <f t="shared" si="30"/>
        <v>1.0380246913580242</v>
      </c>
      <c r="F296" s="415">
        <f t="shared" si="31"/>
        <v>0.28501694915254222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6.6533864541832672</v>
      </c>
      <c r="D297" s="379">
        <f>IF(LN_ID4=0,0,LN_ID11/LN_ID4)</f>
        <v>7.5106837606837606</v>
      </c>
      <c r="E297" s="379">
        <f t="shared" si="30"/>
        <v>0.85729730650049341</v>
      </c>
      <c r="F297" s="415">
        <f t="shared" si="31"/>
        <v>0.12885127181534362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716</v>
      </c>
      <c r="C298" s="379">
        <f>IF(C156=0,0,C163/C156)</f>
        <v>4.3255813953488369</v>
      </c>
      <c r="D298" s="379">
        <f>IF(LN_IE4=0,0,LN_IE11/LN_IE4)</f>
        <v>8.8888888888888893</v>
      </c>
      <c r="E298" s="379">
        <f t="shared" si="30"/>
        <v>4.5633074935400524</v>
      </c>
      <c r="F298" s="415">
        <f t="shared" si="31"/>
        <v>1.0549581839904423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3.6190476190476191</v>
      </c>
      <c r="D299" s="379">
        <f>IF(LN_IG3=0,0,LN_IG6/LN_IG3)</f>
        <v>8.5322580645161299</v>
      </c>
      <c r="E299" s="379">
        <f t="shared" si="30"/>
        <v>4.9132104454685113</v>
      </c>
      <c r="F299" s="415">
        <f t="shared" si="31"/>
        <v>1.3575976230899833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717</v>
      </c>
      <c r="C300" s="379">
        <f>IF(C264=0,0,C274/C264)</f>
        <v>5.3548656841225046</v>
      </c>
      <c r="D300" s="379">
        <f>IF(LN_IIA4=0,0,LN_IIA14/LN_IIA4)</f>
        <v>5.683109447258313</v>
      </c>
      <c r="E300" s="379">
        <f t="shared" si="30"/>
        <v>0.32824376313580839</v>
      </c>
      <c r="F300" s="415">
        <f t="shared" si="31"/>
        <v>6.1298225296121001E-2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712</v>
      </c>
      <c r="C304" s="353">
        <f>C35+C66+C214+C221+C233</f>
        <v>515222573</v>
      </c>
      <c r="D304" s="353">
        <f>LN_IIA11</f>
        <v>533723134</v>
      </c>
      <c r="E304" s="353">
        <f t="shared" ref="E304:E316" si="32">D304-C304</f>
        <v>18500561</v>
      </c>
      <c r="F304" s="362">
        <f>IF(C304=0,0,E304/C304)</f>
        <v>3.5907900720025324E-2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715</v>
      </c>
      <c r="C305" s="353">
        <f>C291</f>
        <v>164281473</v>
      </c>
      <c r="D305" s="353">
        <f>LN_IIB14</f>
        <v>174679503</v>
      </c>
      <c r="E305" s="353">
        <f t="shared" si="32"/>
        <v>10398030</v>
      </c>
      <c r="F305" s="362">
        <f>IF(C305=0,0,E305/C305)</f>
        <v>6.3293990552422186E-2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719</v>
      </c>
      <c r="C306" s="353">
        <f>C250</f>
        <v>7964101</v>
      </c>
      <c r="D306" s="353">
        <f>LN_IH6</f>
        <v>3387160</v>
      </c>
      <c r="E306" s="353">
        <f t="shared" si="32"/>
        <v>-4576941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720</v>
      </c>
      <c r="C307" s="353">
        <f>C73-C74</f>
        <v>100103228</v>
      </c>
      <c r="D307" s="353">
        <f>LN_IB32-LN_IB33</f>
        <v>93407578</v>
      </c>
      <c r="E307" s="353">
        <f t="shared" si="32"/>
        <v>-6695650</v>
      </c>
      <c r="F307" s="362">
        <f t="shared" ref="F307:F316" si="33">IF(C307=0,0,E307/C307)</f>
        <v>-6.6887453419584034E-2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721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722</v>
      </c>
      <c r="C309" s="353">
        <f>C305+C307+C308+C306</f>
        <v>272348802</v>
      </c>
      <c r="D309" s="353">
        <f>LN_III2+LN_III3+LN_III4+LN_III5</f>
        <v>271474241</v>
      </c>
      <c r="E309" s="353">
        <f t="shared" si="32"/>
        <v>-874561</v>
      </c>
      <c r="F309" s="362">
        <f t="shared" si="33"/>
        <v>-3.2111799045108341E-3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723</v>
      </c>
      <c r="C310" s="353">
        <f>C304-C309</f>
        <v>242873771</v>
      </c>
      <c r="D310" s="353">
        <f>LN_III1-LN_III6</f>
        <v>262248893</v>
      </c>
      <c r="E310" s="353">
        <f t="shared" si="32"/>
        <v>19375122</v>
      </c>
      <c r="F310" s="362">
        <f t="shared" si="33"/>
        <v>7.9774452054767159E-2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724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725</v>
      </c>
      <c r="C312" s="353">
        <f>C310+C311</f>
        <v>242873771</v>
      </c>
      <c r="D312" s="353">
        <f>LN_III7+LN_III8</f>
        <v>262248893</v>
      </c>
      <c r="E312" s="353">
        <f t="shared" si="32"/>
        <v>19375122</v>
      </c>
      <c r="F312" s="362">
        <f t="shared" si="33"/>
        <v>7.9774452054767159E-2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726</v>
      </c>
      <c r="C313" s="448">
        <f>IF(C304=0,0,C312/C304)</f>
        <v>0.47139582721659984</v>
      </c>
      <c r="D313" s="448">
        <f>IF(LN_III1=0,0,LN_III9/LN_III1)</f>
        <v>0.49135755280939347</v>
      </c>
      <c r="E313" s="448">
        <f t="shared" si="32"/>
        <v>1.9961725592793633E-2</v>
      </c>
      <c r="F313" s="362">
        <f t="shared" si="33"/>
        <v>4.234599553131279E-2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684</v>
      </c>
      <c r="C314" s="353">
        <f>C306*C313</f>
        <v>3754243.9789315499</v>
      </c>
      <c r="D314" s="353">
        <f>D313*LN_III5</f>
        <v>1664306.6485738652</v>
      </c>
      <c r="E314" s="353">
        <f t="shared" si="32"/>
        <v>-2089937.3303576848</v>
      </c>
      <c r="F314" s="362">
        <f t="shared" si="33"/>
        <v>-0.55668660377061496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687</v>
      </c>
      <c r="C315" s="353">
        <f>(C214*C313)-C215</f>
        <v>11033192.654066555</v>
      </c>
      <c r="D315" s="353">
        <f>D313*LN_IH8-LN_IH9</f>
        <v>13123810.804122739</v>
      </c>
      <c r="E315" s="353">
        <f t="shared" si="32"/>
        <v>2090618.1500561833</v>
      </c>
      <c r="F315" s="362">
        <f t="shared" si="33"/>
        <v>0.18948442355763945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729</v>
      </c>
      <c r="C318" s="353">
        <f>C314+C315+C316</f>
        <v>14787436.632998105</v>
      </c>
      <c r="D318" s="353">
        <f>D314+D315+D316</f>
        <v>14788117.452696603</v>
      </c>
      <c r="E318" s="353">
        <f>D318-C318</f>
        <v>680.81969849765301</v>
      </c>
      <c r="F318" s="362">
        <f>IF(C318=0,0,E318/C318)</f>
        <v>4.6040413588546277E-5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-994566.28370013263</v>
      </c>
      <c r="D322" s="353">
        <f>LN_ID22</f>
        <v>-4614534.2490050215</v>
      </c>
      <c r="E322" s="353">
        <f>LN_IV2-C322</f>
        <v>-3619967.9653048888</v>
      </c>
      <c r="F322" s="362">
        <f>IF(C322=0,0,E322/C322)</f>
        <v>3.6397453087162259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716</v>
      </c>
      <c r="C323" s="353">
        <f>C162+C176</f>
        <v>3244693.5117238266</v>
      </c>
      <c r="D323" s="353">
        <f>LN_IE10+LN_IE22</f>
        <v>234072.19311729449</v>
      </c>
      <c r="E323" s="353">
        <f>LN_IV3-C323</f>
        <v>-3010621.3186065322</v>
      </c>
      <c r="F323" s="362">
        <f>IF(C323=0,0,E323/C323)</f>
        <v>-0.92785999901946437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731</v>
      </c>
      <c r="C324" s="353">
        <f>C92+C106</f>
        <v>2208012.8281365354</v>
      </c>
      <c r="D324" s="353">
        <f>LN_IC10+LN_IC22</f>
        <v>1331174.4752510628</v>
      </c>
      <c r="E324" s="353">
        <f>LN_IV1-C324</f>
        <v>-876838.35288547259</v>
      </c>
      <c r="F324" s="362">
        <f>IF(C324=0,0,E324/C324)</f>
        <v>-0.39711651205644721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732</v>
      </c>
      <c r="C325" s="429">
        <f>C324+C322+C323</f>
        <v>4458140.0561602293</v>
      </c>
      <c r="D325" s="429">
        <f>LN_IV1+LN_IV2+LN_IV3</f>
        <v>-3049287.5806366643</v>
      </c>
      <c r="E325" s="353">
        <f>LN_IV4-C325</f>
        <v>-7507427.6367968936</v>
      </c>
      <c r="F325" s="362">
        <f>IF(C325=0,0,E325/C325)</f>
        <v>-1.6839820064475495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733</v>
      </c>
      <c r="B327" s="446" t="s">
        <v>734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735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736</v>
      </c>
      <c r="C330" s="429">
        <v>0</v>
      </c>
      <c r="D330" s="429">
        <v>0</v>
      </c>
      <c r="E330" s="431">
        <f t="shared" si="34"/>
        <v>0</v>
      </c>
      <c r="F330" s="463">
        <f t="shared" si="35"/>
        <v>0</v>
      </c>
    </row>
    <row r="331" spans="1:22" s="333" customFormat="1" ht="11.25" customHeight="1" x14ac:dyDescent="0.2">
      <c r="A331" s="339">
        <v>3</v>
      </c>
      <c r="B331" s="360" t="s">
        <v>737</v>
      </c>
      <c r="C331" s="429">
        <v>242918844</v>
      </c>
      <c r="D331" s="429">
        <v>260554818</v>
      </c>
      <c r="E331" s="431">
        <f t="shared" si="34"/>
        <v>17635974</v>
      </c>
      <c r="F331" s="462">
        <f t="shared" si="35"/>
        <v>7.2600271389402796E-2</v>
      </c>
    </row>
    <row r="332" spans="1:22" s="333" customFormat="1" ht="11.25" customHeight="1" x14ac:dyDescent="0.2">
      <c r="A332" s="364">
        <v>4</v>
      </c>
      <c r="B332" s="360" t="s">
        <v>738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739</v>
      </c>
      <c r="C333" s="429">
        <v>515222573</v>
      </c>
      <c r="D333" s="429">
        <v>533723134</v>
      </c>
      <c r="E333" s="431">
        <f t="shared" si="34"/>
        <v>18500561</v>
      </c>
      <c r="F333" s="462">
        <f t="shared" si="35"/>
        <v>3.5907900720025324E-2</v>
      </c>
    </row>
    <row r="334" spans="1:22" s="333" customFormat="1" ht="11.25" customHeight="1" x14ac:dyDescent="0.2">
      <c r="A334" s="339">
        <v>6</v>
      </c>
      <c r="B334" s="360" t="s">
        <v>740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741</v>
      </c>
      <c r="C335" s="429">
        <v>7964101</v>
      </c>
      <c r="D335" s="429">
        <v>3387160</v>
      </c>
      <c r="E335" s="429">
        <f t="shared" si="34"/>
        <v>-4576941</v>
      </c>
      <c r="F335" s="462">
        <f t="shared" si="35"/>
        <v>-0.57469650372339576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FILING&amp;RJOHN DEMPSEY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742</v>
      </c>
      <c r="B5" s="710"/>
      <c r="C5" s="710"/>
      <c r="D5" s="710"/>
      <c r="E5" s="710"/>
    </row>
    <row r="6" spans="1:5" s="338" customFormat="1" ht="15.75" customHeight="1" x14ac:dyDescent="0.25">
      <c r="A6" s="710" t="s">
        <v>743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744</v>
      </c>
      <c r="D9" s="494" t="s">
        <v>745</v>
      </c>
      <c r="E9" s="495" t="s">
        <v>746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624</v>
      </c>
      <c r="C14" s="513">
        <v>94439318</v>
      </c>
      <c r="D14" s="513">
        <v>79750329</v>
      </c>
      <c r="E14" s="514">
        <f t="shared" ref="E14:E22" si="0">D14-C14</f>
        <v>-14688989</v>
      </c>
    </row>
    <row r="15" spans="1:5" s="506" customFormat="1" x14ac:dyDescent="0.2">
      <c r="A15" s="512">
        <v>2</v>
      </c>
      <c r="B15" s="511" t="s">
        <v>603</v>
      </c>
      <c r="C15" s="513">
        <v>122456094</v>
      </c>
      <c r="D15" s="515">
        <v>115405918</v>
      </c>
      <c r="E15" s="514">
        <f t="shared" si="0"/>
        <v>-7050176</v>
      </c>
    </row>
    <row r="16" spans="1:5" s="506" customFormat="1" x14ac:dyDescent="0.2">
      <c r="A16" s="512">
        <v>3</v>
      </c>
      <c r="B16" s="511" t="s">
        <v>749</v>
      </c>
      <c r="C16" s="513">
        <v>52609422</v>
      </c>
      <c r="D16" s="515">
        <v>61745961</v>
      </c>
      <c r="E16" s="514">
        <f t="shared" si="0"/>
        <v>9136539</v>
      </c>
    </row>
    <row r="17" spans="1:5" s="506" customFormat="1" x14ac:dyDescent="0.2">
      <c r="A17" s="512">
        <v>4</v>
      </c>
      <c r="B17" s="511" t="s">
        <v>114</v>
      </c>
      <c r="C17" s="513">
        <v>49196325</v>
      </c>
      <c r="D17" s="515">
        <v>61477752</v>
      </c>
      <c r="E17" s="514">
        <f t="shared" si="0"/>
        <v>12281427</v>
      </c>
    </row>
    <row r="18" spans="1:5" s="506" customFormat="1" x14ac:dyDescent="0.2">
      <c r="A18" s="512">
        <v>5</v>
      </c>
      <c r="B18" s="511" t="s">
        <v>716</v>
      </c>
      <c r="C18" s="513">
        <v>3413097</v>
      </c>
      <c r="D18" s="515">
        <v>268209</v>
      </c>
      <c r="E18" s="514">
        <f t="shared" si="0"/>
        <v>-3144888</v>
      </c>
    </row>
    <row r="19" spans="1:5" s="506" customFormat="1" x14ac:dyDescent="0.2">
      <c r="A19" s="512">
        <v>6</v>
      </c>
      <c r="B19" s="511" t="s">
        <v>416</v>
      </c>
      <c r="C19" s="513">
        <v>1755977</v>
      </c>
      <c r="D19" s="515">
        <v>2278364</v>
      </c>
      <c r="E19" s="514">
        <f t="shared" si="0"/>
        <v>522387</v>
      </c>
    </row>
    <row r="20" spans="1:5" s="506" customFormat="1" x14ac:dyDescent="0.2">
      <c r="A20" s="512">
        <v>7</v>
      </c>
      <c r="B20" s="511" t="s">
        <v>731</v>
      </c>
      <c r="C20" s="513">
        <v>1330032</v>
      </c>
      <c r="D20" s="515">
        <v>1175924</v>
      </c>
      <c r="E20" s="514">
        <f t="shared" si="0"/>
        <v>-154108</v>
      </c>
    </row>
    <row r="21" spans="1:5" s="506" customFormat="1" x14ac:dyDescent="0.2">
      <c r="A21" s="512"/>
      <c r="B21" s="516" t="s">
        <v>750</v>
      </c>
      <c r="C21" s="517">
        <f>SUM(C15+C16+C19)</f>
        <v>176821493</v>
      </c>
      <c r="D21" s="517">
        <f>SUM(D15+D16+D19)</f>
        <v>179430243</v>
      </c>
      <c r="E21" s="517">
        <f t="shared" si="0"/>
        <v>2608750</v>
      </c>
    </row>
    <row r="22" spans="1:5" s="506" customFormat="1" x14ac:dyDescent="0.2">
      <c r="A22" s="512"/>
      <c r="B22" s="516" t="s">
        <v>690</v>
      </c>
      <c r="C22" s="517">
        <f>SUM(C14+C21)</f>
        <v>271260811</v>
      </c>
      <c r="D22" s="517">
        <f>SUM(D14+D21)</f>
        <v>259180572</v>
      </c>
      <c r="E22" s="517">
        <f t="shared" si="0"/>
        <v>-12080239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624</v>
      </c>
      <c r="C25" s="513">
        <v>126472419</v>
      </c>
      <c r="D25" s="513">
        <v>137682140</v>
      </c>
      <c r="E25" s="514">
        <f t="shared" ref="E25:E33" si="1">D25-C25</f>
        <v>11209721</v>
      </c>
    </row>
    <row r="26" spans="1:5" s="506" customFormat="1" x14ac:dyDescent="0.2">
      <c r="A26" s="512">
        <v>2</v>
      </c>
      <c r="B26" s="511" t="s">
        <v>603</v>
      </c>
      <c r="C26" s="513">
        <v>78497959</v>
      </c>
      <c r="D26" s="515">
        <v>90907100</v>
      </c>
      <c r="E26" s="514">
        <f t="shared" si="1"/>
        <v>12409141</v>
      </c>
    </row>
    <row r="27" spans="1:5" s="506" customFormat="1" x14ac:dyDescent="0.2">
      <c r="A27" s="512">
        <v>3</v>
      </c>
      <c r="B27" s="511" t="s">
        <v>749</v>
      </c>
      <c r="C27" s="513">
        <v>37416179</v>
      </c>
      <c r="D27" s="515">
        <v>44162143</v>
      </c>
      <c r="E27" s="514">
        <f t="shared" si="1"/>
        <v>6745964</v>
      </c>
    </row>
    <row r="28" spans="1:5" s="506" customFormat="1" x14ac:dyDescent="0.2">
      <c r="A28" s="512">
        <v>4</v>
      </c>
      <c r="B28" s="511" t="s">
        <v>114</v>
      </c>
      <c r="C28" s="513">
        <v>33158225</v>
      </c>
      <c r="D28" s="515">
        <v>44013114</v>
      </c>
      <c r="E28" s="514">
        <f t="shared" si="1"/>
        <v>10854889</v>
      </c>
    </row>
    <row r="29" spans="1:5" s="506" customFormat="1" x14ac:dyDescent="0.2">
      <c r="A29" s="512">
        <v>5</v>
      </c>
      <c r="B29" s="511" t="s">
        <v>716</v>
      </c>
      <c r="C29" s="513">
        <v>4257954</v>
      </c>
      <c r="D29" s="515">
        <v>149029</v>
      </c>
      <c r="E29" s="514">
        <f t="shared" si="1"/>
        <v>-4108925</v>
      </c>
    </row>
    <row r="30" spans="1:5" s="506" customFormat="1" x14ac:dyDescent="0.2">
      <c r="A30" s="512">
        <v>6</v>
      </c>
      <c r="B30" s="511" t="s">
        <v>416</v>
      </c>
      <c r="C30" s="513">
        <v>1575205</v>
      </c>
      <c r="D30" s="515">
        <v>1791179</v>
      </c>
      <c r="E30" s="514">
        <f t="shared" si="1"/>
        <v>215974</v>
      </c>
    </row>
    <row r="31" spans="1:5" s="506" customFormat="1" x14ac:dyDescent="0.2">
      <c r="A31" s="512">
        <v>7</v>
      </c>
      <c r="B31" s="511" t="s">
        <v>731</v>
      </c>
      <c r="C31" s="514">
        <v>2774027</v>
      </c>
      <c r="D31" s="518">
        <v>2457383</v>
      </c>
      <c r="E31" s="514">
        <f t="shared" si="1"/>
        <v>-316644</v>
      </c>
    </row>
    <row r="32" spans="1:5" s="506" customFormat="1" x14ac:dyDescent="0.2">
      <c r="A32" s="512"/>
      <c r="B32" s="516" t="s">
        <v>752</v>
      </c>
      <c r="C32" s="517">
        <f>SUM(C26+C27+C30)</f>
        <v>117489343</v>
      </c>
      <c r="D32" s="517">
        <f>SUM(D26+D27+D30)</f>
        <v>136860422</v>
      </c>
      <c r="E32" s="517">
        <f t="shared" si="1"/>
        <v>19371079</v>
      </c>
    </row>
    <row r="33" spans="1:5" s="506" customFormat="1" x14ac:dyDescent="0.2">
      <c r="A33" s="512"/>
      <c r="B33" s="516" t="s">
        <v>696</v>
      </c>
      <c r="C33" s="517">
        <f>SUM(C25+C32)</f>
        <v>243961762</v>
      </c>
      <c r="D33" s="517">
        <f>SUM(D25+D32)</f>
        <v>274542562</v>
      </c>
      <c r="E33" s="517">
        <f t="shared" si="1"/>
        <v>30580800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753</v>
      </c>
      <c r="C36" s="514">
        <f t="shared" ref="C36:D42" si="2">C14+C25</f>
        <v>220911737</v>
      </c>
      <c r="D36" s="514">
        <f t="shared" si="2"/>
        <v>217432469</v>
      </c>
      <c r="E36" s="514">
        <f t="shared" ref="E36:E44" si="3">D36-C36</f>
        <v>-3479268</v>
      </c>
    </row>
    <row r="37" spans="1:5" s="506" customFormat="1" x14ac:dyDescent="0.2">
      <c r="A37" s="512">
        <v>2</v>
      </c>
      <c r="B37" s="511" t="s">
        <v>754</v>
      </c>
      <c r="C37" s="514">
        <f t="shared" si="2"/>
        <v>200954053</v>
      </c>
      <c r="D37" s="514">
        <f t="shared" si="2"/>
        <v>206313018</v>
      </c>
      <c r="E37" s="514">
        <f t="shared" si="3"/>
        <v>5358965</v>
      </c>
    </row>
    <row r="38" spans="1:5" s="506" customFormat="1" x14ac:dyDescent="0.2">
      <c r="A38" s="512">
        <v>3</v>
      </c>
      <c r="B38" s="511" t="s">
        <v>755</v>
      </c>
      <c r="C38" s="514">
        <f t="shared" si="2"/>
        <v>90025601</v>
      </c>
      <c r="D38" s="514">
        <f t="shared" si="2"/>
        <v>105908104</v>
      </c>
      <c r="E38" s="514">
        <f t="shared" si="3"/>
        <v>15882503</v>
      </c>
    </row>
    <row r="39" spans="1:5" s="506" customFormat="1" x14ac:dyDescent="0.2">
      <c r="A39" s="512">
        <v>4</v>
      </c>
      <c r="B39" s="511" t="s">
        <v>756</v>
      </c>
      <c r="C39" s="514">
        <f t="shared" si="2"/>
        <v>82354550</v>
      </c>
      <c r="D39" s="514">
        <f t="shared" si="2"/>
        <v>105490866</v>
      </c>
      <c r="E39" s="514">
        <f t="shared" si="3"/>
        <v>23136316</v>
      </c>
    </row>
    <row r="40" spans="1:5" s="506" customFormat="1" x14ac:dyDescent="0.2">
      <c r="A40" s="512">
        <v>5</v>
      </c>
      <c r="B40" s="511" t="s">
        <v>757</v>
      </c>
      <c r="C40" s="514">
        <f t="shared" si="2"/>
        <v>7671051</v>
      </c>
      <c r="D40" s="514">
        <f t="shared" si="2"/>
        <v>417238</v>
      </c>
      <c r="E40" s="514">
        <f t="shared" si="3"/>
        <v>-7253813</v>
      </c>
    </row>
    <row r="41" spans="1:5" s="506" customFormat="1" x14ac:dyDescent="0.2">
      <c r="A41" s="512">
        <v>6</v>
      </c>
      <c r="B41" s="511" t="s">
        <v>758</v>
      </c>
      <c r="C41" s="514">
        <f t="shared" si="2"/>
        <v>3331182</v>
      </c>
      <c r="D41" s="514">
        <f t="shared" si="2"/>
        <v>4069543</v>
      </c>
      <c r="E41" s="514">
        <f t="shared" si="3"/>
        <v>738361</v>
      </c>
    </row>
    <row r="42" spans="1:5" s="506" customFormat="1" x14ac:dyDescent="0.2">
      <c r="A42" s="512">
        <v>7</v>
      </c>
      <c r="B42" s="511" t="s">
        <v>759</v>
      </c>
      <c r="C42" s="514">
        <f t="shared" si="2"/>
        <v>4104059</v>
      </c>
      <c r="D42" s="514">
        <f t="shared" si="2"/>
        <v>3633307</v>
      </c>
      <c r="E42" s="514">
        <f t="shared" si="3"/>
        <v>-470752</v>
      </c>
    </row>
    <row r="43" spans="1:5" s="506" customFormat="1" x14ac:dyDescent="0.2">
      <c r="A43" s="512"/>
      <c r="B43" s="516" t="s">
        <v>760</v>
      </c>
      <c r="C43" s="517">
        <f>SUM(C37+C38+C41)</f>
        <v>294310836</v>
      </c>
      <c r="D43" s="517">
        <f>SUM(D37+D38+D41)</f>
        <v>316290665</v>
      </c>
      <c r="E43" s="517">
        <f t="shared" si="3"/>
        <v>21979829</v>
      </c>
    </row>
    <row r="44" spans="1:5" s="506" customFormat="1" x14ac:dyDescent="0.2">
      <c r="A44" s="512"/>
      <c r="B44" s="516" t="s">
        <v>698</v>
      </c>
      <c r="C44" s="517">
        <f>SUM(C36+C43)</f>
        <v>515222573</v>
      </c>
      <c r="D44" s="517">
        <f>SUM(D36+D43)</f>
        <v>533723134</v>
      </c>
      <c r="E44" s="517">
        <f t="shared" si="3"/>
        <v>18500561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624</v>
      </c>
      <c r="C47" s="513">
        <v>46796535</v>
      </c>
      <c r="D47" s="513">
        <v>48509473</v>
      </c>
      <c r="E47" s="514">
        <f t="shared" ref="E47:E55" si="4">D47-C47</f>
        <v>1712938</v>
      </c>
    </row>
    <row r="48" spans="1:5" s="506" customFormat="1" x14ac:dyDescent="0.2">
      <c r="A48" s="512">
        <v>2</v>
      </c>
      <c r="B48" s="511" t="s">
        <v>603</v>
      </c>
      <c r="C48" s="513">
        <v>71351724</v>
      </c>
      <c r="D48" s="515">
        <v>69374209</v>
      </c>
      <c r="E48" s="514">
        <f t="shared" si="4"/>
        <v>-1977515</v>
      </c>
    </row>
    <row r="49" spans="1:5" s="506" customFormat="1" x14ac:dyDescent="0.2">
      <c r="A49" s="512">
        <v>3</v>
      </c>
      <c r="B49" s="511" t="s">
        <v>749</v>
      </c>
      <c r="C49" s="513">
        <v>17360019</v>
      </c>
      <c r="D49" s="515">
        <v>20022325</v>
      </c>
      <c r="E49" s="514">
        <f t="shared" si="4"/>
        <v>2662306</v>
      </c>
    </row>
    <row r="50" spans="1:5" s="506" customFormat="1" x14ac:dyDescent="0.2">
      <c r="A50" s="512">
        <v>4</v>
      </c>
      <c r="B50" s="511" t="s">
        <v>114</v>
      </c>
      <c r="C50" s="513">
        <v>16885004</v>
      </c>
      <c r="D50" s="515">
        <v>19975514</v>
      </c>
      <c r="E50" s="514">
        <f t="shared" si="4"/>
        <v>3090510</v>
      </c>
    </row>
    <row r="51" spans="1:5" s="506" customFormat="1" x14ac:dyDescent="0.2">
      <c r="A51" s="512">
        <v>5</v>
      </c>
      <c r="B51" s="511" t="s">
        <v>716</v>
      </c>
      <c r="C51" s="513">
        <v>475015</v>
      </c>
      <c r="D51" s="515">
        <v>46811</v>
      </c>
      <c r="E51" s="514">
        <f t="shared" si="4"/>
        <v>-428204</v>
      </c>
    </row>
    <row r="52" spans="1:5" s="506" customFormat="1" x14ac:dyDescent="0.2">
      <c r="A52" s="512">
        <v>6</v>
      </c>
      <c r="B52" s="511" t="s">
        <v>416</v>
      </c>
      <c r="C52" s="513">
        <v>578732</v>
      </c>
      <c r="D52" s="515">
        <v>716506</v>
      </c>
      <c r="E52" s="514">
        <f t="shared" si="4"/>
        <v>137774</v>
      </c>
    </row>
    <row r="53" spans="1:5" s="506" customFormat="1" x14ac:dyDescent="0.2">
      <c r="A53" s="512">
        <v>7</v>
      </c>
      <c r="B53" s="511" t="s">
        <v>731</v>
      </c>
      <c r="C53" s="513">
        <v>159546</v>
      </c>
      <c r="D53" s="515">
        <v>230603</v>
      </c>
      <c r="E53" s="514">
        <f t="shared" si="4"/>
        <v>71057</v>
      </c>
    </row>
    <row r="54" spans="1:5" s="506" customFormat="1" x14ac:dyDescent="0.2">
      <c r="A54" s="512"/>
      <c r="B54" s="516" t="s">
        <v>762</v>
      </c>
      <c r="C54" s="517">
        <f>SUM(C48+C49+C52)</f>
        <v>89290475</v>
      </c>
      <c r="D54" s="517">
        <f>SUM(D48+D49+D52)</f>
        <v>90113040</v>
      </c>
      <c r="E54" s="517">
        <f t="shared" si="4"/>
        <v>822565</v>
      </c>
    </row>
    <row r="55" spans="1:5" s="506" customFormat="1" x14ac:dyDescent="0.2">
      <c r="A55" s="512"/>
      <c r="B55" s="516" t="s">
        <v>691</v>
      </c>
      <c r="C55" s="517">
        <f>SUM(C47+C54)</f>
        <v>136087010</v>
      </c>
      <c r="D55" s="517">
        <f>SUM(D47+D54)</f>
        <v>138622513</v>
      </c>
      <c r="E55" s="517">
        <f t="shared" si="4"/>
        <v>2535503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624</v>
      </c>
      <c r="C58" s="513">
        <v>66092946</v>
      </c>
      <c r="D58" s="513">
        <v>70434181</v>
      </c>
      <c r="E58" s="514">
        <f t="shared" ref="E58:E66" si="5">D58-C58</f>
        <v>4341235</v>
      </c>
    </row>
    <row r="59" spans="1:5" s="506" customFormat="1" x14ac:dyDescent="0.2">
      <c r="A59" s="512">
        <v>2</v>
      </c>
      <c r="B59" s="511" t="s">
        <v>603</v>
      </c>
      <c r="C59" s="513">
        <v>26108680</v>
      </c>
      <c r="D59" s="515">
        <v>31957894</v>
      </c>
      <c r="E59" s="514">
        <f t="shared" si="5"/>
        <v>5849214</v>
      </c>
    </row>
    <row r="60" spans="1:5" s="506" customFormat="1" x14ac:dyDescent="0.2">
      <c r="A60" s="512">
        <v>3</v>
      </c>
      <c r="B60" s="511" t="s">
        <v>749</v>
      </c>
      <c r="C60" s="513">
        <f>C61+C62</f>
        <v>14044481</v>
      </c>
      <c r="D60" s="515">
        <f>D61+D62</f>
        <v>18892611</v>
      </c>
      <c r="E60" s="514">
        <f t="shared" si="5"/>
        <v>4848130</v>
      </c>
    </row>
    <row r="61" spans="1:5" s="506" customFormat="1" x14ac:dyDescent="0.2">
      <c r="A61" s="512">
        <v>4</v>
      </c>
      <c r="B61" s="511" t="s">
        <v>114</v>
      </c>
      <c r="C61" s="513">
        <v>13205257</v>
      </c>
      <c r="D61" s="515">
        <v>18881757</v>
      </c>
      <c r="E61" s="514">
        <f t="shared" si="5"/>
        <v>5676500</v>
      </c>
    </row>
    <row r="62" spans="1:5" s="506" customFormat="1" x14ac:dyDescent="0.2">
      <c r="A62" s="512">
        <v>5</v>
      </c>
      <c r="B62" s="511" t="s">
        <v>716</v>
      </c>
      <c r="C62" s="513">
        <v>839224</v>
      </c>
      <c r="D62" s="515">
        <v>10854</v>
      </c>
      <c r="E62" s="514">
        <f t="shared" si="5"/>
        <v>-828370</v>
      </c>
    </row>
    <row r="63" spans="1:5" s="506" customFormat="1" x14ac:dyDescent="0.2">
      <c r="A63" s="512">
        <v>6</v>
      </c>
      <c r="B63" s="511" t="s">
        <v>416</v>
      </c>
      <c r="C63" s="513">
        <v>585727</v>
      </c>
      <c r="D63" s="515">
        <v>647617</v>
      </c>
      <c r="E63" s="514">
        <f t="shared" si="5"/>
        <v>61890</v>
      </c>
    </row>
    <row r="64" spans="1:5" s="506" customFormat="1" x14ac:dyDescent="0.2">
      <c r="A64" s="512">
        <v>7</v>
      </c>
      <c r="B64" s="511" t="s">
        <v>731</v>
      </c>
      <c r="C64" s="513">
        <v>317574</v>
      </c>
      <c r="D64" s="515">
        <v>342475</v>
      </c>
      <c r="E64" s="514">
        <f t="shared" si="5"/>
        <v>24901</v>
      </c>
    </row>
    <row r="65" spans="1:5" s="506" customFormat="1" x14ac:dyDescent="0.2">
      <c r="A65" s="512"/>
      <c r="B65" s="516" t="s">
        <v>764</v>
      </c>
      <c r="C65" s="517">
        <f>SUM(C59+C60+C63)</f>
        <v>40738888</v>
      </c>
      <c r="D65" s="517">
        <f>SUM(D59+D60+D63)</f>
        <v>51498122</v>
      </c>
      <c r="E65" s="517">
        <f t="shared" si="5"/>
        <v>10759234</v>
      </c>
    </row>
    <row r="66" spans="1:5" s="506" customFormat="1" x14ac:dyDescent="0.2">
      <c r="A66" s="512"/>
      <c r="B66" s="516" t="s">
        <v>697</v>
      </c>
      <c r="C66" s="517">
        <f>SUM(C58+C65)</f>
        <v>106831834</v>
      </c>
      <c r="D66" s="517">
        <f>SUM(D58+D65)</f>
        <v>121932303</v>
      </c>
      <c r="E66" s="517">
        <f t="shared" si="5"/>
        <v>15100469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753</v>
      </c>
      <c r="C69" s="514">
        <f t="shared" ref="C69:D75" si="6">C47+C58</f>
        <v>112889481</v>
      </c>
      <c r="D69" s="514">
        <f t="shared" si="6"/>
        <v>118943654</v>
      </c>
      <c r="E69" s="514">
        <f t="shared" ref="E69:E77" si="7">D69-C69</f>
        <v>6054173</v>
      </c>
    </row>
    <row r="70" spans="1:5" s="506" customFormat="1" x14ac:dyDescent="0.2">
      <c r="A70" s="512">
        <v>2</v>
      </c>
      <c r="B70" s="511" t="s">
        <v>754</v>
      </c>
      <c r="C70" s="514">
        <f t="shared" si="6"/>
        <v>97460404</v>
      </c>
      <c r="D70" s="514">
        <f t="shared" si="6"/>
        <v>101332103</v>
      </c>
      <c r="E70" s="514">
        <f t="shared" si="7"/>
        <v>3871699</v>
      </c>
    </row>
    <row r="71" spans="1:5" s="506" customFormat="1" x14ac:dyDescent="0.2">
      <c r="A71" s="512">
        <v>3</v>
      </c>
      <c r="B71" s="511" t="s">
        <v>755</v>
      </c>
      <c r="C71" s="514">
        <f t="shared" si="6"/>
        <v>31404500</v>
      </c>
      <c r="D71" s="514">
        <f t="shared" si="6"/>
        <v>38914936</v>
      </c>
      <c r="E71" s="514">
        <f t="shared" si="7"/>
        <v>7510436</v>
      </c>
    </row>
    <row r="72" spans="1:5" s="506" customFormat="1" x14ac:dyDescent="0.2">
      <c r="A72" s="512">
        <v>4</v>
      </c>
      <c r="B72" s="511" t="s">
        <v>756</v>
      </c>
      <c r="C72" s="514">
        <f t="shared" si="6"/>
        <v>30090261</v>
      </c>
      <c r="D72" s="514">
        <f t="shared" si="6"/>
        <v>38857271</v>
      </c>
      <c r="E72" s="514">
        <f t="shared" si="7"/>
        <v>8767010</v>
      </c>
    </row>
    <row r="73" spans="1:5" s="506" customFormat="1" x14ac:dyDescent="0.2">
      <c r="A73" s="512">
        <v>5</v>
      </c>
      <c r="B73" s="511" t="s">
        <v>757</v>
      </c>
      <c r="C73" s="514">
        <f t="shared" si="6"/>
        <v>1314239</v>
      </c>
      <c r="D73" s="514">
        <f t="shared" si="6"/>
        <v>57665</v>
      </c>
      <c r="E73" s="514">
        <f t="shared" si="7"/>
        <v>-1256574</v>
      </c>
    </row>
    <row r="74" spans="1:5" s="506" customFormat="1" x14ac:dyDescent="0.2">
      <c r="A74" s="512">
        <v>6</v>
      </c>
      <c r="B74" s="511" t="s">
        <v>758</v>
      </c>
      <c r="C74" s="514">
        <f t="shared" si="6"/>
        <v>1164459</v>
      </c>
      <c r="D74" s="514">
        <f t="shared" si="6"/>
        <v>1364123</v>
      </c>
      <c r="E74" s="514">
        <f t="shared" si="7"/>
        <v>199664</v>
      </c>
    </row>
    <row r="75" spans="1:5" s="506" customFormat="1" x14ac:dyDescent="0.2">
      <c r="A75" s="512">
        <v>7</v>
      </c>
      <c r="B75" s="511" t="s">
        <v>759</v>
      </c>
      <c r="C75" s="514">
        <f t="shared" si="6"/>
        <v>477120</v>
      </c>
      <c r="D75" s="514">
        <f t="shared" si="6"/>
        <v>573078</v>
      </c>
      <c r="E75" s="514">
        <f t="shared" si="7"/>
        <v>95958</v>
      </c>
    </row>
    <row r="76" spans="1:5" s="506" customFormat="1" x14ac:dyDescent="0.2">
      <c r="A76" s="512"/>
      <c r="B76" s="516" t="s">
        <v>765</v>
      </c>
      <c r="C76" s="517">
        <f>SUM(C70+C71+C74)</f>
        <v>130029363</v>
      </c>
      <c r="D76" s="517">
        <f>SUM(D70+D71+D74)</f>
        <v>141611162</v>
      </c>
      <c r="E76" s="517">
        <f t="shared" si="7"/>
        <v>11581799</v>
      </c>
    </row>
    <row r="77" spans="1:5" s="506" customFormat="1" x14ac:dyDescent="0.2">
      <c r="A77" s="512"/>
      <c r="B77" s="516" t="s">
        <v>699</v>
      </c>
      <c r="C77" s="517">
        <f>SUM(C69+C76)</f>
        <v>242918844</v>
      </c>
      <c r="D77" s="517">
        <f>SUM(D69+D76)</f>
        <v>260554816</v>
      </c>
      <c r="E77" s="517">
        <f t="shared" si="7"/>
        <v>17635972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624</v>
      </c>
      <c r="C83" s="523">
        <f t="shared" ref="C83:D89" si="8">IF(C$44=0,0,C14/C$44)</f>
        <v>0.18329809862581467</v>
      </c>
      <c r="D83" s="523">
        <f t="shared" si="8"/>
        <v>0.14942265740349189</v>
      </c>
      <c r="E83" s="523">
        <f t="shared" ref="E83:E91" si="9">D83-C83</f>
        <v>-3.3875441222322777E-2</v>
      </c>
    </row>
    <row r="84" spans="1:5" s="506" customFormat="1" x14ac:dyDescent="0.2">
      <c r="A84" s="512">
        <v>2</v>
      </c>
      <c r="B84" s="511" t="s">
        <v>603</v>
      </c>
      <c r="C84" s="523">
        <f t="shared" si="8"/>
        <v>0.23767610430376077</v>
      </c>
      <c r="D84" s="523">
        <f t="shared" si="8"/>
        <v>0.21622806029614597</v>
      </c>
      <c r="E84" s="523">
        <f t="shared" si="9"/>
        <v>-2.1448044007614797E-2</v>
      </c>
    </row>
    <row r="85" spans="1:5" s="506" customFormat="1" x14ac:dyDescent="0.2">
      <c r="A85" s="512">
        <v>3</v>
      </c>
      <c r="B85" s="511" t="s">
        <v>749</v>
      </c>
      <c r="C85" s="523">
        <f t="shared" si="8"/>
        <v>0.10211008747864003</v>
      </c>
      <c r="D85" s="523">
        <f t="shared" si="8"/>
        <v>0.11568912244302305</v>
      </c>
      <c r="E85" s="523">
        <f t="shared" si="9"/>
        <v>1.3579034964383022E-2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9.5485577647623762E-2</v>
      </c>
      <c r="D86" s="523">
        <f t="shared" si="8"/>
        <v>0.11518659785131218</v>
      </c>
      <c r="E86" s="523">
        <f t="shared" si="9"/>
        <v>1.9701020203688413E-2</v>
      </c>
    </row>
    <row r="87" spans="1:5" s="506" customFormat="1" x14ac:dyDescent="0.2">
      <c r="A87" s="512">
        <v>5</v>
      </c>
      <c r="B87" s="511" t="s">
        <v>716</v>
      </c>
      <c r="C87" s="523">
        <f t="shared" si="8"/>
        <v>6.6245098310162738E-3</v>
      </c>
      <c r="D87" s="523">
        <f t="shared" si="8"/>
        <v>5.0252459171087752E-4</v>
      </c>
      <c r="E87" s="523">
        <f t="shared" si="9"/>
        <v>-6.1219852393053966E-3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3.4081911236447321E-3</v>
      </c>
      <c r="D88" s="523">
        <f t="shared" si="8"/>
        <v>4.268812526308818E-3</v>
      </c>
      <c r="E88" s="523">
        <f t="shared" si="9"/>
        <v>8.6062140266408588E-4</v>
      </c>
    </row>
    <row r="89" spans="1:5" s="506" customFormat="1" x14ac:dyDescent="0.2">
      <c r="A89" s="512">
        <v>7</v>
      </c>
      <c r="B89" s="511" t="s">
        <v>731</v>
      </c>
      <c r="C89" s="523">
        <f t="shared" si="8"/>
        <v>2.5814707462361126E-3</v>
      </c>
      <c r="D89" s="523">
        <f t="shared" si="8"/>
        <v>2.2032471989494088E-3</v>
      </c>
      <c r="E89" s="523">
        <f t="shared" si="9"/>
        <v>-3.7822354728670382E-4</v>
      </c>
    </row>
    <row r="90" spans="1:5" s="506" customFormat="1" x14ac:dyDescent="0.2">
      <c r="A90" s="512"/>
      <c r="B90" s="516" t="s">
        <v>768</v>
      </c>
      <c r="C90" s="524">
        <f>SUM(C84+C85+C88)</f>
        <v>0.34319438290604548</v>
      </c>
      <c r="D90" s="524">
        <f>SUM(D84+D85+D88)</f>
        <v>0.33618599526547788</v>
      </c>
      <c r="E90" s="525">
        <f t="shared" si="9"/>
        <v>-7.0083876405676038E-3</v>
      </c>
    </row>
    <row r="91" spans="1:5" s="506" customFormat="1" x14ac:dyDescent="0.2">
      <c r="A91" s="512"/>
      <c r="B91" s="516" t="s">
        <v>769</v>
      </c>
      <c r="C91" s="524">
        <f>SUM(C83+C90)</f>
        <v>0.52649248153186012</v>
      </c>
      <c r="D91" s="524">
        <f>SUM(D83+D90)</f>
        <v>0.4856086526689698</v>
      </c>
      <c r="E91" s="525">
        <f t="shared" si="9"/>
        <v>-4.0883828862890326E-2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624</v>
      </c>
      <c r="C95" s="523">
        <f t="shared" ref="C95:D101" si="10">IF(C$44=0,0,C25/C$44)</f>
        <v>0.24547142463806609</v>
      </c>
      <c r="D95" s="523">
        <f t="shared" si="10"/>
        <v>0.25796547166344114</v>
      </c>
      <c r="E95" s="523">
        <f t="shared" ref="E95:E103" si="11">D95-C95</f>
        <v>1.2494047025375044E-2</v>
      </c>
    </row>
    <row r="96" spans="1:5" s="506" customFormat="1" x14ac:dyDescent="0.2">
      <c r="A96" s="512">
        <v>2</v>
      </c>
      <c r="B96" s="511" t="s">
        <v>603</v>
      </c>
      <c r="C96" s="523">
        <f t="shared" si="10"/>
        <v>0.15235737545994515</v>
      </c>
      <c r="D96" s="523">
        <f t="shared" si="10"/>
        <v>0.17032632503428266</v>
      </c>
      <c r="E96" s="523">
        <f t="shared" si="11"/>
        <v>1.7968949574337506E-2</v>
      </c>
    </row>
    <row r="97" spans="1:5" s="506" customFormat="1" x14ac:dyDescent="0.2">
      <c r="A97" s="512">
        <v>3</v>
      </c>
      <c r="B97" s="511" t="s">
        <v>749</v>
      </c>
      <c r="C97" s="523">
        <f t="shared" si="10"/>
        <v>7.2621389202992076E-2</v>
      </c>
      <c r="D97" s="523">
        <f t="shared" si="10"/>
        <v>8.2743542834701256E-2</v>
      </c>
      <c r="E97" s="523">
        <f t="shared" si="11"/>
        <v>1.012215363170918E-2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6.43570890283955E-2</v>
      </c>
      <c r="D98" s="523">
        <f t="shared" si="10"/>
        <v>8.24643175388384E-2</v>
      </c>
      <c r="E98" s="523">
        <f t="shared" si="11"/>
        <v>1.8107228510442899E-2</v>
      </c>
    </row>
    <row r="99" spans="1:5" s="506" customFormat="1" x14ac:dyDescent="0.2">
      <c r="A99" s="512">
        <v>5</v>
      </c>
      <c r="B99" s="511" t="s">
        <v>716</v>
      </c>
      <c r="C99" s="523">
        <f t="shared" si="10"/>
        <v>8.2643001745965824E-3</v>
      </c>
      <c r="D99" s="523">
        <f t="shared" si="10"/>
        <v>2.7922529586285464E-4</v>
      </c>
      <c r="E99" s="523">
        <f t="shared" si="11"/>
        <v>-7.9850748787337281E-3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3.0573291671364719E-3</v>
      </c>
      <c r="D100" s="523">
        <f t="shared" si="10"/>
        <v>3.3560077986051848E-3</v>
      </c>
      <c r="E100" s="523">
        <f t="shared" si="11"/>
        <v>2.9867863146871296E-4</v>
      </c>
    </row>
    <row r="101" spans="1:5" s="506" customFormat="1" x14ac:dyDescent="0.2">
      <c r="A101" s="512">
        <v>7</v>
      </c>
      <c r="B101" s="511" t="s">
        <v>731</v>
      </c>
      <c r="C101" s="523">
        <f t="shared" si="10"/>
        <v>5.3841332763190095E-3</v>
      </c>
      <c r="D101" s="523">
        <f t="shared" si="10"/>
        <v>4.604228004102217E-3</v>
      </c>
      <c r="E101" s="523">
        <f t="shared" si="11"/>
        <v>-7.7990527221679252E-4</v>
      </c>
    </row>
    <row r="102" spans="1:5" s="506" customFormat="1" x14ac:dyDescent="0.2">
      <c r="A102" s="512"/>
      <c r="B102" s="516" t="s">
        <v>771</v>
      </c>
      <c r="C102" s="524">
        <f>SUM(C96+C97+C100)</f>
        <v>0.2280360938300737</v>
      </c>
      <c r="D102" s="524">
        <f>SUM(D96+D97+D100)</f>
        <v>0.25642587566758906</v>
      </c>
      <c r="E102" s="525">
        <f t="shared" si="11"/>
        <v>2.8389781837515365E-2</v>
      </c>
    </row>
    <row r="103" spans="1:5" s="506" customFormat="1" x14ac:dyDescent="0.2">
      <c r="A103" s="512"/>
      <c r="B103" s="516" t="s">
        <v>772</v>
      </c>
      <c r="C103" s="524">
        <f>SUM(C95+C102)</f>
        <v>0.47350751846813977</v>
      </c>
      <c r="D103" s="524">
        <f>SUM(D95+D102)</f>
        <v>0.5143913473310302</v>
      </c>
      <c r="E103" s="525">
        <f t="shared" si="11"/>
        <v>4.0883828862890437E-2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773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624</v>
      </c>
      <c r="C109" s="523">
        <f t="shared" ref="C109:D115" si="12">IF(C$77=0,0,C47/C$77)</f>
        <v>0.19264267122891462</v>
      </c>
      <c r="D109" s="523">
        <f t="shared" si="12"/>
        <v>0.18617761031905086</v>
      </c>
      <c r="E109" s="523">
        <f t="shared" ref="E109:E117" si="13">D109-C109</f>
        <v>-6.4650609098637624E-3</v>
      </c>
    </row>
    <row r="110" spans="1:5" s="506" customFormat="1" x14ac:dyDescent="0.2">
      <c r="A110" s="512">
        <v>2</v>
      </c>
      <c r="B110" s="511" t="s">
        <v>603</v>
      </c>
      <c r="C110" s="523">
        <f t="shared" si="12"/>
        <v>0.2937265912561316</v>
      </c>
      <c r="D110" s="523">
        <f t="shared" si="12"/>
        <v>0.26625571564948547</v>
      </c>
      <c r="E110" s="523">
        <f t="shared" si="13"/>
        <v>-2.7470875606646128E-2</v>
      </c>
    </row>
    <row r="111" spans="1:5" s="506" customFormat="1" x14ac:dyDescent="0.2">
      <c r="A111" s="512">
        <v>3</v>
      </c>
      <c r="B111" s="511" t="s">
        <v>749</v>
      </c>
      <c r="C111" s="523">
        <f t="shared" si="12"/>
        <v>7.1464274710610759E-2</v>
      </c>
      <c r="D111" s="523">
        <f t="shared" si="12"/>
        <v>7.6844962251628457E-2</v>
      </c>
      <c r="E111" s="523">
        <f t="shared" si="13"/>
        <v>5.380687541017698E-3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6.9508827400808812E-2</v>
      </c>
      <c r="D112" s="523">
        <f t="shared" si="12"/>
        <v>7.6665303319513392E-2</v>
      </c>
      <c r="E112" s="523">
        <f t="shared" si="13"/>
        <v>7.1564759187045801E-3</v>
      </c>
    </row>
    <row r="113" spans="1:5" s="506" customFormat="1" x14ac:dyDescent="0.2">
      <c r="A113" s="512">
        <v>5</v>
      </c>
      <c r="B113" s="511" t="s">
        <v>716</v>
      </c>
      <c r="C113" s="523">
        <f t="shared" si="12"/>
        <v>1.9554473098019518E-3</v>
      </c>
      <c r="D113" s="523">
        <f t="shared" si="12"/>
        <v>1.7965893211507555E-4</v>
      </c>
      <c r="E113" s="523">
        <f t="shared" si="13"/>
        <v>-1.7757883776868763E-3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2.3824088344500767E-3</v>
      </c>
      <c r="D114" s="523">
        <f t="shared" si="12"/>
        <v>2.7499242232390747E-3</v>
      </c>
      <c r="E114" s="523">
        <f t="shared" si="13"/>
        <v>3.6751538878899807E-4</v>
      </c>
    </row>
    <row r="115" spans="1:5" s="506" customFormat="1" x14ac:dyDescent="0.2">
      <c r="A115" s="512">
        <v>7</v>
      </c>
      <c r="B115" s="511" t="s">
        <v>731</v>
      </c>
      <c r="C115" s="523">
        <f t="shared" si="12"/>
        <v>6.5678725195975323E-4</v>
      </c>
      <c r="D115" s="523">
        <f t="shared" si="12"/>
        <v>8.8504600889818136E-4</v>
      </c>
      <c r="E115" s="523">
        <f t="shared" si="13"/>
        <v>2.2825875693842812E-4</v>
      </c>
    </row>
    <row r="116" spans="1:5" s="506" customFormat="1" x14ac:dyDescent="0.2">
      <c r="A116" s="512"/>
      <c r="B116" s="516" t="s">
        <v>768</v>
      </c>
      <c r="C116" s="524">
        <f>SUM(C110+C111+C114)</f>
        <v>0.3675732748011924</v>
      </c>
      <c r="D116" s="524">
        <f>SUM(D110+D111+D114)</f>
        <v>0.34585060212435298</v>
      </c>
      <c r="E116" s="525">
        <f t="shared" si="13"/>
        <v>-2.1722672676839416E-2</v>
      </c>
    </row>
    <row r="117" spans="1:5" s="506" customFormat="1" x14ac:dyDescent="0.2">
      <c r="A117" s="512"/>
      <c r="B117" s="516" t="s">
        <v>769</v>
      </c>
      <c r="C117" s="524">
        <f>SUM(C109+C116)</f>
        <v>0.56021594603010705</v>
      </c>
      <c r="D117" s="524">
        <f>SUM(D109+D116)</f>
        <v>0.53202821244340381</v>
      </c>
      <c r="E117" s="525">
        <f t="shared" si="13"/>
        <v>-2.8187733586703234E-2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624</v>
      </c>
      <c r="C121" s="523">
        <f t="shared" ref="C121:D127" si="14">IF(C$77=0,0,C58/C$77)</f>
        <v>0.2720782995328267</v>
      </c>
      <c r="D121" s="523">
        <f t="shared" si="14"/>
        <v>0.27032385001089365</v>
      </c>
      <c r="E121" s="523">
        <f t="shared" ref="E121:E129" si="15">D121-C121</f>
        <v>-1.7544495219330436E-3</v>
      </c>
    </row>
    <row r="122" spans="1:5" s="506" customFormat="1" x14ac:dyDescent="0.2">
      <c r="A122" s="512">
        <v>2</v>
      </c>
      <c r="B122" s="511" t="s">
        <v>603</v>
      </c>
      <c r="C122" s="523">
        <f t="shared" si="14"/>
        <v>0.10747902291186599</v>
      </c>
      <c r="D122" s="523">
        <f t="shared" si="14"/>
        <v>0.12265324621748692</v>
      </c>
      <c r="E122" s="523">
        <f t="shared" si="15"/>
        <v>1.5174223305620932E-2</v>
      </c>
    </row>
    <row r="123" spans="1:5" s="506" customFormat="1" x14ac:dyDescent="0.2">
      <c r="A123" s="512">
        <v>3</v>
      </c>
      <c r="B123" s="511" t="s">
        <v>749</v>
      </c>
      <c r="C123" s="523">
        <f t="shared" si="14"/>
        <v>5.7815527065491881E-2</v>
      </c>
      <c r="D123" s="523">
        <f t="shared" si="14"/>
        <v>7.2509160605958634E-2</v>
      </c>
      <c r="E123" s="523">
        <f t="shared" si="15"/>
        <v>1.4693633540466752E-2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5.4360776556305362E-2</v>
      </c>
      <c r="D124" s="523">
        <f t="shared" si="14"/>
        <v>7.2467503344862377E-2</v>
      </c>
      <c r="E124" s="523">
        <f t="shared" si="15"/>
        <v>1.8106726788557015E-2</v>
      </c>
    </row>
    <row r="125" spans="1:5" s="506" customFormat="1" x14ac:dyDescent="0.2">
      <c r="A125" s="512">
        <v>5</v>
      </c>
      <c r="B125" s="511" t="s">
        <v>716</v>
      </c>
      <c r="C125" s="523">
        <f t="shared" si="14"/>
        <v>3.4547505091865167E-3</v>
      </c>
      <c r="D125" s="523">
        <f t="shared" si="14"/>
        <v>4.1657261096260068E-5</v>
      </c>
      <c r="E125" s="523">
        <f t="shared" si="15"/>
        <v>-3.4130932480902565E-3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2.4112044597083626E-3</v>
      </c>
      <c r="D126" s="523">
        <f t="shared" si="14"/>
        <v>2.4855307222569241E-3</v>
      </c>
      <c r="E126" s="523">
        <f t="shared" si="15"/>
        <v>7.4326262548561443E-5</v>
      </c>
    </row>
    <row r="127" spans="1:5" s="506" customFormat="1" x14ac:dyDescent="0.2">
      <c r="A127" s="512">
        <v>7</v>
      </c>
      <c r="B127" s="511" t="s">
        <v>731</v>
      </c>
      <c r="C127" s="523">
        <f t="shared" si="14"/>
        <v>1.3073255033273581E-3</v>
      </c>
      <c r="D127" s="523">
        <f t="shared" si="14"/>
        <v>1.3144067158597445E-3</v>
      </c>
      <c r="E127" s="523">
        <f t="shared" si="15"/>
        <v>7.0812125323863658E-6</v>
      </c>
    </row>
    <row r="128" spans="1:5" s="506" customFormat="1" x14ac:dyDescent="0.2">
      <c r="A128" s="512"/>
      <c r="B128" s="516" t="s">
        <v>771</v>
      </c>
      <c r="C128" s="524">
        <f>SUM(C122+C123+C126)</f>
        <v>0.16770575443706623</v>
      </c>
      <c r="D128" s="524">
        <f>SUM(D122+D123+D126)</f>
        <v>0.19764793754570248</v>
      </c>
      <c r="E128" s="525">
        <f t="shared" si="15"/>
        <v>2.994218310863625E-2</v>
      </c>
    </row>
    <row r="129" spans="1:5" s="506" customFormat="1" x14ac:dyDescent="0.2">
      <c r="A129" s="512"/>
      <c r="B129" s="516" t="s">
        <v>772</v>
      </c>
      <c r="C129" s="524">
        <f>SUM(C121+C128)</f>
        <v>0.43978405396989295</v>
      </c>
      <c r="D129" s="524">
        <f>SUM(D121+D128)</f>
        <v>0.46797178755659613</v>
      </c>
      <c r="E129" s="525">
        <f t="shared" si="15"/>
        <v>2.8187733586703179E-2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624</v>
      </c>
      <c r="C137" s="530">
        <v>3604</v>
      </c>
      <c r="D137" s="530">
        <v>3328</v>
      </c>
      <c r="E137" s="531">
        <f t="shared" ref="E137:E145" si="16">D137-C137</f>
        <v>-276</v>
      </c>
    </row>
    <row r="138" spans="1:5" s="506" customFormat="1" x14ac:dyDescent="0.2">
      <c r="A138" s="512">
        <v>2</v>
      </c>
      <c r="B138" s="511" t="s">
        <v>603</v>
      </c>
      <c r="C138" s="530">
        <v>3950</v>
      </c>
      <c r="D138" s="530">
        <v>3811</v>
      </c>
      <c r="E138" s="531">
        <f t="shared" si="16"/>
        <v>-139</v>
      </c>
    </row>
    <row r="139" spans="1:5" s="506" customFormat="1" x14ac:dyDescent="0.2">
      <c r="A139" s="512">
        <v>3</v>
      </c>
      <c r="B139" s="511" t="s">
        <v>749</v>
      </c>
      <c r="C139" s="530">
        <f>C140+C141</f>
        <v>1929</v>
      </c>
      <c r="D139" s="530">
        <f>D140+D141</f>
        <v>1881</v>
      </c>
      <c r="E139" s="531">
        <f t="shared" si="16"/>
        <v>-48</v>
      </c>
    </row>
    <row r="140" spans="1:5" s="506" customFormat="1" x14ac:dyDescent="0.2">
      <c r="A140" s="512">
        <v>4</v>
      </c>
      <c r="B140" s="511" t="s">
        <v>114</v>
      </c>
      <c r="C140" s="530">
        <v>1757</v>
      </c>
      <c r="D140" s="530">
        <v>1872</v>
      </c>
      <c r="E140" s="531">
        <f t="shared" si="16"/>
        <v>115</v>
      </c>
    </row>
    <row r="141" spans="1:5" s="506" customFormat="1" x14ac:dyDescent="0.2">
      <c r="A141" s="512">
        <v>5</v>
      </c>
      <c r="B141" s="511" t="s">
        <v>716</v>
      </c>
      <c r="C141" s="530">
        <v>172</v>
      </c>
      <c r="D141" s="530">
        <v>9</v>
      </c>
      <c r="E141" s="531">
        <f t="shared" si="16"/>
        <v>-163</v>
      </c>
    </row>
    <row r="142" spans="1:5" s="506" customFormat="1" x14ac:dyDescent="0.2">
      <c r="A142" s="512">
        <v>6</v>
      </c>
      <c r="B142" s="511" t="s">
        <v>416</v>
      </c>
      <c r="C142" s="530">
        <v>84</v>
      </c>
      <c r="D142" s="530">
        <v>62</v>
      </c>
      <c r="E142" s="531">
        <f t="shared" si="16"/>
        <v>-22</v>
      </c>
    </row>
    <row r="143" spans="1:5" s="506" customFormat="1" x14ac:dyDescent="0.2">
      <c r="A143" s="512">
        <v>7</v>
      </c>
      <c r="B143" s="511" t="s">
        <v>731</v>
      </c>
      <c r="C143" s="530">
        <v>81</v>
      </c>
      <c r="D143" s="530">
        <v>50</v>
      </c>
      <c r="E143" s="531">
        <f t="shared" si="16"/>
        <v>-31</v>
      </c>
    </row>
    <row r="144" spans="1:5" s="506" customFormat="1" x14ac:dyDescent="0.2">
      <c r="A144" s="512"/>
      <c r="B144" s="516" t="s">
        <v>779</v>
      </c>
      <c r="C144" s="532">
        <f>SUM(C138+C139+C142)</f>
        <v>5963</v>
      </c>
      <c r="D144" s="532">
        <f>SUM(D138+D139+D142)</f>
        <v>5754</v>
      </c>
      <c r="E144" s="533">
        <f t="shared" si="16"/>
        <v>-209</v>
      </c>
    </row>
    <row r="145" spans="1:5" s="506" customFormat="1" x14ac:dyDescent="0.2">
      <c r="A145" s="512"/>
      <c r="B145" s="516" t="s">
        <v>693</v>
      </c>
      <c r="C145" s="532">
        <f>SUM(C137+C144)</f>
        <v>9567</v>
      </c>
      <c r="D145" s="532">
        <f>SUM(D137+D144)</f>
        <v>9082</v>
      </c>
      <c r="E145" s="533">
        <f t="shared" si="16"/>
        <v>-485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624</v>
      </c>
      <c r="C149" s="534">
        <v>18134</v>
      </c>
      <c r="D149" s="534">
        <v>17563</v>
      </c>
      <c r="E149" s="531">
        <f t="shared" ref="E149:E157" si="17">D149-C149</f>
        <v>-571</v>
      </c>
    </row>
    <row r="150" spans="1:5" s="506" customFormat="1" x14ac:dyDescent="0.2">
      <c r="A150" s="512">
        <v>2</v>
      </c>
      <c r="B150" s="511" t="s">
        <v>603</v>
      </c>
      <c r="C150" s="534">
        <v>20358</v>
      </c>
      <c r="D150" s="534">
        <v>19382</v>
      </c>
      <c r="E150" s="531">
        <f t="shared" si="17"/>
        <v>-976</v>
      </c>
    </row>
    <row r="151" spans="1:5" s="506" customFormat="1" x14ac:dyDescent="0.2">
      <c r="A151" s="512">
        <v>3</v>
      </c>
      <c r="B151" s="511" t="s">
        <v>749</v>
      </c>
      <c r="C151" s="534">
        <f>C152+C153</f>
        <v>12434</v>
      </c>
      <c r="D151" s="534">
        <f>D152+D153</f>
        <v>14140</v>
      </c>
      <c r="E151" s="531">
        <f t="shared" si="17"/>
        <v>1706</v>
      </c>
    </row>
    <row r="152" spans="1:5" s="506" customFormat="1" x14ac:dyDescent="0.2">
      <c r="A152" s="512">
        <v>4</v>
      </c>
      <c r="B152" s="511" t="s">
        <v>114</v>
      </c>
      <c r="C152" s="534">
        <v>11690</v>
      </c>
      <c r="D152" s="534">
        <v>14060</v>
      </c>
      <c r="E152" s="531">
        <f t="shared" si="17"/>
        <v>2370</v>
      </c>
    </row>
    <row r="153" spans="1:5" s="506" customFormat="1" x14ac:dyDescent="0.2">
      <c r="A153" s="512">
        <v>5</v>
      </c>
      <c r="B153" s="511" t="s">
        <v>716</v>
      </c>
      <c r="C153" s="535">
        <v>744</v>
      </c>
      <c r="D153" s="534">
        <v>80</v>
      </c>
      <c r="E153" s="531">
        <f t="shared" si="17"/>
        <v>-664</v>
      </c>
    </row>
    <row r="154" spans="1:5" s="506" customFormat="1" x14ac:dyDescent="0.2">
      <c r="A154" s="512">
        <v>6</v>
      </c>
      <c r="B154" s="511" t="s">
        <v>416</v>
      </c>
      <c r="C154" s="534">
        <v>304</v>
      </c>
      <c r="D154" s="534">
        <v>529</v>
      </c>
      <c r="E154" s="531">
        <f t="shared" si="17"/>
        <v>225</v>
      </c>
    </row>
    <row r="155" spans="1:5" s="506" customFormat="1" x14ac:dyDescent="0.2">
      <c r="A155" s="512">
        <v>7</v>
      </c>
      <c r="B155" s="511" t="s">
        <v>731</v>
      </c>
      <c r="C155" s="534">
        <v>295</v>
      </c>
      <c r="D155" s="534">
        <v>234</v>
      </c>
      <c r="E155" s="531">
        <f t="shared" si="17"/>
        <v>-61</v>
      </c>
    </row>
    <row r="156" spans="1:5" s="506" customFormat="1" x14ac:dyDescent="0.2">
      <c r="A156" s="512"/>
      <c r="B156" s="516" t="s">
        <v>780</v>
      </c>
      <c r="C156" s="532">
        <f>SUM(C150+C151+C154)</f>
        <v>33096</v>
      </c>
      <c r="D156" s="532">
        <f>SUM(D150+D151+D154)</f>
        <v>34051</v>
      </c>
      <c r="E156" s="533">
        <f t="shared" si="17"/>
        <v>955</v>
      </c>
    </row>
    <row r="157" spans="1:5" s="506" customFormat="1" x14ac:dyDescent="0.2">
      <c r="A157" s="512"/>
      <c r="B157" s="516" t="s">
        <v>781</v>
      </c>
      <c r="C157" s="532">
        <f>SUM(C149+C156)</f>
        <v>51230</v>
      </c>
      <c r="D157" s="532">
        <f>SUM(D149+D156)</f>
        <v>51614</v>
      </c>
      <c r="E157" s="533">
        <f t="shared" si="17"/>
        <v>384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624</v>
      </c>
      <c r="C161" s="536">
        <f t="shared" ref="C161:D169" si="18">IF(C137=0,0,C149/C137)</f>
        <v>5.0316315205327413</v>
      </c>
      <c r="D161" s="536">
        <f t="shared" si="18"/>
        <v>5.27734375</v>
      </c>
      <c r="E161" s="537">
        <f t="shared" ref="E161:E169" si="19">D161-C161</f>
        <v>0.24571222946725868</v>
      </c>
    </row>
    <row r="162" spans="1:5" s="506" customFormat="1" x14ac:dyDescent="0.2">
      <c r="A162" s="512">
        <v>2</v>
      </c>
      <c r="B162" s="511" t="s">
        <v>603</v>
      </c>
      <c r="C162" s="536">
        <f t="shared" si="18"/>
        <v>5.1539240506329111</v>
      </c>
      <c r="D162" s="536">
        <f t="shared" si="18"/>
        <v>5.085804250852795</v>
      </c>
      <c r="E162" s="537">
        <f t="shared" si="19"/>
        <v>-6.8119799780116175E-2</v>
      </c>
    </row>
    <row r="163" spans="1:5" s="506" customFormat="1" x14ac:dyDescent="0.2">
      <c r="A163" s="512">
        <v>3</v>
      </c>
      <c r="B163" s="511" t="s">
        <v>749</v>
      </c>
      <c r="C163" s="536">
        <f t="shared" si="18"/>
        <v>6.4458268532918614</v>
      </c>
      <c r="D163" s="536">
        <f t="shared" si="18"/>
        <v>7.5172780435938327</v>
      </c>
      <c r="E163" s="537">
        <f t="shared" si="19"/>
        <v>1.0714511903019712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6.6533864541832672</v>
      </c>
      <c r="D164" s="536">
        <f t="shared" si="18"/>
        <v>7.5106837606837606</v>
      </c>
      <c r="E164" s="537">
        <f t="shared" si="19"/>
        <v>0.85729730650049341</v>
      </c>
    </row>
    <row r="165" spans="1:5" s="506" customFormat="1" x14ac:dyDescent="0.2">
      <c r="A165" s="512">
        <v>5</v>
      </c>
      <c r="B165" s="511" t="s">
        <v>716</v>
      </c>
      <c r="C165" s="536">
        <f t="shared" si="18"/>
        <v>4.3255813953488369</v>
      </c>
      <c r="D165" s="536">
        <f t="shared" si="18"/>
        <v>8.8888888888888893</v>
      </c>
      <c r="E165" s="537">
        <f t="shared" si="19"/>
        <v>4.5633074935400524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3.6190476190476191</v>
      </c>
      <c r="D166" s="536">
        <f t="shared" si="18"/>
        <v>8.5322580645161299</v>
      </c>
      <c r="E166" s="537">
        <f t="shared" si="19"/>
        <v>4.9132104454685113</v>
      </c>
    </row>
    <row r="167" spans="1:5" s="506" customFormat="1" x14ac:dyDescent="0.2">
      <c r="A167" s="512">
        <v>7</v>
      </c>
      <c r="B167" s="511" t="s">
        <v>731</v>
      </c>
      <c r="C167" s="536">
        <f t="shared" si="18"/>
        <v>3.6419753086419755</v>
      </c>
      <c r="D167" s="536">
        <f t="shared" si="18"/>
        <v>4.68</v>
      </c>
      <c r="E167" s="537">
        <f t="shared" si="19"/>
        <v>1.0380246913580242</v>
      </c>
    </row>
    <row r="168" spans="1:5" s="506" customFormat="1" x14ac:dyDescent="0.2">
      <c r="A168" s="512"/>
      <c r="B168" s="516" t="s">
        <v>783</v>
      </c>
      <c r="C168" s="538">
        <f t="shared" si="18"/>
        <v>5.5502263961093412</v>
      </c>
      <c r="D168" s="538">
        <f t="shared" si="18"/>
        <v>5.9177963156065347</v>
      </c>
      <c r="E168" s="539">
        <f t="shared" si="19"/>
        <v>0.36756991949719353</v>
      </c>
    </row>
    <row r="169" spans="1:5" s="506" customFormat="1" x14ac:dyDescent="0.2">
      <c r="A169" s="512"/>
      <c r="B169" s="516" t="s">
        <v>717</v>
      </c>
      <c r="C169" s="538">
        <f t="shared" si="18"/>
        <v>5.3548656841225046</v>
      </c>
      <c r="D169" s="538">
        <f t="shared" si="18"/>
        <v>5.683109447258313</v>
      </c>
      <c r="E169" s="539">
        <f t="shared" si="19"/>
        <v>0.32824376313580839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624</v>
      </c>
      <c r="C173" s="541">
        <f t="shared" ref="C173:D181" si="20">IF(C137=0,0,C203/C137)</f>
        <v>1.4117999999999999</v>
      </c>
      <c r="D173" s="541">
        <f t="shared" si="20"/>
        <v>1.4120999999999999</v>
      </c>
      <c r="E173" s="542">
        <f t="shared" ref="E173:E181" si="21">D173-C173</f>
        <v>2.9999999999996696E-4</v>
      </c>
    </row>
    <row r="174" spans="1:5" s="506" customFormat="1" x14ac:dyDescent="0.2">
      <c r="A174" s="512">
        <v>2</v>
      </c>
      <c r="B174" s="511" t="s">
        <v>603</v>
      </c>
      <c r="C174" s="541">
        <f t="shared" si="20"/>
        <v>1.6328</v>
      </c>
      <c r="D174" s="541">
        <f t="shared" si="20"/>
        <v>1.5492999999999999</v>
      </c>
      <c r="E174" s="542">
        <f t="shared" si="21"/>
        <v>-8.350000000000013E-2</v>
      </c>
    </row>
    <row r="175" spans="1:5" s="506" customFormat="1" x14ac:dyDescent="0.2">
      <c r="A175" s="512">
        <v>0</v>
      </c>
      <c r="B175" s="511" t="s">
        <v>749</v>
      </c>
      <c r="C175" s="541">
        <f t="shared" si="20"/>
        <v>1.3541499222395024</v>
      </c>
      <c r="D175" s="541">
        <f t="shared" si="20"/>
        <v>1.3355224880382774</v>
      </c>
      <c r="E175" s="542">
        <f t="shared" si="21"/>
        <v>-1.8627434201224924E-2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1.3660000000000001</v>
      </c>
      <c r="D176" s="541">
        <f t="shared" si="20"/>
        <v>1.3310999999999999</v>
      </c>
      <c r="E176" s="542">
        <f t="shared" si="21"/>
        <v>-3.4900000000000153E-2</v>
      </c>
    </row>
    <row r="177" spans="1:5" s="506" customFormat="1" x14ac:dyDescent="0.2">
      <c r="A177" s="512">
        <v>5</v>
      </c>
      <c r="B177" s="511" t="s">
        <v>716</v>
      </c>
      <c r="C177" s="541">
        <f t="shared" si="20"/>
        <v>1.2331000000000001</v>
      </c>
      <c r="D177" s="541">
        <f t="shared" si="20"/>
        <v>2.2553999999999998</v>
      </c>
      <c r="E177" s="542">
        <f t="shared" si="21"/>
        <v>1.0222999999999998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1.4528000000000001</v>
      </c>
      <c r="D178" s="541">
        <f t="shared" si="20"/>
        <v>1.5218</v>
      </c>
      <c r="E178" s="542">
        <f t="shared" si="21"/>
        <v>6.899999999999995E-2</v>
      </c>
    </row>
    <row r="179" spans="1:5" s="506" customFormat="1" x14ac:dyDescent="0.2">
      <c r="A179" s="512">
        <v>7</v>
      </c>
      <c r="B179" s="511" t="s">
        <v>731</v>
      </c>
      <c r="C179" s="541">
        <f t="shared" si="20"/>
        <v>1.0525</v>
      </c>
      <c r="D179" s="541">
        <f t="shared" si="20"/>
        <v>1.3480000000000001</v>
      </c>
      <c r="E179" s="542">
        <f t="shared" si="21"/>
        <v>0.2955000000000001</v>
      </c>
    </row>
    <row r="180" spans="1:5" s="506" customFormat="1" x14ac:dyDescent="0.2">
      <c r="A180" s="512"/>
      <c r="B180" s="516" t="s">
        <v>785</v>
      </c>
      <c r="C180" s="543">
        <f t="shared" si="20"/>
        <v>1.5401224886801947</v>
      </c>
      <c r="D180" s="543">
        <f t="shared" si="20"/>
        <v>1.4791191692735488</v>
      </c>
      <c r="E180" s="544">
        <f t="shared" si="21"/>
        <v>-6.1003319406645939E-2</v>
      </c>
    </row>
    <row r="181" spans="1:5" s="506" customFormat="1" x14ac:dyDescent="0.2">
      <c r="A181" s="512"/>
      <c r="B181" s="516" t="s">
        <v>694</v>
      </c>
      <c r="C181" s="543">
        <f t="shared" si="20"/>
        <v>1.491781917006376</v>
      </c>
      <c r="D181" s="543">
        <f t="shared" si="20"/>
        <v>1.4545607245100196</v>
      </c>
      <c r="E181" s="544">
        <f t="shared" si="21"/>
        <v>-3.7221192496356359E-2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787</v>
      </c>
      <c r="C185" s="513">
        <v>216807678</v>
      </c>
      <c r="D185" s="513">
        <v>213799162</v>
      </c>
      <c r="E185" s="514">
        <f>D185-C185</f>
        <v>-3008516</v>
      </c>
    </row>
    <row r="186" spans="1:5" s="506" customFormat="1" ht="25.5" x14ac:dyDescent="0.2">
      <c r="A186" s="512">
        <v>2</v>
      </c>
      <c r="B186" s="511" t="s">
        <v>788</v>
      </c>
      <c r="C186" s="513">
        <v>116704450</v>
      </c>
      <c r="D186" s="513">
        <v>120391584</v>
      </c>
      <c r="E186" s="514">
        <f>D186-C186</f>
        <v>3687134</v>
      </c>
    </row>
    <row r="187" spans="1:5" s="506" customFormat="1" x14ac:dyDescent="0.2">
      <c r="A187" s="512"/>
      <c r="B187" s="511" t="s">
        <v>636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720</v>
      </c>
      <c r="C188" s="546">
        <f>+C185-C186</f>
        <v>100103228</v>
      </c>
      <c r="D188" s="546">
        <f>+D185-D186</f>
        <v>93407578</v>
      </c>
      <c r="E188" s="514">
        <f t="shared" ref="E188:E197" si="22">D188-C188</f>
        <v>-6695650</v>
      </c>
    </row>
    <row r="189" spans="1:5" s="506" customFormat="1" x14ac:dyDescent="0.2">
      <c r="A189" s="512">
        <v>4</v>
      </c>
      <c r="B189" s="511" t="s">
        <v>638</v>
      </c>
      <c r="C189" s="547">
        <f>IF(C185=0,0,+C188/C185)</f>
        <v>0.4617144047822882</v>
      </c>
      <c r="D189" s="547">
        <f>IF(D185=0,0,+D188/D185)</f>
        <v>0.43689403235359736</v>
      </c>
      <c r="E189" s="523">
        <f t="shared" si="22"/>
        <v>-2.482037242869084E-2</v>
      </c>
    </row>
    <row r="190" spans="1:5" s="506" customFormat="1" x14ac:dyDescent="0.2">
      <c r="A190" s="512">
        <v>5</v>
      </c>
      <c r="B190" s="511" t="s">
        <v>735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721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789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790</v>
      </c>
      <c r="C193" s="513">
        <v>1104104</v>
      </c>
      <c r="D193" s="513">
        <v>873533</v>
      </c>
      <c r="E193" s="546">
        <f t="shared" si="22"/>
        <v>-230571</v>
      </c>
    </row>
    <row r="194" spans="1:5" s="506" customFormat="1" x14ac:dyDescent="0.2">
      <c r="A194" s="512">
        <v>9</v>
      </c>
      <c r="B194" s="511" t="s">
        <v>791</v>
      </c>
      <c r="C194" s="513">
        <v>6859997</v>
      </c>
      <c r="D194" s="513">
        <v>2513627</v>
      </c>
      <c r="E194" s="546">
        <f t="shared" si="22"/>
        <v>-4346370</v>
      </c>
    </row>
    <row r="195" spans="1:5" s="506" customFormat="1" x14ac:dyDescent="0.2">
      <c r="A195" s="512">
        <v>10</v>
      </c>
      <c r="B195" s="511" t="s">
        <v>792</v>
      </c>
      <c r="C195" s="513">
        <f>+C193+C194</f>
        <v>7964101</v>
      </c>
      <c r="D195" s="513">
        <f>+D193+D194</f>
        <v>3387160</v>
      </c>
      <c r="E195" s="549">
        <f t="shared" si="22"/>
        <v>-4576941</v>
      </c>
    </row>
    <row r="196" spans="1:5" s="506" customFormat="1" x14ac:dyDescent="0.2">
      <c r="A196" s="512">
        <v>11</v>
      </c>
      <c r="B196" s="511" t="s">
        <v>793</v>
      </c>
      <c r="C196" s="513">
        <v>216807678</v>
      </c>
      <c r="D196" s="513">
        <v>213799162</v>
      </c>
      <c r="E196" s="546">
        <f t="shared" si="22"/>
        <v>-3008516</v>
      </c>
    </row>
    <row r="197" spans="1:5" s="506" customFormat="1" x14ac:dyDescent="0.2">
      <c r="A197" s="512">
        <v>12</v>
      </c>
      <c r="B197" s="511" t="s">
        <v>678</v>
      </c>
      <c r="C197" s="513">
        <v>252835619</v>
      </c>
      <c r="D197" s="513">
        <v>262964301</v>
      </c>
      <c r="E197" s="546">
        <f t="shared" si="22"/>
        <v>10128682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624</v>
      </c>
      <c r="C203" s="553">
        <v>5088.1271999999999</v>
      </c>
      <c r="D203" s="553">
        <v>4699.4687999999996</v>
      </c>
      <c r="E203" s="554">
        <f t="shared" ref="E203:E211" si="23">D203-C203</f>
        <v>-388.65840000000026</v>
      </c>
    </row>
    <row r="204" spans="1:5" s="506" customFormat="1" x14ac:dyDescent="0.2">
      <c r="A204" s="512">
        <v>2</v>
      </c>
      <c r="B204" s="511" t="s">
        <v>603</v>
      </c>
      <c r="C204" s="553">
        <v>6449.56</v>
      </c>
      <c r="D204" s="553">
        <v>5904.3822999999993</v>
      </c>
      <c r="E204" s="554">
        <f t="shared" si="23"/>
        <v>-545.1777000000011</v>
      </c>
    </row>
    <row r="205" spans="1:5" s="506" customFormat="1" x14ac:dyDescent="0.2">
      <c r="A205" s="512">
        <v>3</v>
      </c>
      <c r="B205" s="511" t="s">
        <v>749</v>
      </c>
      <c r="C205" s="553">
        <f>C206+C207</f>
        <v>2612.1552000000001</v>
      </c>
      <c r="D205" s="553">
        <f>D206+D207</f>
        <v>2512.1178</v>
      </c>
      <c r="E205" s="554">
        <f t="shared" si="23"/>
        <v>-100.03740000000016</v>
      </c>
    </row>
    <row r="206" spans="1:5" s="506" customFormat="1" x14ac:dyDescent="0.2">
      <c r="A206" s="512">
        <v>4</v>
      </c>
      <c r="B206" s="511" t="s">
        <v>114</v>
      </c>
      <c r="C206" s="553">
        <v>2400.0620000000004</v>
      </c>
      <c r="D206" s="553">
        <v>2491.8191999999999</v>
      </c>
      <c r="E206" s="554">
        <f t="shared" si="23"/>
        <v>91.757199999999557</v>
      </c>
    </row>
    <row r="207" spans="1:5" s="506" customFormat="1" x14ac:dyDescent="0.2">
      <c r="A207" s="512">
        <v>5</v>
      </c>
      <c r="B207" s="511" t="s">
        <v>716</v>
      </c>
      <c r="C207" s="553">
        <v>212.09320000000002</v>
      </c>
      <c r="D207" s="553">
        <v>20.2986</v>
      </c>
      <c r="E207" s="554">
        <f t="shared" si="23"/>
        <v>-191.79460000000003</v>
      </c>
    </row>
    <row r="208" spans="1:5" s="506" customFormat="1" x14ac:dyDescent="0.2">
      <c r="A208" s="512">
        <v>6</v>
      </c>
      <c r="B208" s="511" t="s">
        <v>416</v>
      </c>
      <c r="C208" s="553">
        <v>122.0352</v>
      </c>
      <c r="D208" s="553">
        <v>94.351600000000005</v>
      </c>
      <c r="E208" s="554">
        <f t="shared" si="23"/>
        <v>-27.683599999999998</v>
      </c>
    </row>
    <row r="209" spans="1:5" s="506" customFormat="1" x14ac:dyDescent="0.2">
      <c r="A209" s="512">
        <v>7</v>
      </c>
      <c r="B209" s="511" t="s">
        <v>731</v>
      </c>
      <c r="C209" s="553">
        <v>85.252499999999998</v>
      </c>
      <c r="D209" s="553">
        <v>67.400000000000006</v>
      </c>
      <c r="E209" s="554">
        <f t="shared" si="23"/>
        <v>-17.852499999999992</v>
      </c>
    </row>
    <row r="210" spans="1:5" s="506" customFormat="1" x14ac:dyDescent="0.2">
      <c r="A210" s="512"/>
      <c r="B210" s="516" t="s">
        <v>796</v>
      </c>
      <c r="C210" s="555">
        <f>C204+C205+C208</f>
        <v>9183.7504000000008</v>
      </c>
      <c r="D210" s="555">
        <f>D204+D205+D208</f>
        <v>8510.8516999999993</v>
      </c>
      <c r="E210" s="556">
        <f t="shared" si="23"/>
        <v>-672.89870000000155</v>
      </c>
    </row>
    <row r="211" spans="1:5" s="506" customFormat="1" x14ac:dyDescent="0.2">
      <c r="A211" s="512"/>
      <c r="B211" s="516" t="s">
        <v>695</v>
      </c>
      <c r="C211" s="555">
        <f>C210+C203</f>
        <v>14271.8776</v>
      </c>
      <c r="D211" s="555">
        <f>D210+D203</f>
        <v>13210.320499999998</v>
      </c>
      <c r="E211" s="556">
        <f t="shared" si="23"/>
        <v>-1061.5571000000018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624</v>
      </c>
      <c r="C215" s="557">
        <f>IF(C14*C137=0,0,C25/C14*C137)</f>
        <v>4826.4494887182482</v>
      </c>
      <c r="D215" s="557">
        <f>IF(D14*D137=0,0,D25/D14*D137)</f>
        <v>5745.5081084367694</v>
      </c>
      <c r="E215" s="557">
        <f t="shared" ref="E215:E223" si="24">D215-C215</f>
        <v>919.05861971852119</v>
      </c>
    </row>
    <row r="216" spans="1:5" s="506" customFormat="1" x14ac:dyDescent="0.2">
      <c r="A216" s="512">
        <v>2</v>
      </c>
      <c r="B216" s="511" t="s">
        <v>603</v>
      </c>
      <c r="C216" s="557">
        <f>IF(C15*C138=0,0,C26/C15*C138)</f>
        <v>2532.0662118293599</v>
      </c>
      <c r="D216" s="557">
        <f>IF(D15*D138=0,0,D26/D15*D138)</f>
        <v>3001.9860688600043</v>
      </c>
      <c r="E216" s="557">
        <f t="shared" si="24"/>
        <v>469.91985703064438</v>
      </c>
    </row>
    <row r="217" spans="1:5" s="506" customFormat="1" x14ac:dyDescent="0.2">
      <c r="A217" s="512">
        <v>3</v>
      </c>
      <c r="B217" s="511" t="s">
        <v>749</v>
      </c>
      <c r="C217" s="557">
        <f>C218+C219</f>
        <v>1398.7903183796536</v>
      </c>
      <c r="D217" s="557">
        <f>D218+D219</f>
        <v>1345.2018817900509</v>
      </c>
      <c r="E217" s="557">
        <f t="shared" si="24"/>
        <v>-53.588436589602679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1184.2144982374191</v>
      </c>
      <c r="D218" s="557">
        <f t="shared" si="25"/>
        <v>1340.2010764479483</v>
      </c>
      <c r="E218" s="557">
        <f t="shared" si="24"/>
        <v>155.98657821052916</v>
      </c>
    </row>
    <row r="219" spans="1:5" s="506" customFormat="1" x14ac:dyDescent="0.2">
      <c r="A219" s="512">
        <v>5</v>
      </c>
      <c r="B219" s="511" t="s">
        <v>716</v>
      </c>
      <c r="C219" s="557">
        <f t="shared" si="25"/>
        <v>214.57582014223445</v>
      </c>
      <c r="D219" s="557">
        <f t="shared" si="25"/>
        <v>5.0008053421026135</v>
      </c>
      <c r="E219" s="557">
        <f t="shared" si="24"/>
        <v>-209.57501480013184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75.352478990328464</v>
      </c>
      <c r="D220" s="557">
        <f t="shared" si="25"/>
        <v>48.742473985719577</v>
      </c>
      <c r="E220" s="557">
        <f t="shared" si="24"/>
        <v>-26.610005004608887</v>
      </c>
    </row>
    <row r="221" spans="1:5" s="506" customFormat="1" x14ac:dyDescent="0.2">
      <c r="A221" s="512">
        <v>7</v>
      </c>
      <c r="B221" s="511" t="s">
        <v>731</v>
      </c>
      <c r="C221" s="557">
        <f t="shared" si="25"/>
        <v>168.94043677144609</v>
      </c>
      <c r="D221" s="557">
        <f t="shared" si="25"/>
        <v>104.4873223099452</v>
      </c>
      <c r="E221" s="557">
        <f t="shared" si="24"/>
        <v>-64.453114461500888</v>
      </c>
    </row>
    <row r="222" spans="1:5" s="506" customFormat="1" x14ac:dyDescent="0.2">
      <c r="A222" s="512"/>
      <c r="B222" s="516" t="s">
        <v>798</v>
      </c>
      <c r="C222" s="558">
        <f>C216+C218+C219+C220</f>
        <v>4006.2090091993418</v>
      </c>
      <c r="D222" s="558">
        <f>D216+D218+D219+D220</f>
        <v>4395.9304246357751</v>
      </c>
      <c r="E222" s="558">
        <f t="shared" si="24"/>
        <v>389.72141543643329</v>
      </c>
    </row>
    <row r="223" spans="1:5" s="506" customFormat="1" x14ac:dyDescent="0.2">
      <c r="A223" s="512"/>
      <c r="B223" s="516" t="s">
        <v>799</v>
      </c>
      <c r="C223" s="558">
        <f>C215+C222</f>
        <v>8832.6584979175896</v>
      </c>
      <c r="D223" s="558">
        <f>D215+D222</f>
        <v>10141.438533072545</v>
      </c>
      <c r="E223" s="558">
        <f t="shared" si="24"/>
        <v>1308.7800351549558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624</v>
      </c>
      <c r="C227" s="560">
        <f t="shared" ref="C227:D235" si="26">IF(C203=0,0,C47/C203)</f>
        <v>9197.2022633396427</v>
      </c>
      <c r="D227" s="560">
        <f t="shared" si="26"/>
        <v>10322.331111124731</v>
      </c>
      <c r="E227" s="560">
        <f t="shared" ref="E227:E235" si="27">D227-C227</f>
        <v>1125.1288477850885</v>
      </c>
    </row>
    <row r="228" spans="1:5" s="506" customFormat="1" x14ac:dyDescent="0.2">
      <c r="A228" s="512">
        <v>2</v>
      </c>
      <c r="B228" s="511" t="s">
        <v>603</v>
      </c>
      <c r="C228" s="560">
        <f t="shared" si="26"/>
        <v>11063.037478525666</v>
      </c>
      <c r="D228" s="560">
        <f t="shared" si="26"/>
        <v>11749.613333811398</v>
      </c>
      <c r="E228" s="560">
        <f t="shared" si="27"/>
        <v>686.57585528573145</v>
      </c>
    </row>
    <row r="229" spans="1:5" s="506" customFormat="1" x14ac:dyDescent="0.2">
      <c r="A229" s="512">
        <v>3</v>
      </c>
      <c r="B229" s="511" t="s">
        <v>749</v>
      </c>
      <c r="C229" s="560">
        <f t="shared" si="26"/>
        <v>6645.8604756715831</v>
      </c>
      <c r="D229" s="560">
        <f t="shared" si="26"/>
        <v>7970.2970139378021</v>
      </c>
      <c r="E229" s="560">
        <f t="shared" si="27"/>
        <v>1324.436538266219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7035.2365897214313</v>
      </c>
      <c r="D230" s="560">
        <f t="shared" si="26"/>
        <v>8016.4379502333077</v>
      </c>
      <c r="E230" s="560">
        <f t="shared" si="27"/>
        <v>981.20136051187637</v>
      </c>
    </row>
    <row r="231" spans="1:5" s="506" customFormat="1" x14ac:dyDescent="0.2">
      <c r="A231" s="512">
        <v>5</v>
      </c>
      <c r="B231" s="511" t="s">
        <v>716</v>
      </c>
      <c r="C231" s="560">
        <f t="shared" si="26"/>
        <v>2239.6521906407179</v>
      </c>
      <c r="D231" s="560">
        <f t="shared" si="26"/>
        <v>2306.1196338663749</v>
      </c>
      <c r="E231" s="560">
        <f t="shared" si="27"/>
        <v>66.467443225657007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4742.3366372980909</v>
      </c>
      <c r="D232" s="560">
        <f t="shared" si="26"/>
        <v>7593.9994658278183</v>
      </c>
      <c r="E232" s="560">
        <f t="shared" si="27"/>
        <v>2851.6628285297274</v>
      </c>
    </row>
    <row r="233" spans="1:5" s="506" customFormat="1" x14ac:dyDescent="0.2">
      <c r="A233" s="512">
        <v>7</v>
      </c>
      <c r="B233" s="511" t="s">
        <v>731</v>
      </c>
      <c r="C233" s="560">
        <f t="shared" si="26"/>
        <v>1871.452450074778</v>
      </c>
      <c r="D233" s="560">
        <f t="shared" si="26"/>
        <v>3421.4094955489613</v>
      </c>
      <c r="E233" s="560">
        <f t="shared" si="27"/>
        <v>1549.9570454741834</v>
      </c>
    </row>
    <row r="234" spans="1:5" x14ac:dyDescent="0.2">
      <c r="A234" s="512"/>
      <c r="B234" s="516" t="s">
        <v>801</v>
      </c>
      <c r="C234" s="561">
        <f t="shared" si="26"/>
        <v>9722.6591654755757</v>
      </c>
      <c r="D234" s="561">
        <f t="shared" si="26"/>
        <v>10588.016708128049</v>
      </c>
      <c r="E234" s="561">
        <f t="shared" si="27"/>
        <v>865.35754265247306</v>
      </c>
    </row>
    <row r="235" spans="1:5" s="506" customFormat="1" x14ac:dyDescent="0.2">
      <c r="A235" s="512"/>
      <c r="B235" s="516" t="s">
        <v>802</v>
      </c>
      <c r="C235" s="561">
        <f t="shared" si="26"/>
        <v>9535.3263119352978</v>
      </c>
      <c r="D235" s="561">
        <f t="shared" si="26"/>
        <v>10493.501122853153</v>
      </c>
      <c r="E235" s="561">
        <f t="shared" si="27"/>
        <v>958.17481091785521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624</v>
      </c>
      <c r="C239" s="560">
        <f t="shared" ref="C239:D247" si="28">IF(C215=0,0,C58/C215)</f>
        <v>13693.906080337369</v>
      </c>
      <c r="D239" s="560">
        <f t="shared" si="28"/>
        <v>12258.999495027019</v>
      </c>
      <c r="E239" s="562">
        <f t="shared" ref="E239:E247" si="29">D239-C239</f>
        <v>-1434.9065853103493</v>
      </c>
    </row>
    <row r="240" spans="1:5" s="506" customFormat="1" x14ac:dyDescent="0.2">
      <c r="A240" s="512">
        <v>2</v>
      </c>
      <c r="B240" s="511" t="s">
        <v>603</v>
      </c>
      <c r="C240" s="560">
        <f t="shared" si="28"/>
        <v>10311.215353700043</v>
      </c>
      <c r="D240" s="560">
        <f t="shared" si="28"/>
        <v>10645.58371256397</v>
      </c>
      <c r="E240" s="562">
        <f t="shared" si="29"/>
        <v>334.36835886392691</v>
      </c>
    </row>
    <row r="241" spans="1:5" x14ac:dyDescent="0.2">
      <c r="A241" s="512">
        <v>3</v>
      </c>
      <c r="B241" s="511" t="s">
        <v>749</v>
      </c>
      <c r="C241" s="560">
        <f t="shared" si="28"/>
        <v>10040.447675008934</v>
      </c>
      <c r="D241" s="560">
        <f t="shared" si="28"/>
        <v>14044.442886787916</v>
      </c>
      <c r="E241" s="562">
        <f t="shared" si="29"/>
        <v>4003.9952117789817</v>
      </c>
    </row>
    <row r="242" spans="1:5" x14ac:dyDescent="0.2">
      <c r="A242" s="512">
        <v>4</v>
      </c>
      <c r="B242" s="511" t="s">
        <v>114</v>
      </c>
      <c r="C242" s="560">
        <f t="shared" si="28"/>
        <v>11151.068509678493</v>
      </c>
      <c r="D242" s="560">
        <f t="shared" si="28"/>
        <v>14088.749316665202</v>
      </c>
      <c r="E242" s="562">
        <f t="shared" si="29"/>
        <v>2937.6808069867093</v>
      </c>
    </row>
    <row r="243" spans="1:5" x14ac:dyDescent="0.2">
      <c r="A243" s="512">
        <v>5</v>
      </c>
      <c r="B243" s="511" t="s">
        <v>716</v>
      </c>
      <c r="C243" s="560">
        <f t="shared" si="28"/>
        <v>3911.0837346151543</v>
      </c>
      <c r="D243" s="560">
        <f t="shared" si="28"/>
        <v>2170.4504089808024</v>
      </c>
      <c r="E243" s="562">
        <f t="shared" si="29"/>
        <v>-1740.6333256343519</v>
      </c>
    </row>
    <row r="244" spans="1:5" x14ac:dyDescent="0.2">
      <c r="A244" s="512">
        <v>6</v>
      </c>
      <c r="B244" s="511" t="s">
        <v>416</v>
      </c>
      <c r="C244" s="560">
        <f t="shared" si="28"/>
        <v>7773.1616510609874</v>
      </c>
      <c r="D244" s="560">
        <f t="shared" si="28"/>
        <v>13286.502449377864</v>
      </c>
      <c r="E244" s="562">
        <f t="shared" si="29"/>
        <v>5513.3407983168763</v>
      </c>
    </row>
    <row r="245" spans="1:5" x14ac:dyDescent="0.2">
      <c r="A245" s="512">
        <v>7</v>
      </c>
      <c r="B245" s="511" t="s">
        <v>731</v>
      </c>
      <c r="C245" s="560">
        <f t="shared" si="28"/>
        <v>1879.7986205613718</v>
      </c>
      <c r="D245" s="560">
        <f t="shared" si="28"/>
        <v>3277.6703664019815</v>
      </c>
      <c r="E245" s="562">
        <f t="shared" si="29"/>
        <v>1397.8717458406097</v>
      </c>
    </row>
    <row r="246" spans="1:5" ht="25.5" x14ac:dyDescent="0.2">
      <c r="A246" s="512"/>
      <c r="B246" s="516" t="s">
        <v>804</v>
      </c>
      <c r="C246" s="561">
        <f t="shared" si="28"/>
        <v>10168.937243776465</v>
      </c>
      <c r="D246" s="561">
        <f t="shared" si="28"/>
        <v>11714.95383807556</v>
      </c>
      <c r="E246" s="563">
        <f t="shared" si="29"/>
        <v>1546.0165942990952</v>
      </c>
    </row>
    <row r="247" spans="1:5" x14ac:dyDescent="0.2">
      <c r="A247" s="512"/>
      <c r="B247" s="516" t="s">
        <v>805</v>
      </c>
      <c r="C247" s="561">
        <f t="shared" si="28"/>
        <v>12095.093909176603</v>
      </c>
      <c r="D247" s="561">
        <f t="shared" si="28"/>
        <v>12023.176258709547</v>
      </c>
      <c r="E247" s="563">
        <f t="shared" si="29"/>
        <v>-71.917650467055864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733</v>
      </c>
      <c r="B249" s="550" t="s">
        <v>730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-994566.28370013263</v>
      </c>
      <c r="D251" s="546">
        <f>((IF((IF(D15=0,0,D26/D15)*D138)=0,0,D59/(IF(D15=0,0,D26/D15)*D138)))-(IF((IF(D17=0,0,D28/D17)*D140)=0,0,D61/(IF(D17=0,0,D28/D17)*D140))))*(IF(D17=0,0,D28/D17)*D140)</f>
        <v>-4614534.2490050215</v>
      </c>
      <c r="E251" s="546">
        <f>D251-C251</f>
        <v>-3619967.9653048888</v>
      </c>
    </row>
    <row r="252" spans="1:5" x14ac:dyDescent="0.2">
      <c r="A252" s="512">
        <v>2</v>
      </c>
      <c r="B252" s="511" t="s">
        <v>716</v>
      </c>
      <c r="C252" s="546">
        <f>IF(C231=0,0,(C228-C231)*C207)+IF(C243=0,0,(C240-C243)*C219)</f>
        <v>3244693.5117238266</v>
      </c>
      <c r="D252" s="546">
        <f>IF(D231=0,0,(D228-D231)*D207)+IF(D243=0,0,(D240-D243)*D219)</f>
        <v>234072.19311729449</v>
      </c>
      <c r="E252" s="546">
        <f>D252-C252</f>
        <v>-3010621.3186065322</v>
      </c>
    </row>
    <row r="253" spans="1:5" x14ac:dyDescent="0.2">
      <c r="A253" s="512">
        <v>3</v>
      </c>
      <c r="B253" s="511" t="s">
        <v>731</v>
      </c>
      <c r="C253" s="546">
        <f>IF(C233=0,0,(C228-C233)*C209+IF(C221=0,0,(C240-C245)*C221))</f>
        <v>2208012.8281365354</v>
      </c>
      <c r="D253" s="546">
        <f>IF(D233=0,0,(D228-D233)*D209+IF(D221=0,0,(D240-D245)*D221))</f>
        <v>1331174.4752510628</v>
      </c>
      <c r="E253" s="546">
        <f>D253-C253</f>
        <v>-876838.35288547259</v>
      </c>
    </row>
    <row r="254" spans="1:5" ht="15" customHeight="1" x14ac:dyDescent="0.2">
      <c r="A254" s="512"/>
      <c r="B254" s="516" t="s">
        <v>732</v>
      </c>
      <c r="C254" s="564">
        <f>+C251+C252+C253</f>
        <v>4458140.0561602293</v>
      </c>
      <c r="D254" s="564">
        <f>+D251+D252+D253</f>
        <v>-3049287.5806366643</v>
      </c>
      <c r="E254" s="564">
        <f>D254-C254</f>
        <v>-7507427.6367968936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806</v>
      </c>
      <c r="B256" s="550" t="s">
        <v>807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698</v>
      </c>
      <c r="C258" s="546">
        <f>+C44</f>
        <v>515222573</v>
      </c>
      <c r="D258" s="549">
        <f>+D44</f>
        <v>533723134</v>
      </c>
      <c r="E258" s="546">
        <f t="shared" ref="E258:E271" si="30">D258-C258</f>
        <v>18500561</v>
      </c>
    </row>
    <row r="259" spans="1:5" x14ac:dyDescent="0.2">
      <c r="A259" s="512">
        <v>2</v>
      </c>
      <c r="B259" s="511" t="s">
        <v>715</v>
      </c>
      <c r="C259" s="546">
        <f>+(C43-C76)</f>
        <v>164281473</v>
      </c>
      <c r="D259" s="549">
        <f>+(D43-D76)</f>
        <v>174679503</v>
      </c>
      <c r="E259" s="546">
        <f t="shared" si="30"/>
        <v>10398030</v>
      </c>
    </row>
    <row r="260" spans="1:5" x14ac:dyDescent="0.2">
      <c r="A260" s="512">
        <v>3</v>
      </c>
      <c r="B260" s="511" t="s">
        <v>719</v>
      </c>
      <c r="C260" s="546">
        <f>C195</f>
        <v>7964101</v>
      </c>
      <c r="D260" s="546">
        <f>D195</f>
        <v>3387160</v>
      </c>
      <c r="E260" s="546">
        <f t="shared" si="30"/>
        <v>-4576941</v>
      </c>
    </row>
    <row r="261" spans="1:5" x14ac:dyDescent="0.2">
      <c r="A261" s="512">
        <v>4</v>
      </c>
      <c r="B261" s="511" t="s">
        <v>720</v>
      </c>
      <c r="C261" s="546">
        <f>C188</f>
        <v>100103228</v>
      </c>
      <c r="D261" s="546">
        <f>D188</f>
        <v>93407578</v>
      </c>
      <c r="E261" s="546">
        <f t="shared" si="30"/>
        <v>-6695650</v>
      </c>
    </row>
    <row r="262" spans="1:5" x14ac:dyDescent="0.2">
      <c r="A262" s="512">
        <v>5</v>
      </c>
      <c r="B262" s="511" t="s">
        <v>721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722</v>
      </c>
      <c r="C263" s="546">
        <f>+C259+C260+C261+C262</f>
        <v>272348802</v>
      </c>
      <c r="D263" s="546">
        <f>+D259+D260+D261+D262</f>
        <v>271474241</v>
      </c>
      <c r="E263" s="546">
        <f t="shared" si="30"/>
        <v>-874561</v>
      </c>
    </row>
    <row r="264" spans="1:5" x14ac:dyDescent="0.2">
      <c r="A264" s="512">
        <v>7</v>
      </c>
      <c r="B264" s="511" t="s">
        <v>622</v>
      </c>
      <c r="C264" s="546">
        <f>+C258-C263</f>
        <v>242873771</v>
      </c>
      <c r="D264" s="546">
        <f>+D258-D263</f>
        <v>262248893</v>
      </c>
      <c r="E264" s="546">
        <f t="shared" si="30"/>
        <v>19375122</v>
      </c>
    </row>
    <row r="265" spans="1:5" x14ac:dyDescent="0.2">
      <c r="A265" s="512">
        <v>8</v>
      </c>
      <c r="B265" s="511" t="s">
        <v>808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809</v>
      </c>
      <c r="C266" s="546">
        <f>+C264+C265</f>
        <v>242873771</v>
      </c>
      <c r="D266" s="546">
        <f>+D264+D265</f>
        <v>262248893</v>
      </c>
      <c r="E266" s="565">
        <f t="shared" si="30"/>
        <v>19375122</v>
      </c>
    </row>
    <row r="267" spans="1:5" x14ac:dyDescent="0.2">
      <c r="A267" s="512">
        <v>10</v>
      </c>
      <c r="B267" s="511" t="s">
        <v>810</v>
      </c>
      <c r="C267" s="566">
        <f>IF(C258=0,0,C266/C258)</f>
        <v>0.47139582721659984</v>
      </c>
      <c r="D267" s="566">
        <f>IF(D258=0,0,D266/D258)</f>
        <v>0.49135755280939347</v>
      </c>
      <c r="E267" s="567">
        <f t="shared" si="30"/>
        <v>1.9961725592793633E-2</v>
      </c>
    </row>
    <row r="268" spans="1:5" x14ac:dyDescent="0.2">
      <c r="A268" s="512">
        <v>11</v>
      </c>
      <c r="B268" s="511" t="s">
        <v>684</v>
      </c>
      <c r="C268" s="546">
        <f>+C260*C267</f>
        <v>3754243.9789315499</v>
      </c>
      <c r="D268" s="568">
        <f>+D260*D267</f>
        <v>1664306.6485738652</v>
      </c>
      <c r="E268" s="546">
        <f t="shared" si="30"/>
        <v>-2089937.3303576848</v>
      </c>
    </row>
    <row r="269" spans="1:5" x14ac:dyDescent="0.2">
      <c r="A269" s="512">
        <v>12</v>
      </c>
      <c r="B269" s="511" t="s">
        <v>811</v>
      </c>
      <c r="C269" s="546">
        <f>((C17+C18+C28+C29)*C267)-(C50+C51+C61+C62)</f>
        <v>11033192.654066555</v>
      </c>
      <c r="D269" s="568">
        <f>((D17+D18+D28+D29)*D267)-(D50+D51+D61+D62)</f>
        <v>13123810.804122739</v>
      </c>
      <c r="E269" s="546">
        <f t="shared" si="30"/>
        <v>2090618.1500561833</v>
      </c>
    </row>
    <row r="270" spans="1:5" s="569" customFormat="1" x14ac:dyDescent="0.2">
      <c r="A270" s="570">
        <v>13</v>
      </c>
      <c r="B270" s="571" t="s">
        <v>812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813</v>
      </c>
      <c r="C271" s="546">
        <f>+C268+C269+C270</f>
        <v>14787436.632998105</v>
      </c>
      <c r="D271" s="546">
        <f>+D268+D269+D270</f>
        <v>14788117.452696603</v>
      </c>
      <c r="E271" s="549">
        <f t="shared" si="30"/>
        <v>680.81969849765301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814</v>
      </c>
      <c r="B273" s="550" t="s">
        <v>815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816</v>
      </c>
      <c r="C275" s="340"/>
      <c r="D275" s="340"/>
      <c r="E275" s="520"/>
    </row>
    <row r="276" spans="1:5" x14ac:dyDescent="0.2">
      <c r="A276" s="512">
        <v>1</v>
      </c>
      <c r="B276" s="511" t="s">
        <v>624</v>
      </c>
      <c r="C276" s="547">
        <f t="shared" ref="C276:D284" si="31">IF(C14=0,0,+C47/C14)</f>
        <v>0.4955196203344035</v>
      </c>
      <c r="D276" s="547">
        <f t="shared" si="31"/>
        <v>0.60826674457982488</v>
      </c>
      <c r="E276" s="574">
        <f t="shared" ref="E276:E284" si="32">D276-C276</f>
        <v>0.11274712424542138</v>
      </c>
    </row>
    <row r="277" spans="1:5" x14ac:dyDescent="0.2">
      <c r="A277" s="512">
        <v>2</v>
      </c>
      <c r="B277" s="511" t="s">
        <v>603</v>
      </c>
      <c r="C277" s="547">
        <f t="shared" si="31"/>
        <v>0.58267189218039239</v>
      </c>
      <c r="D277" s="547">
        <f t="shared" si="31"/>
        <v>0.60113216204389097</v>
      </c>
      <c r="E277" s="574">
        <f t="shared" si="32"/>
        <v>1.846026986349858E-2</v>
      </c>
    </row>
    <row r="278" spans="1:5" x14ac:dyDescent="0.2">
      <c r="A278" s="512">
        <v>3</v>
      </c>
      <c r="B278" s="511" t="s">
        <v>749</v>
      </c>
      <c r="C278" s="547">
        <f t="shared" si="31"/>
        <v>0.32997927633571034</v>
      </c>
      <c r="D278" s="547">
        <f t="shared" si="31"/>
        <v>0.32426938824387236</v>
      </c>
      <c r="E278" s="574">
        <f t="shared" si="32"/>
        <v>-5.709888091837978E-3</v>
      </c>
    </row>
    <row r="279" spans="1:5" x14ac:dyDescent="0.2">
      <c r="A279" s="512">
        <v>4</v>
      </c>
      <c r="B279" s="511" t="s">
        <v>114</v>
      </c>
      <c r="C279" s="547">
        <f t="shared" si="31"/>
        <v>0.34321677483023377</v>
      </c>
      <c r="D279" s="547">
        <f t="shared" si="31"/>
        <v>0.32492264844036589</v>
      </c>
      <c r="E279" s="574">
        <f t="shared" si="32"/>
        <v>-1.8294126389867882E-2</v>
      </c>
    </row>
    <row r="280" spans="1:5" x14ac:dyDescent="0.2">
      <c r="A280" s="512">
        <v>5</v>
      </c>
      <c r="B280" s="511" t="s">
        <v>716</v>
      </c>
      <c r="C280" s="547">
        <f t="shared" si="31"/>
        <v>0.13917418696274966</v>
      </c>
      <c r="D280" s="547">
        <f t="shared" si="31"/>
        <v>0.17453180169196411</v>
      </c>
      <c r="E280" s="574">
        <f t="shared" si="32"/>
        <v>3.5357614729214448E-2</v>
      </c>
    </row>
    <row r="281" spans="1:5" x14ac:dyDescent="0.2">
      <c r="A281" s="512">
        <v>6</v>
      </c>
      <c r="B281" s="511" t="s">
        <v>416</v>
      </c>
      <c r="C281" s="547">
        <f t="shared" si="31"/>
        <v>0.32957834869135527</v>
      </c>
      <c r="D281" s="547">
        <f t="shared" si="31"/>
        <v>0.31448267265458901</v>
      </c>
      <c r="E281" s="574">
        <f t="shared" si="32"/>
        <v>-1.5095676036766259E-2</v>
      </c>
    </row>
    <row r="282" spans="1:5" x14ac:dyDescent="0.2">
      <c r="A282" s="512">
        <v>7</v>
      </c>
      <c r="B282" s="511" t="s">
        <v>731</v>
      </c>
      <c r="C282" s="547">
        <f t="shared" si="31"/>
        <v>0.1199565123245155</v>
      </c>
      <c r="D282" s="547">
        <f t="shared" si="31"/>
        <v>0.19610365976032465</v>
      </c>
      <c r="E282" s="574">
        <f t="shared" si="32"/>
        <v>7.6147147435809151E-2</v>
      </c>
    </row>
    <row r="283" spans="1:5" ht="29.25" customHeight="1" x14ac:dyDescent="0.2">
      <c r="A283" s="512"/>
      <c r="B283" s="516" t="s">
        <v>817</v>
      </c>
      <c r="C283" s="575">
        <f t="shared" si="31"/>
        <v>0.50497523510900344</v>
      </c>
      <c r="D283" s="575">
        <f t="shared" si="31"/>
        <v>0.50221767798642503</v>
      </c>
      <c r="E283" s="576">
        <f t="shared" si="32"/>
        <v>-2.7575571225784135E-3</v>
      </c>
    </row>
    <row r="284" spans="1:5" x14ac:dyDescent="0.2">
      <c r="A284" s="512"/>
      <c r="B284" s="516" t="s">
        <v>818</v>
      </c>
      <c r="C284" s="575">
        <f t="shared" si="31"/>
        <v>0.5016832674735312</v>
      </c>
      <c r="D284" s="575">
        <f t="shared" si="31"/>
        <v>0.5348491668580776</v>
      </c>
      <c r="E284" s="576">
        <f t="shared" si="32"/>
        <v>3.3165899384546393E-2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819</v>
      </c>
      <c r="C286" s="520"/>
      <c r="D286" s="520"/>
      <c r="E286" s="520"/>
    </row>
    <row r="287" spans="1:5" x14ac:dyDescent="0.2">
      <c r="A287" s="512">
        <v>1</v>
      </c>
      <c r="B287" s="511" t="s">
        <v>624</v>
      </c>
      <c r="C287" s="547">
        <f t="shared" ref="C287:D295" si="33">IF(C25=0,0,+C58/C25)</f>
        <v>0.52258782209265719</v>
      </c>
      <c r="D287" s="547">
        <f t="shared" si="33"/>
        <v>0.51157093432742984</v>
      </c>
      <c r="E287" s="574">
        <f t="shared" ref="E287:E295" si="34">D287-C287</f>
        <v>-1.1016887765227357E-2</v>
      </c>
    </row>
    <row r="288" spans="1:5" x14ac:dyDescent="0.2">
      <c r="A288" s="512">
        <v>2</v>
      </c>
      <c r="B288" s="511" t="s">
        <v>603</v>
      </c>
      <c r="C288" s="547">
        <f t="shared" si="33"/>
        <v>0.33260329736726019</v>
      </c>
      <c r="D288" s="547">
        <f t="shared" si="33"/>
        <v>0.35154453282526887</v>
      </c>
      <c r="E288" s="574">
        <f t="shared" si="34"/>
        <v>1.8941235458008687E-2</v>
      </c>
    </row>
    <row r="289" spans="1:5" x14ac:dyDescent="0.2">
      <c r="A289" s="512">
        <v>3</v>
      </c>
      <c r="B289" s="511" t="s">
        <v>749</v>
      </c>
      <c r="C289" s="547">
        <f t="shared" si="33"/>
        <v>0.37535850467253751</v>
      </c>
      <c r="D289" s="547">
        <f t="shared" si="33"/>
        <v>0.42780104670192298</v>
      </c>
      <c r="E289" s="574">
        <f t="shared" si="34"/>
        <v>5.2442542029385475E-2</v>
      </c>
    </row>
    <row r="290" spans="1:5" x14ac:dyDescent="0.2">
      <c r="A290" s="512">
        <v>4</v>
      </c>
      <c r="B290" s="511" t="s">
        <v>114</v>
      </c>
      <c r="C290" s="547">
        <f t="shared" si="33"/>
        <v>0.39824981584508823</v>
      </c>
      <c r="D290" s="547">
        <f t="shared" si="33"/>
        <v>0.42900297852135616</v>
      </c>
      <c r="E290" s="574">
        <f t="shared" si="34"/>
        <v>3.0753162676267931E-2</v>
      </c>
    </row>
    <row r="291" spans="1:5" x14ac:dyDescent="0.2">
      <c r="A291" s="512">
        <v>5</v>
      </c>
      <c r="B291" s="511" t="s">
        <v>716</v>
      </c>
      <c r="C291" s="547">
        <f t="shared" si="33"/>
        <v>0.19709560037520368</v>
      </c>
      <c r="D291" s="547">
        <f t="shared" si="33"/>
        <v>7.2831462332834551E-2</v>
      </c>
      <c r="E291" s="574">
        <f t="shared" si="34"/>
        <v>-0.12426413804236913</v>
      </c>
    </row>
    <row r="292" spans="1:5" x14ac:dyDescent="0.2">
      <c r="A292" s="512">
        <v>6</v>
      </c>
      <c r="B292" s="511" t="s">
        <v>416</v>
      </c>
      <c r="C292" s="547">
        <f t="shared" si="33"/>
        <v>0.37184176027882088</v>
      </c>
      <c r="D292" s="547">
        <f t="shared" si="33"/>
        <v>0.36155906249459158</v>
      </c>
      <c r="E292" s="574">
        <f t="shared" si="34"/>
        <v>-1.02826977842293E-2</v>
      </c>
    </row>
    <row r="293" spans="1:5" x14ac:dyDescent="0.2">
      <c r="A293" s="512">
        <v>7</v>
      </c>
      <c r="B293" s="511" t="s">
        <v>731</v>
      </c>
      <c r="C293" s="547">
        <f t="shared" si="33"/>
        <v>0.11448122170404254</v>
      </c>
      <c r="D293" s="547">
        <f t="shared" si="33"/>
        <v>0.13936573989483936</v>
      </c>
      <c r="E293" s="574">
        <f t="shared" si="34"/>
        <v>2.4884518190796817E-2</v>
      </c>
    </row>
    <row r="294" spans="1:5" ht="29.25" customHeight="1" x14ac:dyDescent="0.2">
      <c r="A294" s="512"/>
      <c r="B294" s="516" t="s">
        <v>820</v>
      </c>
      <c r="C294" s="575">
        <f t="shared" si="33"/>
        <v>0.34674538949460293</v>
      </c>
      <c r="D294" s="575">
        <f t="shared" si="33"/>
        <v>0.37628206348801119</v>
      </c>
      <c r="E294" s="576">
        <f t="shared" si="34"/>
        <v>2.9536673993408258E-2</v>
      </c>
    </row>
    <row r="295" spans="1:5" x14ac:dyDescent="0.2">
      <c r="A295" s="512"/>
      <c r="B295" s="516" t="s">
        <v>821</v>
      </c>
      <c r="C295" s="575">
        <f t="shared" si="33"/>
        <v>0.43790401054735784</v>
      </c>
      <c r="D295" s="575">
        <f t="shared" si="33"/>
        <v>0.44412896168718641</v>
      </c>
      <c r="E295" s="576">
        <f t="shared" si="34"/>
        <v>6.2249511398285717E-3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822</v>
      </c>
      <c r="B297" s="501" t="s">
        <v>823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622</v>
      </c>
      <c r="C301" s="514">
        <f>+C48+C47+C50+C51+C52+C59+C58+C61+C62+C63</f>
        <v>242918844</v>
      </c>
      <c r="D301" s="514">
        <f>+D48+D47+D50+D51+D52+D59+D58+D61+D62+D63</f>
        <v>260554816</v>
      </c>
      <c r="E301" s="514">
        <f>D301-C301</f>
        <v>17635972</v>
      </c>
    </row>
    <row r="302" spans="1:5" ht="25.5" x14ac:dyDescent="0.2">
      <c r="A302" s="512">
        <v>2</v>
      </c>
      <c r="B302" s="511" t="s">
        <v>825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826</v>
      </c>
      <c r="C303" s="517">
        <f>+C301+C302</f>
        <v>242918844</v>
      </c>
      <c r="D303" s="517">
        <f>+D301+D302</f>
        <v>260554816</v>
      </c>
      <c r="E303" s="517">
        <f>D303-C303</f>
        <v>17635972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827</v>
      </c>
      <c r="C305" s="513">
        <v>0</v>
      </c>
      <c r="D305" s="578">
        <v>0</v>
      </c>
      <c r="E305" s="579">
        <f>D305-C305</f>
        <v>0</v>
      </c>
    </row>
    <row r="306" spans="1:5" x14ac:dyDescent="0.2">
      <c r="A306" s="512">
        <v>4</v>
      </c>
      <c r="B306" s="516" t="s">
        <v>828</v>
      </c>
      <c r="C306" s="580">
        <f>+C303+C305</f>
        <v>242918844</v>
      </c>
      <c r="D306" s="580">
        <f>+D303+D305</f>
        <v>260554816</v>
      </c>
      <c r="E306" s="580">
        <f>D306-C306</f>
        <v>17635972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829</v>
      </c>
      <c r="C308" s="513">
        <v>242918844</v>
      </c>
      <c r="D308" s="513">
        <v>260554818</v>
      </c>
      <c r="E308" s="514">
        <f>D308-C308</f>
        <v>17635974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830</v>
      </c>
      <c r="C310" s="581">
        <f>C306-C308</f>
        <v>0</v>
      </c>
      <c r="D310" s="582">
        <f>D306-D308</f>
        <v>-2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832</v>
      </c>
      <c r="C314" s="514">
        <f>+C14+C15+C16+C19+C25+C26+C27+C30</f>
        <v>515222573</v>
      </c>
      <c r="D314" s="514">
        <f>+D14+D15+D16+D19+D25+D26+D27+D30</f>
        <v>533723134</v>
      </c>
      <c r="E314" s="514">
        <f>D314-C314</f>
        <v>18500561</v>
      </c>
    </row>
    <row r="315" spans="1:5" x14ac:dyDescent="0.2">
      <c r="A315" s="512">
        <v>2</v>
      </c>
      <c r="B315" s="583" t="s">
        <v>833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834</v>
      </c>
      <c r="C316" s="581">
        <f>C314+C315</f>
        <v>515222573</v>
      </c>
      <c r="D316" s="581">
        <f>D314+D315</f>
        <v>533723134</v>
      </c>
      <c r="E316" s="517">
        <f>D316-C316</f>
        <v>18500561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835</v>
      </c>
      <c r="C318" s="513">
        <v>515222573</v>
      </c>
      <c r="D318" s="513">
        <v>533723134</v>
      </c>
      <c r="E318" s="514">
        <f>D318-C318</f>
        <v>18500561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830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837</v>
      </c>
      <c r="C324" s="513">
        <f>+C193+C194</f>
        <v>7964101</v>
      </c>
      <c r="D324" s="513">
        <f>+D193+D194</f>
        <v>3387160</v>
      </c>
      <c r="E324" s="514">
        <f>D324-C324</f>
        <v>-4576941</v>
      </c>
    </row>
    <row r="325" spans="1:5" x14ac:dyDescent="0.2">
      <c r="A325" s="512">
        <v>2</v>
      </c>
      <c r="B325" s="511" t="s">
        <v>838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839</v>
      </c>
      <c r="C326" s="581">
        <f>C324+C325</f>
        <v>7964101</v>
      </c>
      <c r="D326" s="581">
        <f>D324+D325</f>
        <v>3387160</v>
      </c>
      <c r="E326" s="517">
        <f>D326-C326</f>
        <v>-4576941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840</v>
      </c>
      <c r="C328" s="513">
        <v>7964101</v>
      </c>
      <c r="D328" s="513">
        <v>3387160</v>
      </c>
      <c r="E328" s="514">
        <f>D328-C328</f>
        <v>-4576941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841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FILING&amp;RJOHN DEMPSEY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842</v>
      </c>
      <c r="B5" s="696"/>
      <c r="C5" s="697"/>
      <c r="D5" s="585"/>
    </row>
    <row r="6" spans="1:58" s="338" customFormat="1" ht="15.75" customHeight="1" x14ac:dyDescent="0.25">
      <c r="A6" s="695" t="s">
        <v>843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624</v>
      </c>
      <c r="C14" s="513">
        <v>79750329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603</v>
      </c>
      <c r="C15" s="515">
        <v>115405918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749</v>
      </c>
      <c r="C16" s="515">
        <v>61745961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61477752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716</v>
      </c>
      <c r="C18" s="515">
        <v>268209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2278364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731</v>
      </c>
      <c r="C20" s="515">
        <v>1175924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750</v>
      </c>
      <c r="C21" s="517">
        <f>SUM(C15+C16+C19)</f>
        <v>179430243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690</v>
      </c>
      <c r="C22" s="517">
        <f>SUM(C14+C21)</f>
        <v>259180572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624</v>
      </c>
      <c r="C25" s="513">
        <v>137682140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603</v>
      </c>
      <c r="C26" s="515">
        <v>90907100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749</v>
      </c>
      <c r="C27" s="515">
        <v>44162143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44013114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716</v>
      </c>
      <c r="C29" s="515">
        <v>149029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1791179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731</v>
      </c>
      <c r="C31" s="518">
        <v>2457383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752</v>
      </c>
      <c r="C32" s="517">
        <f>SUM(C26+C27+C30)</f>
        <v>136860422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696</v>
      </c>
      <c r="C33" s="517">
        <f>SUM(C25+C32)</f>
        <v>274542562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846</v>
      </c>
      <c r="C36" s="514">
        <f>SUM(C14+C25)</f>
        <v>217432469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847</v>
      </c>
      <c r="C37" s="518">
        <f>SUM(C21+C32)</f>
        <v>316290665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621</v>
      </c>
      <c r="C38" s="517">
        <f>SUM(+C36+C37)</f>
        <v>533723134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624</v>
      </c>
      <c r="C41" s="513">
        <v>48509473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603</v>
      </c>
      <c r="C42" s="515">
        <v>69374209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749</v>
      </c>
      <c r="C43" s="515">
        <v>20022325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19975514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716</v>
      </c>
      <c r="C45" s="515">
        <v>46811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716506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731</v>
      </c>
      <c r="C47" s="515">
        <v>230603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762</v>
      </c>
      <c r="C48" s="517">
        <f>SUM(C42+C43+C46)</f>
        <v>90113040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691</v>
      </c>
      <c r="C49" s="517">
        <f>SUM(C41+C48)</f>
        <v>138622513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624</v>
      </c>
      <c r="C52" s="513">
        <v>70434181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603</v>
      </c>
      <c r="C53" s="515">
        <v>31957894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749</v>
      </c>
      <c r="C54" s="515">
        <v>18892611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18881757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716</v>
      </c>
      <c r="C56" s="515">
        <v>10854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647617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731</v>
      </c>
      <c r="C58" s="515">
        <v>342475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764</v>
      </c>
      <c r="C59" s="517">
        <f>SUM(C53+C54+C57)</f>
        <v>51498122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697</v>
      </c>
      <c r="C60" s="517">
        <f>SUM(C52+C59)</f>
        <v>121932303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848</v>
      </c>
      <c r="C63" s="514">
        <f>SUM(C41+C52)</f>
        <v>118943654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849</v>
      </c>
      <c r="C64" s="518">
        <f>SUM(C48+C59)</f>
        <v>141611162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622</v>
      </c>
      <c r="C65" s="517">
        <f>SUM(+C63+C64)</f>
        <v>260554816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624</v>
      </c>
      <c r="C70" s="530">
        <v>3328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603</v>
      </c>
      <c r="C71" s="530">
        <v>3811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749</v>
      </c>
      <c r="C72" s="530">
        <v>1881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1872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716</v>
      </c>
      <c r="C74" s="530">
        <v>9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62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731</v>
      </c>
      <c r="C76" s="545">
        <v>50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779</v>
      </c>
      <c r="C77" s="532">
        <f>SUM(C71+C72+C75)</f>
        <v>5754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693</v>
      </c>
      <c r="C78" s="596">
        <f>SUM(C70+C77)</f>
        <v>9082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624</v>
      </c>
      <c r="C81" s="541">
        <v>1.4120999999999999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603</v>
      </c>
      <c r="C82" s="541">
        <v>1.5492999999999999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749</v>
      </c>
      <c r="C83" s="541">
        <f>((C73*C84)+(C74*C85))/(C73+C74)</f>
        <v>1.3355224880382774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1.3310999999999999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716</v>
      </c>
      <c r="C85" s="541">
        <v>2.2553999999999998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1.5218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731</v>
      </c>
      <c r="C87" s="541">
        <v>1.3480000000000001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785</v>
      </c>
      <c r="C88" s="543">
        <f>((C71*C82)+(C73*C84)+(C74*C85)+(C75*C86))/(C71+C73+C74+C75)</f>
        <v>1.4791191692735488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694</v>
      </c>
      <c r="C89" s="543">
        <f>((C70*C81)+(C71*C82)+(C73*C84)+(C74*C85)+(C75*C86))/(C70+C71+C73+C74+C75)</f>
        <v>1.4545607245100198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787</v>
      </c>
      <c r="C92" s="513">
        <v>213799162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788</v>
      </c>
      <c r="C93" s="546">
        <v>120391584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720</v>
      </c>
      <c r="C95" s="513">
        <f>+C92-C93</f>
        <v>93407578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638</v>
      </c>
      <c r="C96" s="597">
        <f>(+C92-C93)/C92</f>
        <v>0.43689403235359736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735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721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852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790</v>
      </c>
      <c r="C103" s="513">
        <v>873533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791</v>
      </c>
      <c r="C104" s="513">
        <v>2513627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792</v>
      </c>
      <c r="C105" s="578">
        <f>+C103+C104</f>
        <v>3387160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793</v>
      </c>
      <c r="C107" s="513">
        <v>2868190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678</v>
      </c>
      <c r="C108" s="513">
        <v>262964301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622</v>
      </c>
      <c r="C114" s="514">
        <f>+C65</f>
        <v>260554816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825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826</v>
      </c>
      <c r="C116" s="517">
        <f>+C114+C115</f>
        <v>260554816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827</v>
      </c>
      <c r="C118" s="578">
        <v>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828</v>
      </c>
      <c r="C119" s="580">
        <f>+C116+C118</f>
        <v>260554816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829</v>
      </c>
      <c r="C121" s="513">
        <v>260554818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830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832</v>
      </c>
      <c r="C127" s="514">
        <f>+C38</f>
        <v>533723134</v>
      </c>
      <c r="D127" s="588"/>
      <c r="AR127" s="507"/>
    </row>
    <row r="128" spans="1:58" s="506" customFormat="1" x14ac:dyDescent="0.2">
      <c r="A128" s="512">
        <v>2</v>
      </c>
      <c r="B128" s="583" t="s">
        <v>833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834</v>
      </c>
      <c r="C129" s="581">
        <f>C127+C128</f>
        <v>533723134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835</v>
      </c>
      <c r="C131" s="513">
        <v>533723134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830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837</v>
      </c>
      <c r="C137" s="513">
        <f>C105</f>
        <v>3387160</v>
      </c>
      <c r="D137" s="588"/>
      <c r="AR137" s="507"/>
    </row>
    <row r="138" spans="1:44" s="506" customFormat="1" x14ac:dyDescent="0.2">
      <c r="A138" s="512">
        <v>2</v>
      </c>
      <c r="B138" s="511" t="s">
        <v>853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839</v>
      </c>
      <c r="C139" s="581">
        <f>C137+C138</f>
        <v>3387160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854</v>
      </c>
      <c r="C141" s="513">
        <v>3387160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841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FILING&amp;RJOHN DEMPSEY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598</v>
      </c>
      <c r="D8" s="35" t="s">
        <v>598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600</v>
      </c>
      <c r="D9" s="607" t="s">
        <v>601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857</v>
      </c>
      <c r="C12" s="49">
        <v>575</v>
      </c>
      <c r="D12" s="49">
        <v>438</v>
      </c>
      <c r="E12" s="49">
        <f>+D12-C12</f>
        <v>-137</v>
      </c>
      <c r="F12" s="70">
        <f>IF(C12=0,0,+E12/C12)</f>
        <v>-0.23826086956521739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858</v>
      </c>
      <c r="C13" s="49">
        <v>197</v>
      </c>
      <c r="D13" s="49">
        <v>190</v>
      </c>
      <c r="E13" s="49">
        <f>+D13-C13</f>
        <v>-7</v>
      </c>
      <c r="F13" s="70">
        <f>IF(C13=0,0,+E13/C13)</f>
        <v>-3.553299492385787E-2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859</v>
      </c>
      <c r="C15" s="51">
        <v>1104104</v>
      </c>
      <c r="D15" s="51">
        <v>873533</v>
      </c>
      <c r="E15" s="51">
        <f>+D15-C15</f>
        <v>-230571</v>
      </c>
      <c r="F15" s="70">
        <f>IF(C15=0,0,+E15/C15)</f>
        <v>-0.20883087100490533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860</v>
      </c>
      <c r="C16" s="27">
        <f>IF(C13=0,0,+C15/+C13)</f>
        <v>5604.5888324873094</v>
      </c>
      <c r="D16" s="27">
        <f>IF(D13=0,0,+D15/+D13)</f>
        <v>4597.5421052631582</v>
      </c>
      <c r="E16" s="27">
        <f>+D16-C16</f>
        <v>-1007.0467272241513</v>
      </c>
      <c r="F16" s="28">
        <f>IF(C16=0,0,+E16/C16)</f>
        <v>-0.17968253467350703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861</v>
      </c>
      <c r="C18" s="210">
        <v>0.52954599999999996</v>
      </c>
      <c r="D18" s="210">
        <v>0.48929800000000001</v>
      </c>
      <c r="E18" s="210">
        <f>+D18-C18</f>
        <v>-4.024799999999995E-2</v>
      </c>
      <c r="F18" s="70">
        <f>IF(C18=0,0,+E18/C18)</f>
        <v>-7.6004728578820263E-2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862</v>
      </c>
      <c r="C19" s="27">
        <f>+C15*C18</f>
        <v>584673.85678399995</v>
      </c>
      <c r="D19" s="27">
        <f>+D15*D18</f>
        <v>427417.94983400003</v>
      </c>
      <c r="E19" s="27">
        <f>+D19-C19</f>
        <v>-157255.90694999992</v>
      </c>
      <c r="F19" s="28">
        <f>IF(C19=0,0,+E19/C19)</f>
        <v>-0.26896346591411907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863</v>
      </c>
      <c r="C20" s="27">
        <f>IF(C13=0,0,+C19/C13)</f>
        <v>2967.8875978883248</v>
      </c>
      <c r="D20" s="27">
        <f>IF(D13=0,0,+D19/D13)</f>
        <v>2249.5681570210527</v>
      </c>
      <c r="E20" s="27">
        <f>+D20-C20</f>
        <v>-718.31944086727208</v>
      </c>
      <c r="F20" s="28">
        <f>IF(C20=0,0,+E20/C20)</f>
        <v>-0.24203054097411303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864</v>
      </c>
      <c r="C22" s="51">
        <v>549315</v>
      </c>
      <c r="D22" s="51">
        <v>345689</v>
      </c>
      <c r="E22" s="51">
        <f>+D22-C22</f>
        <v>-203626</v>
      </c>
      <c r="F22" s="70">
        <f>IF(C22=0,0,+E22/C22)</f>
        <v>-0.37069076941281415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865</v>
      </c>
      <c r="C23" s="49">
        <v>154993</v>
      </c>
      <c r="D23" s="49">
        <v>194666</v>
      </c>
      <c r="E23" s="49">
        <f>+D23-C23</f>
        <v>39673</v>
      </c>
      <c r="F23" s="70">
        <f>IF(C23=0,0,+E23/C23)</f>
        <v>0.25596639848251213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866</v>
      </c>
      <c r="C24" s="49">
        <v>399796</v>
      </c>
      <c r="D24" s="49">
        <v>333178</v>
      </c>
      <c r="E24" s="49">
        <f>+D24-C24</f>
        <v>-66618</v>
      </c>
      <c r="F24" s="70">
        <f>IF(C24=0,0,+E24/C24)</f>
        <v>-0.16662998129045814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859</v>
      </c>
      <c r="C25" s="27">
        <f>+C22+C23+C24</f>
        <v>1104104</v>
      </c>
      <c r="D25" s="27">
        <f>+D22+D23+D24</f>
        <v>873533</v>
      </c>
      <c r="E25" s="27">
        <f>+E22+E23+E24</f>
        <v>-230571</v>
      </c>
      <c r="F25" s="28">
        <f>IF(C25=0,0,+E25/C25)</f>
        <v>-0.20883087100490533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867</v>
      </c>
      <c r="C27" s="49">
        <v>202</v>
      </c>
      <c r="D27" s="49">
        <v>143</v>
      </c>
      <c r="E27" s="49">
        <f>+D27-C27</f>
        <v>-59</v>
      </c>
      <c r="F27" s="70">
        <f>IF(C27=0,0,+E27/C27)</f>
        <v>-0.29207920792079206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868</v>
      </c>
      <c r="C28" s="49">
        <v>36</v>
      </c>
      <c r="D28" s="49">
        <v>38</v>
      </c>
      <c r="E28" s="49">
        <f>+D28-C28</f>
        <v>2</v>
      </c>
      <c r="F28" s="70">
        <f>IF(C28=0,0,+E28/C28)</f>
        <v>5.5555555555555552E-2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869</v>
      </c>
      <c r="C29" s="49">
        <v>174</v>
      </c>
      <c r="D29" s="49">
        <v>407</v>
      </c>
      <c r="E29" s="49">
        <f>+D29-C29</f>
        <v>233</v>
      </c>
      <c r="F29" s="70">
        <f>IF(C29=0,0,+E29/C29)</f>
        <v>1.3390804597701149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870</v>
      </c>
      <c r="C30" s="49">
        <v>409</v>
      </c>
      <c r="D30" s="49">
        <v>515</v>
      </c>
      <c r="E30" s="49">
        <f>+D30-C30</f>
        <v>106</v>
      </c>
      <c r="F30" s="70">
        <f>IF(C30=0,0,+E30/C30)</f>
        <v>0.25916870415647919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872</v>
      </c>
      <c r="C33" s="51">
        <v>2263799</v>
      </c>
      <c r="D33" s="51">
        <v>779224</v>
      </c>
      <c r="E33" s="51">
        <f>+D33-C33</f>
        <v>-1484575</v>
      </c>
      <c r="F33" s="70">
        <f>IF(C33=0,0,+E33/C33)</f>
        <v>-0.65578922863734812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873</v>
      </c>
      <c r="C34" s="49">
        <v>2195199</v>
      </c>
      <c r="D34" s="49">
        <v>879770</v>
      </c>
      <c r="E34" s="49">
        <f>+D34-C34</f>
        <v>-1315429</v>
      </c>
      <c r="F34" s="70">
        <f>IF(C34=0,0,+E34/C34)</f>
        <v>-0.59922995591743622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874</v>
      </c>
      <c r="C35" s="49">
        <v>2400999</v>
      </c>
      <c r="D35" s="49">
        <v>854633</v>
      </c>
      <c r="E35" s="49">
        <f>+D35-C35</f>
        <v>-1546366</v>
      </c>
      <c r="F35" s="70">
        <f>IF(C35=0,0,+E35/C35)</f>
        <v>-0.64405108040444836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875</v>
      </c>
      <c r="C36" s="27">
        <f>+C33+C34+C35</f>
        <v>6859997</v>
      </c>
      <c r="D36" s="27">
        <f>+D33+D34+D35</f>
        <v>2513627</v>
      </c>
      <c r="E36" s="27">
        <f>+E33+E34+E35</f>
        <v>-4346370</v>
      </c>
      <c r="F36" s="28">
        <f>IF(C36=0,0,+E36/C36)</f>
        <v>-0.63358190972969808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877</v>
      </c>
      <c r="C39" s="51">
        <f>+C25</f>
        <v>1104104</v>
      </c>
      <c r="D39" s="51">
        <f>+D25</f>
        <v>873533</v>
      </c>
      <c r="E39" s="51">
        <f>+D39-C39</f>
        <v>-230571</v>
      </c>
      <c r="F39" s="70">
        <f>IF(C39=0,0,+E39/C39)</f>
        <v>-0.20883087100490533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878</v>
      </c>
      <c r="C40" s="49">
        <f>+C36</f>
        <v>6859997</v>
      </c>
      <c r="D40" s="49">
        <f>+D36</f>
        <v>2513627</v>
      </c>
      <c r="E40" s="49">
        <f>+D40-C40</f>
        <v>-4346370</v>
      </c>
      <c r="F40" s="70">
        <f>IF(C40=0,0,+E40/C40)</f>
        <v>-0.63358190972969808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879</v>
      </c>
      <c r="C41" s="27">
        <f>+C39+C40</f>
        <v>7964101</v>
      </c>
      <c r="D41" s="27">
        <f>+D39+D40</f>
        <v>3387160</v>
      </c>
      <c r="E41" s="27">
        <f>+E39+E40</f>
        <v>-4576941</v>
      </c>
      <c r="F41" s="28">
        <f>IF(C41=0,0,+E41/C41)</f>
        <v>-0.57469650372339576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880</v>
      </c>
      <c r="C43" s="51">
        <f t="shared" ref="C43:D45" si="0">+C22+C33</f>
        <v>2813114</v>
      </c>
      <c r="D43" s="51">
        <f t="shared" si="0"/>
        <v>1124913</v>
      </c>
      <c r="E43" s="51">
        <f>+D43-C43</f>
        <v>-1688201</v>
      </c>
      <c r="F43" s="70">
        <f>IF(C43=0,0,+E43/C43)</f>
        <v>-0.60011823196642577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881</v>
      </c>
      <c r="C44" s="49">
        <f t="shared" si="0"/>
        <v>2350192</v>
      </c>
      <c r="D44" s="49">
        <f t="shared" si="0"/>
        <v>1074436</v>
      </c>
      <c r="E44" s="49">
        <f>+D44-C44</f>
        <v>-1275756</v>
      </c>
      <c r="F44" s="70">
        <f>IF(C44=0,0,+E44/C44)</f>
        <v>-0.54283054320668267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882</v>
      </c>
      <c r="C45" s="49">
        <f t="shared" si="0"/>
        <v>2800795</v>
      </c>
      <c r="D45" s="49">
        <f t="shared" si="0"/>
        <v>1187811</v>
      </c>
      <c r="E45" s="49">
        <f>+D45-C45</f>
        <v>-1612984</v>
      </c>
      <c r="F45" s="70">
        <f>IF(C45=0,0,+E45/C45)</f>
        <v>-0.57590219919701369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879</v>
      </c>
      <c r="C46" s="27">
        <f>+C43+C44+C45</f>
        <v>7964101</v>
      </c>
      <c r="D46" s="27">
        <f>+D43+D44+D45</f>
        <v>3387160</v>
      </c>
      <c r="E46" s="27">
        <f>+E43+E44+E45</f>
        <v>-4576941</v>
      </c>
      <c r="F46" s="28">
        <f>IF(C46=0,0,+E46/C46)</f>
        <v>-0.57469650372339576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FILING&amp;RJOHN DEMPSEY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600</v>
      </c>
      <c r="D9" s="35" t="s">
        <v>601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886</v>
      </c>
      <c r="D10" s="35" t="s">
        <v>886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887</v>
      </c>
      <c r="D11" s="605" t="s">
        <v>887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216807678</v>
      </c>
      <c r="D15" s="51">
        <v>213799162</v>
      </c>
      <c r="E15" s="51">
        <f>+D15-C15</f>
        <v>-3008516</v>
      </c>
      <c r="F15" s="70">
        <f>+E15/C15</f>
        <v>-1.3876427383720238E-2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889</v>
      </c>
      <c r="C17" s="51">
        <v>100103228</v>
      </c>
      <c r="D17" s="51">
        <v>93407578</v>
      </c>
      <c r="E17" s="51">
        <f>+D17-C17</f>
        <v>-6695650</v>
      </c>
      <c r="F17" s="70">
        <f>+E17/C17</f>
        <v>-6.6887453419584034E-2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890</v>
      </c>
      <c r="C19" s="27">
        <f>+C15-C17</f>
        <v>116704450</v>
      </c>
      <c r="D19" s="27">
        <f>+D15-D17</f>
        <v>120391584</v>
      </c>
      <c r="E19" s="27">
        <f>+D19-C19</f>
        <v>3687134</v>
      </c>
      <c r="F19" s="28">
        <f>+E19/C19</f>
        <v>3.1593773844956215E-2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891</v>
      </c>
      <c r="C21" s="628">
        <f>+C17/C15</f>
        <v>0.4617144047822882</v>
      </c>
      <c r="D21" s="628">
        <f>+D17/D15</f>
        <v>0.43689403235359736</v>
      </c>
      <c r="E21" s="628">
        <f>+D21-C21</f>
        <v>-2.482037242869084E-2</v>
      </c>
      <c r="F21" s="28">
        <f>+E21/C21</f>
        <v>-5.3756980877376716E-2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892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FILING&amp;R&amp;12JOHN DEMPSEY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894</v>
      </c>
      <c r="B6" s="632" t="s">
        <v>895</v>
      </c>
      <c r="C6" s="632" t="s">
        <v>896</v>
      </c>
      <c r="D6" s="632" t="s">
        <v>897</v>
      </c>
      <c r="E6" s="632" t="s">
        <v>898</v>
      </c>
    </row>
    <row r="7" spans="1:6" ht="37.5" customHeight="1" x14ac:dyDescent="0.25">
      <c r="A7" s="633" t="s">
        <v>8</v>
      </c>
      <c r="B7" s="634" t="s">
        <v>899</v>
      </c>
      <c r="C7" s="631" t="s">
        <v>900</v>
      </c>
      <c r="D7" s="631" t="s">
        <v>901</v>
      </c>
      <c r="E7" s="631" t="s">
        <v>902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904</v>
      </c>
      <c r="C10" s="641">
        <v>244010061</v>
      </c>
      <c r="D10" s="641">
        <v>271260811</v>
      </c>
      <c r="E10" s="641">
        <v>259180572</v>
      </c>
    </row>
    <row r="11" spans="1:6" ht="26.1" customHeight="1" x14ac:dyDescent="0.25">
      <c r="A11" s="639">
        <v>2</v>
      </c>
      <c r="B11" s="640" t="s">
        <v>905</v>
      </c>
      <c r="C11" s="641">
        <v>236758939</v>
      </c>
      <c r="D11" s="641">
        <v>243961762</v>
      </c>
      <c r="E11" s="641">
        <v>274542562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480769000</v>
      </c>
      <c r="D12" s="641">
        <f>+D11+D10</f>
        <v>515222573</v>
      </c>
      <c r="E12" s="641">
        <f>+E11+E10</f>
        <v>533723134</v>
      </c>
    </row>
    <row r="13" spans="1:6" ht="26.1" customHeight="1" x14ac:dyDescent="0.25">
      <c r="A13" s="639">
        <v>4</v>
      </c>
      <c r="B13" s="640" t="s">
        <v>482</v>
      </c>
      <c r="C13" s="641">
        <v>251133088</v>
      </c>
      <c r="D13" s="641">
        <v>253989584</v>
      </c>
      <c r="E13" s="641">
        <v>268117022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906</v>
      </c>
      <c r="C16" s="641">
        <v>266850045</v>
      </c>
      <c r="D16" s="641">
        <v>279636521</v>
      </c>
      <c r="E16" s="641">
        <v>286852873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56119</v>
      </c>
      <c r="D19" s="644">
        <v>51230</v>
      </c>
      <c r="E19" s="644">
        <v>51614</v>
      </c>
    </row>
    <row r="20" spans="1:5" ht="26.1" customHeight="1" x14ac:dyDescent="0.25">
      <c r="A20" s="639">
        <v>2</v>
      </c>
      <c r="B20" s="640" t="s">
        <v>371</v>
      </c>
      <c r="C20" s="645">
        <v>9587</v>
      </c>
      <c r="D20" s="645">
        <v>9567</v>
      </c>
      <c r="E20" s="645">
        <v>9082</v>
      </c>
    </row>
    <row r="21" spans="1:5" ht="26.1" customHeight="1" x14ac:dyDescent="0.25">
      <c r="A21" s="639">
        <v>3</v>
      </c>
      <c r="B21" s="640" t="s">
        <v>908</v>
      </c>
      <c r="C21" s="646">
        <f>IF(C20=0,0,+C19/C20)</f>
        <v>5.8536559924898297</v>
      </c>
      <c r="D21" s="646">
        <f>IF(D20=0,0,+D19/D20)</f>
        <v>5.3548656841225046</v>
      </c>
      <c r="E21" s="646">
        <f>IF(E20=0,0,+E19/E20)</f>
        <v>5.683109447258313</v>
      </c>
    </row>
    <row r="22" spans="1:5" ht="26.1" customHeight="1" x14ac:dyDescent="0.25">
      <c r="A22" s="639">
        <v>4</v>
      </c>
      <c r="B22" s="640" t="s">
        <v>909</v>
      </c>
      <c r="C22" s="645">
        <f>IF(C10=0,0,C19*(C12/C10))</f>
        <v>110570.34042133206</v>
      </c>
      <c r="D22" s="645">
        <f>IF(D10=0,0,D19*(D12/D10))</f>
        <v>97304.333484389674</v>
      </c>
      <c r="E22" s="645">
        <f>IF(E10=0,0,E19*(E12/E10))</f>
        <v>106287.23297314122</v>
      </c>
    </row>
    <row r="23" spans="1:5" ht="26.1" customHeight="1" x14ac:dyDescent="0.25">
      <c r="A23" s="639">
        <v>0</v>
      </c>
      <c r="B23" s="640" t="s">
        <v>910</v>
      </c>
      <c r="C23" s="645">
        <f>IF(C10=0,0,C20*(C12/C10))</f>
        <v>18889.108031492193</v>
      </c>
      <c r="D23" s="645">
        <f>IF(D10=0,0,D20*(D12/D10))</f>
        <v>18171.199657332734</v>
      </c>
      <c r="E23" s="645">
        <f>IF(E10=0,0,E20*(E12/E10))</f>
        <v>18702.302667145901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1.5053650777093983</v>
      </c>
      <c r="D26" s="647">
        <v>1.4917819170063762</v>
      </c>
      <c r="E26" s="647">
        <v>1.4545607245100198</v>
      </c>
    </row>
    <row r="27" spans="1:5" ht="26.1" customHeight="1" x14ac:dyDescent="0.25">
      <c r="A27" s="639">
        <v>2</v>
      </c>
      <c r="B27" s="640" t="s">
        <v>912</v>
      </c>
      <c r="C27" s="645">
        <f>C19*C26</f>
        <v>84479.582795973722</v>
      </c>
      <c r="D27" s="645">
        <f>D19*D26</f>
        <v>76423.987608236654</v>
      </c>
      <c r="E27" s="645">
        <f>E19*E26</f>
        <v>75075.69723486017</v>
      </c>
    </row>
    <row r="28" spans="1:5" ht="26.1" customHeight="1" x14ac:dyDescent="0.25">
      <c r="A28" s="639">
        <v>3</v>
      </c>
      <c r="B28" s="640" t="s">
        <v>913</v>
      </c>
      <c r="C28" s="645">
        <f>C20*C26</f>
        <v>14431.935000000001</v>
      </c>
      <c r="D28" s="645">
        <f>D20*D26</f>
        <v>14271.877600000002</v>
      </c>
      <c r="E28" s="645">
        <f>E20*E26</f>
        <v>13210.3205</v>
      </c>
    </row>
    <row r="29" spans="1:5" ht="26.1" customHeight="1" x14ac:dyDescent="0.25">
      <c r="A29" s="639">
        <v>4</v>
      </c>
      <c r="B29" s="640" t="s">
        <v>914</v>
      </c>
      <c r="C29" s="645">
        <f>C22*C26</f>
        <v>166448.72910071316</v>
      </c>
      <c r="D29" s="645">
        <f>D22*D26</f>
        <v>145156.84513837055</v>
      </c>
      <c r="E29" s="645">
        <f>E22*E26</f>
        <v>154601.23459957755</v>
      </c>
    </row>
    <row r="30" spans="1:5" ht="26.1" customHeight="1" x14ac:dyDescent="0.25">
      <c r="A30" s="639">
        <v>5</v>
      </c>
      <c r="B30" s="640" t="s">
        <v>915</v>
      </c>
      <c r="C30" s="645">
        <f>C23*C26</f>
        <v>28435.003579688466</v>
      </c>
      <c r="D30" s="645">
        <f>D23*D26</f>
        <v>27107.467059121431</v>
      </c>
      <c r="E30" s="645">
        <f>E23*E26</f>
        <v>27203.63491752942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917</v>
      </c>
      <c r="C33" s="641">
        <f>IF(C19=0,0,C12/C19)</f>
        <v>8566.955932928242</v>
      </c>
      <c r="D33" s="641">
        <f>IF(D19=0,0,D12/D19)</f>
        <v>10057.048077298457</v>
      </c>
      <c r="E33" s="641">
        <f>IF(E19=0,0,E12/E19)</f>
        <v>10340.66598209788</v>
      </c>
    </row>
    <row r="34" spans="1:5" ht="26.1" customHeight="1" x14ac:dyDescent="0.25">
      <c r="A34" s="639">
        <v>2</v>
      </c>
      <c r="B34" s="640" t="s">
        <v>918</v>
      </c>
      <c r="C34" s="641">
        <f>IF(C20=0,0,C12/C20)</f>
        <v>50148.012934181701</v>
      </c>
      <c r="D34" s="641">
        <f>IF(D20=0,0,D12/D20)</f>
        <v>53854.141632695726</v>
      </c>
      <c r="E34" s="641">
        <f>IF(E20=0,0,E12/E20)</f>
        <v>58767.136533803125</v>
      </c>
    </row>
    <row r="35" spans="1:5" ht="26.1" customHeight="1" x14ac:dyDescent="0.25">
      <c r="A35" s="639">
        <v>3</v>
      </c>
      <c r="B35" s="640" t="s">
        <v>919</v>
      </c>
      <c r="C35" s="641">
        <f>IF(C22=0,0,C12/C22)</f>
        <v>4348.0828418182791</v>
      </c>
      <c r="D35" s="641">
        <f>IF(D22=0,0,D12/D22)</f>
        <v>5294.9601991020891</v>
      </c>
      <c r="E35" s="641">
        <f>IF(E22=0,0,E12/E22)</f>
        <v>5021.5168752664003</v>
      </c>
    </row>
    <row r="36" spans="1:5" ht="26.1" customHeight="1" x14ac:dyDescent="0.25">
      <c r="A36" s="639">
        <v>4</v>
      </c>
      <c r="B36" s="640" t="s">
        <v>920</v>
      </c>
      <c r="C36" s="641">
        <f>IF(C23=0,0,C12/C23)</f>
        <v>25452.181182851778</v>
      </c>
      <c r="D36" s="641">
        <f>IF(D23=0,0,D12/D23)</f>
        <v>28353.80066896624</v>
      </c>
      <c r="E36" s="641">
        <f>IF(E23=0,0,E12/E23)</f>
        <v>28537.829993393523</v>
      </c>
    </row>
    <row r="37" spans="1:5" ht="26.1" customHeight="1" x14ac:dyDescent="0.25">
      <c r="A37" s="639">
        <v>5</v>
      </c>
      <c r="B37" s="640" t="s">
        <v>921</v>
      </c>
      <c r="C37" s="641">
        <f>IF(C29=0,0,C12/C29)</f>
        <v>2888.3909333372021</v>
      </c>
      <c r="D37" s="641">
        <f>IF(D29=0,0,D12/D29)</f>
        <v>3549.419750125217</v>
      </c>
      <c r="E37" s="641">
        <f>IF(E29=0,0,E12/E29)</f>
        <v>3452.2566096083324</v>
      </c>
    </row>
    <row r="38" spans="1:5" ht="26.1" customHeight="1" x14ac:dyDescent="0.25">
      <c r="A38" s="639">
        <v>6</v>
      </c>
      <c r="B38" s="640" t="s">
        <v>922</v>
      </c>
      <c r="C38" s="641">
        <f>IF(C30=0,0,C12/C30)</f>
        <v>16907.646895582606</v>
      </c>
      <c r="D38" s="641">
        <f>IF(D30=0,0,D12/D30)</f>
        <v>19006.6660184922</v>
      </c>
      <c r="E38" s="641">
        <f>IF(E30=0,0,E12/E30)</f>
        <v>19619.552152425065</v>
      </c>
    </row>
    <row r="39" spans="1:5" ht="26.1" customHeight="1" x14ac:dyDescent="0.25">
      <c r="A39" s="639">
        <v>7</v>
      </c>
      <c r="B39" s="640" t="s">
        <v>923</v>
      </c>
      <c r="C39" s="641">
        <f>IF(C22=0,0,C10/C22)</f>
        <v>2206.8310549663802</v>
      </c>
      <c r="D39" s="641">
        <f>IF(D22=0,0,D10/D22)</f>
        <v>2787.7567348376915</v>
      </c>
      <c r="E39" s="641">
        <f>IF(E22=0,0,E10/E22)</f>
        <v>2438.4920441526119</v>
      </c>
    </row>
    <row r="40" spans="1:5" ht="26.1" customHeight="1" x14ac:dyDescent="0.25">
      <c r="A40" s="639">
        <v>8</v>
      </c>
      <c r="B40" s="640" t="s">
        <v>924</v>
      </c>
      <c r="C40" s="641">
        <f>IF(C23=0,0,C10/C23)</f>
        <v>12918.029829316605</v>
      </c>
      <c r="D40" s="641">
        <f>IF(D23=0,0,D10/D23)</f>
        <v>14928.062875063753</v>
      </c>
      <c r="E40" s="641">
        <f>IF(E23=0,0,E10/E23)</f>
        <v>13858.217173187943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926</v>
      </c>
      <c r="C43" s="641">
        <f>IF(C19=0,0,C13/C19)</f>
        <v>4475.0100322528915</v>
      </c>
      <c r="D43" s="641">
        <f>IF(D19=0,0,D13/D19)</f>
        <v>4957.8290845207885</v>
      </c>
      <c r="E43" s="641">
        <f>IF(E19=0,0,E13/E19)</f>
        <v>5194.6569147905611</v>
      </c>
    </row>
    <row r="44" spans="1:5" ht="26.1" customHeight="1" x14ac:dyDescent="0.25">
      <c r="A44" s="639">
        <v>2</v>
      </c>
      <c r="B44" s="640" t="s">
        <v>927</v>
      </c>
      <c r="C44" s="641">
        <f>IF(C20=0,0,C13/C20)</f>
        <v>26195.169291749244</v>
      </c>
      <c r="D44" s="641">
        <f>IF(D20=0,0,D13/D20)</f>
        <v>26548.508832444862</v>
      </c>
      <c r="E44" s="641">
        <f>IF(E20=0,0,E13/E20)</f>
        <v>29521.803787711957</v>
      </c>
    </row>
    <row r="45" spans="1:5" ht="26.1" customHeight="1" x14ac:dyDescent="0.25">
      <c r="A45" s="639">
        <v>3</v>
      </c>
      <c r="B45" s="640" t="s">
        <v>928</v>
      </c>
      <c r="C45" s="641">
        <f>IF(C22=0,0,C13/C22)</f>
        <v>2271.2518297678093</v>
      </c>
      <c r="D45" s="641">
        <f>IF(D22=0,0,D13/D22)</f>
        <v>2610.259737720181</v>
      </c>
      <c r="E45" s="641">
        <f>IF(E22=0,0,E13/E22)</f>
        <v>2522.570345468991</v>
      </c>
    </row>
    <row r="46" spans="1:5" ht="26.1" customHeight="1" x14ac:dyDescent="0.25">
      <c r="A46" s="639">
        <v>4</v>
      </c>
      <c r="B46" s="640" t="s">
        <v>929</v>
      </c>
      <c r="C46" s="641">
        <f>IF(C23=0,0,C13/C23)</f>
        <v>13295.126883773828</v>
      </c>
      <c r="D46" s="641">
        <f>IF(D23=0,0,D13/D23)</f>
        <v>13977.590296164406</v>
      </c>
      <c r="E46" s="641">
        <f>IF(E23=0,0,E13/E23)</f>
        <v>14336.043361708491</v>
      </c>
    </row>
    <row r="47" spans="1:5" ht="26.1" customHeight="1" x14ac:dyDescent="0.25">
      <c r="A47" s="639">
        <v>5</v>
      </c>
      <c r="B47" s="640" t="s">
        <v>930</v>
      </c>
      <c r="C47" s="641">
        <f>IF(C29=0,0,C13/C29)</f>
        <v>1508.7714358458506</v>
      </c>
      <c r="D47" s="641">
        <f>IF(D29=0,0,D13/D29)</f>
        <v>1749.7596049148408</v>
      </c>
      <c r="E47" s="641">
        <f>IF(E29=0,0,E13/E29)</f>
        <v>1734.2489061903818</v>
      </c>
    </row>
    <row r="48" spans="1:5" ht="26.1" customHeight="1" x14ac:dyDescent="0.25">
      <c r="A48" s="639">
        <v>6</v>
      </c>
      <c r="B48" s="640" t="s">
        <v>931</v>
      </c>
      <c r="C48" s="641">
        <f>IF(C30=0,0,C13/C30)</f>
        <v>8831.8289567365482</v>
      </c>
      <c r="D48" s="641">
        <f>IF(D30=0,0,D13/D30)</f>
        <v>9369.7276638222338</v>
      </c>
      <c r="E48" s="641">
        <f>IF(E30=0,0,E13/E30)</f>
        <v>9855.9263426679554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933</v>
      </c>
      <c r="C51" s="641">
        <f>IF(C19=0,0,C16/C19)</f>
        <v>4755.0748409629541</v>
      </c>
      <c r="D51" s="641">
        <f>IF(D19=0,0,D16/D19)</f>
        <v>5458.4524887761081</v>
      </c>
      <c r="E51" s="641">
        <f>IF(E19=0,0,E16/E19)</f>
        <v>5557.6563141783236</v>
      </c>
    </row>
    <row r="52" spans="1:6" ht="26.1" customHeight="1" x14ac:dyDescent="0.25">
      <c r="A52" s="639">
        <v>2</v>
      </c>
      <c r="B52" s="640" t="s">
        <v>934</v>
      </c>
      <c r="C52" s="641">
        <f>IF(C20=0,0,C16/C20)</f>
        <v>27834.57233754042</v>
      </c>
      <c r="D52" s="641">
        <f>IF(D20=0,0,D16/D20)</f>
        <v>29229.279920560261</v>
      </c>
      <c r="E52" s="641">
        <f>IF(E20=0,0,E16/E20)</f>
        <v>31584.769103721646</v>
      </c>
    </row>
    <row r="53" spans="1:6" ht="26.1" customHeight="1" x14ac:dyDescent="0.25">
      <c r="A53" s="639">
        <v>3</v>
      </c>
      <c r="B53" s="640" t="s">
        <v>935</v>
      </c>
      <c r="C53" s="641">
        <f>IF(C22=0,0,C16/C22)</f>
        <v>2413.3962505963063</v>
      </c>
      <c r="D53" s="641">
        <f>IF(D22=0,0,D16/D22)</f>
        <v>2873.8341961394913</v>
      </c>
      <c r="E53" s="641">
        <f>IF(E22=0,0,E16/E22)</f>
        <v>2698.8459947253282</v>
      </c>
    </row>
    <row r="54" spans="1:6" ht="26.1" customHeight="1" x14ac:dyDescent="0.25">
      <c r="A54" s="639">
        <v>4</v>
      </c>
      <c r="B54" s="640" t="s">
        <v>936</v>
      </c>
      <c r="C54" s="641">
        <f>IF(C23=0,0,C16/C23)</f>
        <v>14127.191424555556</v>
      </c>
      <c r="D54" s="641">
        <f>IF(D23=0,0,D16/D23)</f>
        <v>15388.996118765146</v>
      </c>
      <c r="E54" s="641">
        <f>IF(E23=0,0,E16/E23)</f>
        <v>15337.837169318771</v>
      </c>
    </row>
    <row r="55" spans="1:6" ht="26.1" customHeight="1" x14ac:dyDescent="0.25">
      <c r="A55" s="639">
        <v>5</v>
      </c>
      <c r="B55" s="640" t="s">
        <v>937</v>
      </c>
      <c r="C55" s="641">
        <f>IF(C29=0,0,C16/C29)</f>
        <v>1603.196650654731</v>
      </c>
      <c r="D55" s="641">
        <f>IF(D29=0,0,D16/D29)</f>
        <v>1926.44391474227</v>
      </c>
      <c r="E55" s="641">
        <f>IF(E29=0,0,E16/E29)</f>
        <v>1855.4371428078093</v>
      </c>
    </row>
    <row r="56" spans="1:6" ht="26.1" customHeight="1" x14ac:dyDescent="0.25">
      <c r="A56" s="639">
        <v>6</v>
      </c>
      <c r="B56" s="640" t="s">
        <v>938</v>
      </c>
      <c r="C56" s="641">
        <f>IF(C30=0,0,C16/C30)</f>
        <v>9384.5616812446915</v>
      </c>
      <c r="D56" s="641">
        <f>IF(D30=0,0,D16/D30)</f>
        <v>10315.848411440002</v>
      </c>
      <c r="E56" s="641">
        <f>IF(E30=0,0,E16/E30)</f>
        <v>10544.652355085032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939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940</v>
      </c>
      <c r="C59" s="649">
        <v>26333098</v>
      </c>
      <c r="D59" s="649">
        <v>31768766</v>
      </c>
      <c r="E59" s="649">
        <v>33899265</v>
      </c>
    </row>
    <row r="60" spans="1:6" ht="26.1" customHeight="1" x14ac:dyDescent="0.25">
      <c r="A60" s="639">
        <v>2</v>
      </c>
      <c r="B60" s="640" t="s">
        <v>941</v>
      </c>
      <c r="C60" s="649">
        <v>9743246</v>
      </c>
      <c r="D60" s="649">
        <v>13355703</v>
      </c>
      <c r="E60" s="649">
        <v>14671255</v>
      </c>
    </row>
    <row r="61" spans="1:6" ht="26.1" customHeight="1" x14ac:dyDescent="0.25">
      <c r="A61" s="650">
        <v>3</v>
      </c>
      <c r="B61" s="651" t="s">
        <v>942</v>
      </c>
      <c r="C61" s="652">
        <f>C59+C60</f>
        <v>36076344</v>
      </c>
      <c r="D61" s="652">
        <f>D59+D60</f>
        <v>45124469</v>
      </c>
      <c r="E61" s="652">
        <f>E59+E60</f>
        <v>48570520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944</v>
      </c>
      <c r="C64" s="641">
        <v>2069189</v>
      </c>
      <c r="D64" s="641">
        <v>2198863</v>
      </c>
      <c r="E64" s="649">
        <v>2350320</v>
      </c>
      <c r="F64" s="653"/>
    </row>
    <row r="65" spans="1:6" ht="26.1" customHeight="1" x14ac:dyDescent="0.25">
      <c r="A65" s="639">
        <v>2</v>
      </c>
      <c r="B65" s="640" t="s">
        <v>945</v>
      </c>
      <c r="C65" s="649">
        <v>765600</v>
      </c>
      <c r="D65" s="649">
        <v>512981</v>
      </c>
      <c r="E65" s="649">
        <v>558790</v>
      </c>
      <c r="F65" s="653"/>
    </row>
    <row r="66" spans="1:6" ht="26.1" customHeight="1" x14ac:dyDescent="0.25">
      <c r="A66" s="650">
        <v>3</v>
      </c>
      <c r="B66" s="651" t="s">
        <v>946</v>
      </c>
      <c r="C66" s="654">
        <f>C64+C65</f>
        <v>2834789</v>
      </c>
      <c r="D66" s="654">
        <f>D64+D65</f>
        <v>2711844</v>
      </c>
      <c r="E66" s="654">
        <f>E64+E65</f>
        <v>2909110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948</v>
      </c>
      <c r="C69" s="649">
        <v>65178049</v>
      </c>
      <c r="D69" s="649">
        <v>54796522</v>
      </c>
      <c r="E69" s="649">
        <v>59381744</v>
      </c>
    </row>
    <row r="70" spans="1:6" ht="26.1" customHeight="1" x14ac:dyDescent="0.25">
      <c r="A70" s="639">
        <v>2</v>
      </c>
      <c r="B70" s="640" t="s">
        <v>949</v>
      </c>
      <c r="C70" s="649">
        <v>24443636</v>
      </c>
      <c r="D70" s="649">
        <v>24957115</v>
      </c>
      <c r="E70" s="649">
        <v>26925351</v>
      </c>
    </row>
    <row r="71" spans="1:6" ht="26.1" customHeight="1" x14ac:dyDescent="0.25">
      <c r="A71" s="650">
        <v>3</v>
      </c>
      <c r="B71" s="651" t="s">
        <v>950</v>
      </c>
      <c r="C71" s="652">
        <f>C69+C70</f>
        <v>89621685</v>
      </c>
      <c r="D71" s="652">
        <f>D69+D70</f>
        <v>79753637</v>
      </c>
      <c r="E71" s="652">
        <f>E69+E70</f>
        <v>86307095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952</v>
      </c>
      <c r="C75" s="641">
        <f t="shared" ref="C75:E76" si="0">+C59+C64+C69</f>
        <v>93580336</v>
      </c>
      <c r="D75" s="641">
        <f t="shared" si="0"/>
        <v>88764151</v>
      </c>
      <c r="E75" s="641">
        <f t="shared" si="0"/>
        <v>95631329</v>
      </c>
    </row>
    <row r="76" spans="1:6" ht="26.1" customHeight="1" x14ac:dyDescent="0.25">
      <c r="A76" s="639">
        <v>2</v>
      </c>
      <c r="B76" s="640" t="s">
        <v>953</v>
      </c>
      <c r="C76" s="641">
        <f t="shared" si="0"/>
        <v>34952482</v>
      </c>
      <c r="D76" s="641">
        <f t="shared" si="0"/>
        <v>38825799</v>
      </c>
      <c r="E76" s="641">
        <f t="shared" si="0"/>
        <v>42155396</v>
      </c>
    </row>
    <row r="77" spans="1:6" ht="26.1" customHeight="1" x14ac:dyDescent="0.25">
      <c r="A77" s="650">
        <v>3</v>
      </c>
      <c r="B77" s="651" t="s">
        <v>951</v>
      </c>
      <c r="C77" s="654">
        <f>C75+C76</f>
        <v>128532818</v>
      </c>
      <c r="D77" s="654">
        <f>D75+D76</f>
        <v>127589950</v>
      </c>
      <c r="E77" s="654">
        <f>E75+E76</f>
        <v>137786725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542.4</v>
      </c>
      <c r="D80" s="646">
        <v>552</v>
      </c>
      <c r="E80" s="646">
        <v>592.4</v>
      </c>
    </row>
    <row r="81" spans="1:5" ht="26.1" customHeight="1" x14ac:dyDescent="0.25">
      <c r="A81" s="639">
        <v>2</v>
      </c>
      <c r="B81" s="640" t="s">
        <v>582</v>
      </c>
      <c r="C81" s="646">
        <v>18.399999999999999</v>
      </c>
      <c r="D81" s="646">
        <v>28</v>
      </c>
      <c r="E81" s="646">
        <v>30</v>
      </c>
    </row>
    <row r="82" spans="1:5" ht="26.1" customHeight="1" x14ac:dyDescent="0.25">
      <c r="A82" s="639">
        <v>3</v>
      </c>
      <c r="B82" s="640" t="s">
        <v>955</v>
      </c>
      <c r="C82" s="646">
        <v>742</v>
      </c>
      <c r="D82" s="646">
        <v>615</v>
      </c>
      <c r="E82" s="646">
        <v>662.9</v>
      </c>
    </row>
    <row r="83" spans="1:5" ht="26.1" customHeight="1" x14ac:dyDescent="0.25">
      <c r="A83" s="650">
        <v>4</v>
      </c>
      <c r="B83" s="651" t="s">
        <v>954</v>
      </c>
      <c r="C83" s="656">
        <f>C80+C81+C82</f>
        <v>1302.8</v>
      </c>
      <c r="D83" s="656">
        <f>D80+D81+D82</f>
        <v>1195</v>
      </c>
      <c r="E83" s="656">
        <f>E80+E81+E82</f>
        <v>1285.3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957</v>
      </c>
      <c r="C86" s="649">
        <f>IF(C80=0,0,C59/C80)</f>
        <v>48549.221976401182</v>
      </c>
      <c r="D86" s="649">
        <f>IF(D80=0,0,D59/D80)</f>
        <v>57552.112318840576</v>
      </c>
      <c r="E86" s="649">
        <f>IF(E80=0,0,E59/E80)</f>
        <v>57223.607359891968</v>
      </c>
    </row>
    <row r="87" spans="1:5" ht="26.1" customHeight="1" x14ac:dyDescent="0.25">
      <c r="A87" s="639">
        <v>2</v>
      </c>
      <c r="B87" s="640" t="s">
        <v>958</v>
      </c>
      <c r="C87" s="649">
        <f>IF(C80=0,0,C60/C80)</f>
        <v>17963.211651917405</v>
      </c>
      <c r="D87" s="649">
        <f>IF(D80=0,0,D60/D80)</f>
        <v>24195.114130434784</v>
      </c>
      <c r="E87" s="649">
        <f>IF(E80=0,0,E60/E80)</f>
        <v>24765.79169480081</v>
      </c>
    </row>
    <row r="88" spans="1:5" ht="26.1" customHeight="1" x14ac:dyDescent="0.25">
      <c r="A88" s="650">
        <v>3</v>
      </c>
      <c r="B88" s="651" t="s">
        <v>959</v>
      </c>
      <c r="C88" s="652">
        <f>+C86+C87</f>
        <v>66512.433628318584</v>
      </c>
      <c r="D88" s="652">
        <f>+D86+D87</f>
        <v>81747.22644927536</v>
      </c>
      <c r="E88" s="652">
        <f>+E86+E87</f>
        <v>81989.399054692782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960</v>
      </c>
    </row>
    <row r="91" spans="1:5" ht="26.1" customHeight="1" x14ac:dyDescent="0.25">
      <c r="A91" s="639">
        <v>1</v>
      </c>
      <c r="B91" s="640" t="s">
        <v>961</v>
      </c>
      <c r="C91" s="641">
        <f>IF(C81=0,0,C64/C81)</f>
        <v>112455.92391304349</v>
      </c>
      <c r="D91" s="641">
        <f>IF(D81=0,0,D64/D81)</f>
        <v>78530.821428571435</v>
      </c>
      <c r="E91" s="641">
        <f>IF(E81=0,0,E64/E81)</f>
        <v>78344</v>
      </c>
    </row>
    <row r="92" spans="1:5" ht="26.1" customHeight="1" x14ac:dyDescent="0.25">
      <c r="A92" s="639">
        <v>2</v>
      </c>
      <c r="B92" s="640" t="s">
        <v>962</v>
      </c>
      <c r="C92" s="641">
        <f>IF(C81=0,0,C65/C81)</f>
        <v>41608.695652173919</v>
      </c>
      <c r="D92" s="641">
        <f>IF(D81=0,0,D65/D81)</f>
        <v>18320.75</v>
      </c>
      <c r="E92" s="641">
        <f>IF(E81=0,0,E65/E81)</f>
        <v>18626.333333333332</v>
      </c>
    </row>
    <row r="93" spans="1:5" ht="26.1" customHeight="1" x14ac:dyDescent="0.25">
      <c r="A93" s="650">
        <v>3</v>
      </c>
      <c r="B93" s="651" t="s">
        <v>963</v>
      </c>
      <c r="C93" s="654">
        <f>+C91+C92</f>
        <v>154064.61956521741</v>
      </c>
      <c r="D93" s="654">
        <f>+D91+D92</f>
        <v>96851.571428571435</v>
      </c>
      <c r="E93" s="654">
        <f>+E91+E92</f>
        <v>96970.333333333328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964</v>
      </c>
      <c r="B95" s="642" t="s">
        <v>965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966</v>
      </c>
      <c r="C96" s="649">
        <f>IF(C82=0,0,C69/C82)</f>
        <v>87841.036388140157</v>
      </c>
      <c r="D96" s="649">
        <f>IF(D82=0,0,D69/D82)</f>
        <v>89100.035772357718</v>
      </c>
      <c r="E96" s="649">
        <f>IF(E82=0,0,E69/E82)</f>
        <v>89578.735857595413</v>
      </c>
    </row>
    <row r="97" spans="1:5" ht="26.1" customHeight="1" x14ac:dyDescent="0.25">
      <c r="A97" s="639">
        <v>2</v>
      </c>
      <c r="B97" s="640" t="s">
        <v>967</v>
      </c>
      <c r="C97" s="649">
        <f>IF(C82=0,0,C70/C82)</f>
        <v>32942.905660377357</v>
      </c>
      <c r="D97" s="649">
        <f>IF(D82=0,0,D70/D82)</f>
        <v>40580.674796747968</v>
      </c>
      <c r="E97" s="649">
        <f>IF(E82=0,0,E70/E82)</f>
        <v>40617.515462362346</v>
      </c>
    </row>
    <row r="98" spans="1:5" ht="26.1" customHeight="1" x14ac:dyDescent="0.25">
      <c r="A98" s="650">
        <v>3</v>
      </c>
      <c r="B98" s="651" t="s">
        <v>968</v>
      </c>
      <c r="C98" s="654">
        <f>+C96+C97</f>
        <v>120783.94204851752</v>
      </c>
      <c r="D98" s="654">
        <f>+D96+D97</f>
        <v>129680.71056910569</v>
      </c>
      <c r="E98" s="654">
        <f>+E96+E97</f>
        <v>130196.25131995775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969</v>
      </c>
      <c r="B100" s="642" t="s">
        <v>970</v>
      </c>
    </row>
    <row r="101" spans="1:5" ht="26.1" customHeight="1" x14ac:dyDescent="0.25">
      <c r="A101" s="639">
        <v>1</v>
      </c>
      <c r="B101" s="640" t="s">
        <v>971</v>
      </c>
      <c r="C101" s="641">
        <f>IF(C83=0,0,C75/C83)</f>
        <v>71830.162726435374</v>
      </c>
      <c r="D101" s="641">
        <f>IF(D83=0,0,D75/D83)</f>
        <v>74279.624267782434</v>
      </c>
      <c r="E101" s="641">
        <f>IF(E83=0,0,E75/E83)</f>
        <v>74403.897144635499</v>
      </c>
    </row>
    <row r="102" spans="1:5" ht="26.1" customHeight="1" x14ac:dyDescent="0.25">
      <c r="A102" s="639">
        <v>2</v>
      </c>
      <c r="B102" s="640" t="s">
        <v>972</v>
      </c>
      <c r="C102" s="658">
        <f>IF(C83=0,0,C76/C83)</f>
        <v>26828.739637703409</v>
      </c>
      <c r="D102" s="658">
        <f>IF(D83=0,0,D76/D83)</f>
        <v>32490.208368200838</v>
      </c>
      <c r="E102" s="658">
        <f>IF(E83=0,0,E76/E83)</f>
        <v>32798.098498405045</v>
      </c>
    </row>
    <row r="103" spans="1:5" ht="26.1" customHeight="1" x14ac:dyDescent="0.25">
      <c r="A103" s="650">
        <v>3</v>
      </c>
      <c r="B103" s="651" t="s">
        <v>970</v>
      </c>
      <c r="C103" s="654">
        <f>+C101+C102</f>
        <v>98658.902364138776</v>
      </c>
      <c r="D103" s="654">
        <f>+D101+D102</f>
        <v>106769.83263598327</v>
      </c>
      <c r="E103" s="654">
        <f>+E101+E102</f>
        <v>107201.99564304054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973</v>
      </c>
      <c r="B107" s="634" t="s">
        <v>974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975</v>
      </c>
      <c r="C108" s="641">
        <f>IF(C19=0,0,C77/C19)</f>
        <v>2290.3618738751579</v>
      </c>
      <c r="D108" s="641">
        <f>IF(D19=0,0,D77/D19)</f>
        <v>2490.5319148936169</v>
      </c>
      <c r="E108" s="641">
        <f>IF(E19=0,0,E77/E19)</f>
        <v>2669.56106870229</v>
      </c>
    </row>
    <row r="109" spans="1:5" ht="26.1" customHeight="1" x14ac:dyDescent="0.25">
      <c r="A109" s="639">
        <v>2</v>
      </c>
      <c r="B109" s="640" t="s">
        <v>976</v>
      </c>
      <c r="C109" s="641">
        <f>IF(C20=0,0,C77/C20)</f>
        <v>13406.990507979555</v>
      </c>
      <c r="D109" s="641">
        <f>IF(D20=0,0,D77/D20)</f>
        <v>13336.46388627574</v>
      </c>
      <c r="E109" s="641">
        <f>IF(E20=0,0,E77/E20)</f>
        <v>15171.407729574983</v>
      </c>
    </row>
    <row r="110" spans="1:5" ht="26.1" customHeight="1" x14ac:dyDescent="0.25">
      <c r="A110" s="639">
        <v>3</v>
      </c>
      <c r="B110" s="640" t="s">
        <v>977</v>
      </c>
      <c r="C110" s="641">
        <f>IF(C22=0,0,C77/C22)</f>
        <v>1162.4529463346255</v>
      </c>
      <c r="D110" s="641">
        <f>IF(D22=0,0,D77/D22)</f>
        <v>1311.2463282066362</v>
      </c>
      <c r="E110" s="641">
        <f>IF(E22=0,0,E77/E22)</f>
        <v>1296.361953790054</v>
      </c>
    </row>
    <row r="111" spans="1:5" ht="26.1" customHeight="1" x14ac:dyDescent="0.25">
      <c r="A111" s="639">
        <v>4</v>
      </c>
      <c r="B111" s="640" t="s">
        <v>978</v>
      </c>
      <c r="C111" s="641">
        <f>IF(C23=0,0,C77/C23)</f>
        <v>6804.5996552991401</v>
      </c>
      <c r="D111" s="641">
        <f>IF(D23=0,0,D77/D23)</f>
        <v>7021.5479663453507</v>
      </c>
      <c r="E111" s="641">
        <f>IF(E23=0,0,E77/E23)</f>
        <v>7367.3668666505009</v>
      </c>
    </row>
    <row r="112" spans="1:5" ht="26.1" customHeight="1" x14ac:dyDescent="0.25">
      <c r="A112" s="639">
        <v>5</v>
      </c>
      <c r="B112" s="640" t="s">
        <v>979</v>
      </c>
      <c r="C112" s="641">
        <f>IF(C29=0,0,C77/C29)</f>
        <v>772.2066650459592</v>
      </c>
      <c r="D112" s="641">
        <f>IF(D29=0,0,D77/D29)</f>
        <v>878.97990534566293</v>
      </c>
      <c r="E112" s="641">
        <f>IF(E29=0,0,E77/E29)</f>
        <v>891.23948690883549</v>
      </c>
    </row>
    <row r="113" spans="1:7" ht="25.5" customHeight="1" x14ac:dyDescent="0.25">
      <c r="A113" s="639">
        <v>6</v>
      </c>
      <c r="B113" s="640" t="s">
        <v>980</v>
      </c>
      <c r="C113" s="641">
        <f>IF(C30=0,0,C77/C30)</f>
        <v>4520.2321722868655</v>
      </c>
      <c r="D113" s="641">
        <f>IF(D30=0,0,D77/D30)</f>
        <v>4706.8193321687377</v>
      </c>
      <c r="E113" s="641">
        <f>IF(E30=0,0,E77/E30)</f>
        <v>5065.0115478212538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FILING&amp;R&amp;12JOHN DEMPSEY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514239006</v>
      </c>
      <c r="D12" s="51">
        <v>543303930</v>
      </c>
      <c r="E12" s="51">
        <f t="shared" ref="E12:E19" si="0">D12-C12</f>
        <v>29064924</v>
      </c>
      <c r="F12" s="70">
        <f t="shared" ref="F12:F19" si="1">IF(C12=0,0,E12/C12)</f>
        <v>5.6520263264510123E-2</v>
      </c>
    </row>
    <row r="13" spans="1:8" ht="23.1" customHeight="1" x14ac:dyDescent="0.2">
      <c r="A13" s="25">
        <v>2</v>
      </c>
      <c r="B13" s="48" t="s">
        <v>72</v>
      </c>
      <c r="C13" s="51">
        <v>259235708</v>
      </c>
      <c r="D13" s="51">
        <v>274274626</v>
      </c>
      <c r="E13" s="51">
        <f t="shared" si="0"/>
        <v>15038918</v>
      </c>
      <c r="F13" s="70">
        <f t="shared" si="1"/>
        <v>5.8012525033781223E-2</v>
      </c>
    </row>
    <row r="14" spans="1:8" ht="23.1" customHeight="1" x14ac:dyDescent="0.2">
      <c r="A14" s="25">
        <v>3</v>
      </c>
      <c r="B14" s="48" t="s">
        <v>73</v>
      </c>
      <c r="C14" s="51">
        <v>1013714</v>
      </c>
      <c r="D14" s="51">
        <v>912282</v>
      </c>
      <c r="E14" s="51">
        <f t="shared" si="0"/>
        <v>-101432</v>
      </c>
      <c r="F14" s="70">
        <f t="shared" si="1"/>
        <v>-0.10005978017468438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253989584</v>
      </c>
      <c r="D16" s="27">
        <f>D12-D13-D14-D15</f>
        <v>268117022</v>
      </c>
      <c r="E16" s="27">
        <f t="shared" si="0"/>
        <v>14127438</v>
      </c>
      <c r="F16" s="28">
        <f t="shared" si="1"/>
        <v>5.5622115590377913E-2</v>
      </c>
    </row>
    <row r="17" spans="1:7" ht="23.1" customHeight="1" x14ac:dyDescent="0.2">
      <c r="A17" s="25">
        <v>5</v>
      </c>
      <c r="B17" s="48" t="s">
        <v>76</v>
      </c>
      <c r="C17" s="51">
        <v>1081457</v>
      </c>
      <c r="D17" s="51">
        <v>1954663</v>
      </c>
      <c r="E17" s="51">
        <f t="shared" si="0"/>
        <v>873206</v>
      </c>
      <c r="F17" s="70">
        <f t="shared" si="1"/>
        <v>0.8074347847394765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255071041</v>
      </c>
      <c r="D19" s="27">
        <f>SUM(D16:D18)</f>
        <v>270071685</v>
      </c>
      <c r="E19" s="27">
        <f t="shared" si="0"/>
        <v>15000644</v>
      </c>
      <c r="F19" s="28">
        <f t="shared" si="1"/>
        <v>5.8809670988875608E-2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88764151</v>
      </c>
      <c r="D22" s="51">
        <v>95631329</v>
      </c>
      <c r="E22" s="51">
        <f t="shared" ref="E22:E31" si="2">D22-C22</f>
        <v>6867178</v>
      </c>
      <c r="F22" s="70">
        <f t="shared" ref="F22:F31" si="3">IF(C22=0,0,E22/C22)</f>
        <v>7.7364317944076319E-2</v>
      </c>
    </row>
    <row r="23" spans="1:7" ht="23.1" customHeight="1" x14ac:dyDescent="0.2">
      <c r="A23" s="25">
        <v>2</v>
      </c>
      <c r="B23" s="48" t="s">
        <v>81</v>
      </c>
      <c r="C23" s="51">
        <v>38825799</v>
      </c>
      <c r="D23" s="51">
        <v>42155396</v>
      </c>
      <c r="E23" s="51">
        <f t="shared" si="2"/>
        <v>3329597</v>
      </c>
      <c r="F23" s="70">
        <f t="shared" si="3"/>
        <v>8.575733367393161E-2</v>
      </c>
    </row>
    <row r="24" spans="1:7" ht="23.1" customHeight="1" x14ac:dyDescent="0.2">
      <c r="A24" s="25">
        <v>3</v>
      </c>
      <c r="B24" s="48" t="s">
        <v>82</v>
      </c>
      <c r="C24" s="51">
        <v>15292507</v>
      </c>
      <c r="D24" s="51">
        <v>16188925</v>
      </c>
      <c r="E24" s="51">
        <f t="shared" si="2"/>
        <v>896418</v>
      </c>
      <c r="F24" s="70">
        <f t="shared" si="3"/>
        <v>5.8618119318173276E-2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50645210</v>
      </c>
      <c r="D25" s="51">
        <v>51662400</v>
      </c>
      <c r="E25" s="51">
        <f t="shared" si="2"/>
        <v>1017190</v>
      </c>
      <c r="F25" s="70">
        <f t="shared" si="3"/>
        <v>2.0084623995043165E-2</v>
      </c>
    </row>
    <row r="26" spans="1:7" ht="23.1" customHeight="1" x14ac:dyDescent="0.2">
      <c r="A26" s="25">
        <v>5</v>
      </c>
      <c r="B26" s="48" t="s">
        <v>84</v>
      </c>
      <c r="C26" s="51">
        <v>10571031</v>
      </c>
      <c r="D26" s="51">
        <v>9298913</v>
      </c>
      <c r="E26" s="51">
        <f t="shared" si="2"/>
        <v>-1272118</v>
      </c>
      <c r="F26" s="70">
        <f t="shared" si="3"/>
        <v>-0.12034001224667679</v>
      </c>
    </row>
    <row r="27" spans="1:7" ht="23.1" customHeight="1" x14ac:dyDescent="0.2">
      <c r="A27" s="25">
        <v>6</v>
      </c>
      <c r="B27" s="48" t="s">
        <v>85</v>
      </c>
      <c r="C27" s="51">
        <v>7834037</v>
      </c>
      <c r="D27" s="51">
        <v>3784188</v>
      </c>
      <c r="E27" s="51">
        <f t="shared" si="2"/>
        <v>-4049849</v>
      </c>
      <c r="F27" s="70">
        <f t="shared" si="3"/>
        <v>-0.51695556199185677</v>
      </c>
    </row>
    <row r="28" spans="1:7" ht="23.1" customHeight="1" x14ac:dyDescent="0.2">
      <c r="A28" s="25">
        <v>7</v>
      </c>
      <c r="B28" s="48" t="s">
        <v>86</v>
      </c>
      <c r="C28" s="51">
        <v>275340</v>
      </c>
      <c r="D28" s="51">
        <v>149794</v>
      </c>
      <c r="E28" s="51">
        <f t="shared" si="2"/>
        <v>-125546</v>
      </c>
      <c r="F28" s="70">
        <f t="shared" si="3"/>
        <v>-0.45596716786518487</v>
      </c>
    </row>
    <row r="29" spans="1:7" ht="23.1" customHeight="1" x14ac:dyDescent="0.2">
      <c r="A29" s="25">
        <v>8</v>
      </c>
      <c r="B29" s="48" t="s">
        <v>87</v>
      </c>
      <c r="C29" s="51">
        <v>3064000</v>
      </c>
      <c r="D29" s="51">
        <v>4145224</v>
      </c>
      <c r="E29" s="51">
        <f t="shared" si="2"/>
        <v>1081224</v>
      </c>
      <c r="F29" s="70">
        <f t="shared" si="3"/>
        <v>0.35287989556135768</v>
      </c>
    </row>
    <row r="30" spans="1:7" ht="23.1" customHeight="1" x14ac:dyDescent="0.2">
      <c r="A30" s="25">
        <v>9</v>
      </c>
      <c r="B30" s="48" t="s">
        <v>88</v>
      </c>
      <c r="C30" s="51">
        <v>64364446</v>
      </c>
      <c r="D30" s="51">
        <v>63836704</v>
      </c>
      <c r="E30" s="51">
        <f t="shared" si="2"/>
        <v>-527742</v>
      </c>
      <c r="F30" s="70">
        <f t="shared" si="3"/>
        <v>-8.1992782164240184E-3</v>
      </c>
    </row>
    <row r="31" spans="1:7" ht="23.1" customHeight="1" x14ac:dyDescent="0.25">
      <c r="A31" s="29"/>
      <c r="B31" s="71" t="s">
        <v>89</v>
      </c>
      <c r="C31" s="27">
        <f>SUM(C22:C30)</f>
        <v>279636521</v>
      </c>
      <c r="D31" s="27">
        <f>SUM(D22:D30)</f>
        <v>286852873</v>
      </c>
      <c r="E31" s="27">
        <f t="shared" si="2"/>
        <v>7216352</v>
      </c>
      <c r="F31" s="28">
        <f t="shared" si="3"/>
        <v>2.5806185737806402E-2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-24565480</v>
      </c>
      <c r="D33" s="27">
        <f>+D19-D31</f>
        <v>-16781188</v>
      </c>
      <c r="E33" s="27">
        <f>D33-C33</f>
        <v>7784292</v>
      </c>
      <c r="F33" s="28">
        <f>IF(C33=0,0,E33/C33)</f>
        <v>-0.31687929566204281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49785</v>
      </c>
      <c r="D36" s="51">
        <v>74</v>
      </c>
      <c r="E36" s="51">
        <f>D36-C36</f>
        <v>-49711</v>
      </c>
      <c r="F36" s="70">
        <f>IF(C36=0,0,E36/C36)</f>
        <v>-0.99851360851662152</v>
      </c>
    </row>
    <row r="37" spans="1:6" ht="23.1" customHeight="1" x14ac:dyDescent="0.2">
      <c r="A37" s="44">
        <v>2</v>
      </c>
      <c r="B37" s="48" t="s">
        <v>93</v>
      </c>
      <c r="C37" s="51">
        <v>847835</v>
      </c>
      <c r="D37" s="51">
        <v>502896</v>
      </c>
      <c r="E37" s="51">
        <f>D37-C37</f>
        <v>-344939</v>
      </c>
      <c r="F37" s="70">
        <f>IF(C37=0,0,E37/C37)</f>
        <v>-0.40684685109720642</v>
      </c>
    </row>
    <row r="38" spans="1:6" ht="23.1" customHeight="1" x14ac:dyDescent="0.2">
      <c r="A38" s="44">
        <v>3</v>
      </c>
      <c r="B38" s="48" t="s">
        <v>94</v>
      </c>
      <c r="C38" s="51">
        <v>13500000</v>
      </c>
      <c r="D38" s="51">
        <v>13500000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14397620</v>
      </c>
      <c r="D39" s="27">
        <f>SUM(D36:D38)</f>
        <v>14002970</v>
      </c>
      <c r="E39" s="27">
        <f>D39-C39</f>
        <v>-394650</v>
      </c>
      <c r="F39" s="28">
        <f>IF(C39=0,0,E39/C39)</f>
        <v>-2.7410780392870489E-2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-10167860</v>
      </c>
      <c r="D41" s="27">
        <f>D33+D39</f>
        <v>-2778218</v>
      </c>
      <c r="E41" s="27">
        <f>D41-C41</f>
        <v>7389642</v>
      </c>
      <c r="F41" s="28">
        <f>IF(C41=0,0,E41/C41)</f>
        <v>-0.72676472728774788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19515386</v>
      </c>
      <c r="D45" s="51">
        <v>5406902</v>
      </c>
      <c r="E45" s="51">
        <f>D45-C45</f>
        <v>-14108484</v>
      </c>
      <c r="F45" s="70">
        <f>IF(C45=0,0,E45/C45)</f>
        <v>-0.72294158055597768</v>
      </c>
    </row>
    <row r="46" spans="1:6" ht="23.1" customHeight="1" x14ac:dyDescent="0.25">
      <c r="A46" s="20"/>
      <c r="B46" s="74" t="s">
        <v>100</v>
      </c>
      <c r="C46" s="27">
        <f>SUM(C44:C45)</f>
        <v>19515386</v>
      </c>
      <c r="D46" s="27">
        <f>SUM(D44:D45)</f>
        <v>5406902</v>
      </c>
      <c r="E46" s="27">
        <f>D46-C46</f>
        <v>-14108484</v>
      </c>
      <c r="F46" s="28">
        <f>IF(C46=0,0,E46/C46)</f>
        <v>-0.72294158055597768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9347526</v>
      </c>
      <c r="D48" s="27">
        <f>D41+D46</f>
        <v>2628684</v>
      </c>
      <c r="E48" s="27">
        <f>D48-C48</f>
        <v>-6718842</v>
      </c>
      <c r="F48" s="28">
        <f>IF(C48=0,0,E48/C48)</f>
        <v>-0.71878291646367176</v>
      </c>
    </row>
    <row r="49" spans="1:6" ht="23.1" customHeight="1" x14ac:dyDescent="0.2">
      <c r="A49" s="44"/>
      <c r="B49" s="48" t="s">
        <v>102</v>
      </c>
      <c r="C49" s="51">
        <v>2813510</v>
      </c>
      <c r="D49" s="51">
        <v>2062148</v>
      </c>
      <c r="E49" s="51">
        <f>D49-C49</f>
        <v>-751362</v>
      </c>
      <c r="F49" s="70">
        <f>IF(C49=0,0,E49/C49)</f>
        <v>-0.26705503090445742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FILING&amp;RJOHN DEMPSEY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105262677</v>
      </c>
      <c r="D14" s="97">
        <v>97905493</v>
      </c>
      <c r="E14" s="97">
        <f t="shared" ref="E14:E25" si="0">D14-C14</f>
        <v>-7357184</v>
      </c>
      <c r="F14" s="98">
        <f t="shared" ref="F14:F25" si="1">IF(C14=0,0,E14/C14)</f>
        <v>-6.9893567308762256E-2</v>
      </c>
    </row>
    <row r="15" spans="1:6" ht="18" customHeight="1" x14ac:dyDescent="0.25">
      <c r="A15" s="99">
        <v>2</v>
      </c>
      <c r="B15" s="100" t="s">
        <v>113</v>
      </c>
      <c r="C15" s="97">
        <v>17193417</v>
      </c>
      <c r="D15" s="97">
        <v>17500425</v>
      </c>
      <c r="E15" s="97">
        <f t="shared" si="0"/>
        <v>307008</v>
      </c>
      <c r="F15" s="98">
        <f t="shared" si="1"/>
        <v>1.7856136450363533E-2</v>
      </c>
    </row>
    <row r="16" spans="1:6" ht="18" customHeight="1" x14ac:dyDescent="0.25">
      <c r="A16" s="99">
        <v>3</v>
      </c>
      <c r="B16" s="100" t="s">
        <v>114</v>
      </c>
      <c r="C16" s="97">
        <v>28012652</v>
      </c>
      <c r="D16" s="97">
        <v>35421627</v>
      </c>
      <c r="E16" s="97">
        <f t="shared" si="0"/>
        <v>7408975</v>
      </c>
      <c r="F16" s="98">
        <f t="shared" si="1"/>
        <v>0.26448673977744058</v>
      </c>
    </row>
    <row r="17" spans="1:6" ht="18" customHeight="1" x14ac:dyDescent="0.25">
      <c r="A17" s="99">
        <v>4</v>
      </c>
      <c r="B17" s="100" t="s">
        <v>115</v>
      </c>
      <c r="C17" s="97">
        <v>21183673</v>
      </c>
      <c r="D17" s="97">
        <v>26056125</v>
      </c>
      <c r="E17" s="97">
        <f t="shared" si="0"/>
        <v>4872452</v>
      </c>
      <c r="F17" s="98">
        <f t="shared" si="1"/>
        <v>0.23000978158981211</v>
      </c>
    </row>
    <row r="18" spans="1:6" ht="18" customHeight="1" x14ac:dyDescent="0.25">
      <c r="A18" s="99">
        <v>5</v>
      </c>
      <c r="B18" s="100" t="s">
        <v>116</v>
      </c>
      <c r="C18" s="97">
        <v>1755977</v>
      </c>
      <c r="D18" s="97">
        <v>2278364</v>
      </c>
      <c r="E18" s="97">
        <f t="shared" si="0"/>
        <v>522387</v>
      </c>
      <c r="F18" s="98">
        <f t="shared" si="1"/>
        <v>0.29749079856968513</v>
      </c>
    </row>
    <row r="19" spans="1:6" ht="18" customHeight="1" x14ac:dyDescent="0.25">
      <c r="A19" s="99">
        <v>6</v>
      </c>
      <c r="B19" s="100" t="s">
        <v>117</v>
      </c>
      <c r="C19" s="97">
        <v>351898</v>
      </c>
      <c r="D19" s="97">
        <v>301586</v>
      </c>
      <c r="E19" s="97">
        <f t="shared" si="0"/>
        <v>-50312</v>
      </c>
      <c r="F19" s="98">
        <f t="shared" si="1"/>
        <v>-0.14297324792979785</v>
      </c>
    </row>
    <row r="20" spans="1:6" ht="18" customHeight="1" x14ac:dyDescent="0.25">
      <c r="A20" s="99">
        <v>7</v>
      </c>
      <c r="B20" s="100" t="s">
        <v>118</v>
      </c>
      <c r="C20" s="97">
        <v>90897673</v>
      </c>
      <c r="D20" s="97">
        <v>77094535</v>
      </c>
      <c r="E20" s="97">
        <f t="shared" si="0"/>
        <v>-13803138</v>
      </c>
      <c r="F20" s="98">
        <f t="shared" si="1"/>
        <v>-0.15185359035538787</v>
      </c>
    </row>
    <row r="21" spans="1:6" ht="18" customHeight="1" x14ac:dyDescent="0.25">
      <c r="A21" s="99">
        <v>8</v>
      </c>
      <c r="B21" s="100" t="s">
        <v>119</v>
      </c>
      <c r="C21" s="97">
        <v>1859715</v>
      </c>
      <c r="D21" s="97">
        <v>1178284</v>
      </c>
      <c r="E21" s="97">
        <f t="shared" si="0"/>
        <v>-681431</v>
      </c>
      <c r="F21" s="98">
        <f t="shared" si="1"/>
        <v>-0.36641689721274495</v>
      </c>
    </row>
    <row r="22" spans="1:6" ht="18" customHeight="1" x14ac:dyDescent="0.25">
      <c r="A22" s="99">
        <v>9</v>
      </c>
      <c r="B22" s="100" t="s">
        <v>120</v>
      </c>
      <c r="C22" s="97">
        <v>1330032</v>
      </c>
      <c r="D22" s="97">
        <v>1175924</v>
      </c>
      <c r="E22" s="97">
        <f t="shared" si="0"/>
        <v>-154108</v>
      </c>
      <c r="F22" s="98">
        <f t="shared" si="1"/>
        <v>-0.11586788889289881</v>
      </c>
    </row>
    <row r="23" spans="1:6" ht="18" customHeight="1" x14ac:dyDescent="0.25">
      <c r="A23" s="99">
        <v>10</v>
      </c>
      <c r="B23" s="100" t="s">
        <v>121</v>
      </c>
      <c r="C23" s="97">
        <v>3413097</v>
      </c>
      <c r="D23" s="97">
        <v>0</v>
      </c>
      <c r="E23" s="97">
        <f t="shared" si="0"/>
        <v>-3413097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268209</v>
      </c>
      <c r="E24" s="97">
        <f t="shared" si="0"/>
        <v>268209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271260811</v>
      </c>
      <c r="D25" s="103">
        <f>SUM(D14:D24)</f>
        <v>259180572</v>
      </c>
      <c r="E25" s="103">
        <f t="shared" si="0"/>
        <v>-12080239</v>
      </c>
      <c r="F25" s="104">
        <f t="shared" si="1"/>
        <v>-4.4533668374234864E-2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64705720</v>
      </c>
      <c r="D27" s="97">
        <v>74210762</v>
      </c>
      <c r="E27" s="97">
        <f t="shared" ref="E27:E38" si="2">D27-C27</f>
        <v>9505042</v>
      </c>
      <c r="F27" s="98">
        <f t="shared" ref="F27:F38" si="3">IF(C27=0,0,E27/C27)</f>
        <v>0.14689647221296664</v>
      </c>
    </row>
    <row r="28" spans="1:6" ht="18" customHeight="1" x14ac:dyDescent="0.25">
      <c r="A28" s="99">
        <v>2</v>
      </c>
      <c r="B28" s="100" t="s">
        <v>113</v>
      </c>
      <c r="C28" s="97">
        <v>13792239</v>
      </c>
      <c r="D28" s="97">
        <v>16696338</v>
      </c>
      <c r="E28" s="97">
        <f t="shared" si="2"/>
        <v>2904099</v>
      </c>
      <c r="F28" s="98">
        <f t="shared" si="3"/>
        <v>0.21056037384502979</v>
      </c>
    </row>
    <row r="29" spans="1:6" ht="18" customHeight="1" x14ac:dyDescent="0.25">
      <c r="A29" s="99">
        <v>3</v>
      </c>
      <c r="B29" s="100" t="s">
        <v>114</v>
      </c>
      <c r="C29" s="97">
        <v>17173855</v>
      </c>
      <c r="D29" s="97">
        <v>27694792</v>
      </c>
      <c r="E29" s="97">
        <f t="shared" si="2"/>
        <v>10520937</v>
      </c>
      <c r="F29" s="98">
        <f t="shared" si="3"/>
        <v>0.61261359199783627</v>
      </c>
    </row>
    <row r="30" spans="1:6" ht="18" customHeight="1" x14ac:dyDescent="0.25">
      <c r="A30" s="99">
        <v>4</v>
      </c>
      <c r="B30" s="100" t="s">
        <v>115</v>
      </c>
      <c r="C30" s="97">
        <v>15984370</v>
      </c>
      <c r="D30" s="97">
        <v>16318322</v>
      </c>
      <c r="E30" s="97">
        <f t="shared" si="2"/>
        <v>333952</v>
      </c>
      <c r="F30" s="98">
        <f t="shared" si="3"/>
        <v>2.0892409272307885E-2</v>
      </c>
    </row>
    <row r="31" spans="1:6" ht="18" customHeight="1" x14ac:dyDescent="0.25">
      <c r="A31" s="99">
        <v>5</v>
      </c>
      <c r="B31" s="100" t="s">
        <v>116</v>
      </c>
      <c r="C31" s="97">
        <v>1575205</v>
      </c>
      <c r="D31" s="97">
        <v>1791179</v>
      </c>
      <c r="E31" s="97">
        <f t="shared" si="2"/>
        <v>215974</v>
      </c>
      <c r="F31" s="98">
        <f t="shared" si="3"/>
        <v>0.13710850333766081</v>
      </c>
    </row>
    <row r="32" spans="1:6" ht="18" customHeight="1" x14ac:dyDescent="0.25">
      <c r="A32" s="99">
        <v>6</v>
      </c>
      <c r="B32" s="100" t="s">
        <v>117</v>
      </c>
      <c r="C32" s="97">
        <v>768202</v>
      </c>
      <c r="D32" s="97">
        <v>995672</v>
      </c>
      <c r="E32" s="97">
        <f t="shared" si="2"/>
        <v>227470</v>
      </c>
      <c r="F32" s="98">
        <f t="shared" si="3"/>
        <v>0.2961070135198815</v>
      </c>
    </row>
    <row r="33" spans="1:6" ht="18" customHeight="1" x14ac:dyDescent="0.25">
      <c r="A33" s="99">
        <v>7</v>
      </c>
      <c r="B33" s="100" t="s">
        <v>118</v>
      </c>
      <c r="C33" s="97">
        <v>119427814</v>
      </c>
      <c r="D33" s="97">
        <v>130571717</v>
      </c>
      <c r="E33" s="97">
        <f t="shared" si="2"/>
        <v>11143903</v>
      </c>
      <c r="F33" s="98">
        <f t="shared" si="3"/>
        <v>9.3310784370548724E-2</v>
      </c>
    </row>
    <row r="34" spans="1:6" ht="18" customHeight="1" x14ac:dyDescent="0.25">
      <c r="A34" s="99">
        <v>8</v>
      </c>
      <c r="B34" s="100" t="s">
        <v>119</v>
      </c>
      <c r="C34" s="97">
        <v>3502376</v>
      </c>
      <c r="D34" s="97">
        <v>3657368</v>
      </c>
      <c r="E34" s="97">
        <f t="shared" si="2"/>
        <v>154992</v>
      </c>
      <c r="F34" s="98">
        <f t="shared" si="3"/>
        <v>4.4253386843674122E-2</v>
      </c>
    </row>
    <row r="35" spans="1:6" ht="18" customHeight="1" x14ac:dyDescent="0.25">
      <c r="A35" s="99">
        <v>9</v>
      </c>
      <c r="B35" s="100" t="s">
        <v>120</v>
      </c>
      <c r="C35" s="97">
        <v>2774027</v>
      </c>
      <c r="D35" s="97">
        <v>2457383</v>
      </c>
      <c r="E35" s="97">
        <f t="shared" si="2"/>
        <v>-316644</v>
      </c>
      <c r="F35" s="98">
        <f t="shared" si="3"/>
        <v>-0.11414596901904704</v>
      </c>
    </row>
    <row r="36" spans="1:6" ht="18" customHeight="1" x14ac:dyDescent="0.25">
      <c r="A36" s="99">
        <v>10</v>
      </c>
      <c r="B36" s="100" t="s">
        <v>121</v>
      </c>
      <c r="C36" s="97">
        <v>4257954</v>
      </c>
      <c r="D36" s="97">
        <v>0</v>
      </c>
      <c r="E36" s="97">
        <f t="shared" si="2"/>
        <v>-4257954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149029</v>
      </c>
      <c r="E37" s="97">
        <f t="shared" si="2"/>
        <v>149029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243961762</v>
      </c>
      <c r="D38" s="103">
        <f>SUM(D27:D37)</f>
        <v>274542562</v>
      </c>
      <c r="E38" s="103">
        <f t="shared" si="2"/>
        <v>30580800</v>
      </c>
      <c r="F38" s="104">
        <f t="shared" si="3"/>
        <v>0.12535079165398058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169968397</v>
      </c>
      <c r="D41" s="103">
        <f t="shared" si="4"/>
        <v>172116255</v>
      </c>
      <c r="E41" s="107">
        <f t="shared" ref="E41:E52" si="5">D41-C41</f>
        <v>2147858</v>
      </c>
      <c r="F41" s="108">
        <f t="shared" ref="F41:F52" si="6">IF(C41=0,0,E41/C41)</f>
        <v>1.2636808006137753E-2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30985656</v>
      </c>
      <c r="D42" s="103">
        <f t="shared" si="4"/>
        <v>34196763</v>
      </c>
      <c r="E42" s="107">
        <f t="shared" si="5"/>
        <v>3211107</v>
      </c>
      <c r="F42" s="108">
        <f t="shared" si="6"/>
        <v>0.1036320483258447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45186507</v>
      </c>
      <c r="D43" s="103">
        <f t="shared" si="4"/>
        <v>63116419</v>
      </c>
      <c r="E43" s="107">
        <f t="shared" si="5"/>
        <v>17929912</v>
      </c>
      <c r="F43" s="108">
        <f t="shared" si="6"/>
        <v>0.39679792022870897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37168043</v>
      </c>
      <c r="D44" s="103">
        <f t="shared" si="4"/>
        <v>42374447</v>
      </c>
      <c r="E44" s="107">
        <f t="shared" si="5"/>
        <v>5206404</v>
      </c>
      <c r="F44" s="108">
        <f t="shared" si="6"/>
        <v>0.14007743157206312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3331182</v>
      </c>
      <c r="D45" s="103">
        <f t="shared" si="4"/>
        <v>4069543</v>
      </c>
      <c r="E45" s="107">
        <f t="shared" si="5"/>
        <v>738361</v>
      </c>
      <c r="F45" s="108">
        <f t="shared" si="6"/>
        <v>0.22165135378373202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1120100</v>
      </c>
      <c r="D46" s="103">
        <f t="shared" si="4"/>
        <v>1297258</v>
      </c>
      <c r="E46" s="107">
        <f t="shared" si="5"/>
        <v>177158</v>
      </c>
      <c r="F46" s="108">
        <f t="shared" si="6"/>
        <v>0.15816266404785287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210325487</v>
      </c>
      <c r="D47" s="103">
        <f t="shared" si="4"/>
        <v>207666252</v>
      </c>
      <c r="E47" s="107">
        <f t="shared" si="5"/>
        <v>-2659235</v>
      </c>
      <c r="F47" s="108">
        <f t="shared" si="6"/>
        <v>-1.2643427279928275E-2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5362091</v>
      </c>
      <c r="D48" s="103">
        <f t="shared" si="4"/>
        <v>4835652</v>
      </c>
      <c r="E48" s="107">
        <f t="shared" si="5"/>
        <v>-526439</v>
      </c>
      <c r="F48" s="108">
        <f t="shared" si="6"/>
        <v>-9.8177930960142226E-2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4104059</v>
      </c>
      <c r="D49" s="103">
        <f t="shared" si="4"/>
        <v>3633307</v>
      </c>
      <c r="E49" s="107">
        <f t="shared" si="5"/>
        <v>-470752</v>
      </c>
      <c r="F49" s="108">
        <f t="shared" si="6"/>
        <v>-0.11470400401163823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7671051</v>
      </c>
      <c r="D50" s="103">
        <f t="shared" si="4"/>
        <v>0</v>
      </c>
      <c r="E50" s="107">
        <f t="shared" si="5"/>
        <v>-7671051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417238</v>
      </c>
      <c r="E51" s="107">
        <f t="shared" si="5"/>
        <v>417238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515222573</v>
      </c>
      <c r="D52" s="112">
        <f>SUM(D41:D51)</f>
        <v>533723134</v>
      </c>
      <c r="E52" s="111">
        <f t="shared" si="5"/>
        <v>18500561</v>
      </c>
      <c r="F52" s="113">
        <f t="shared" si="6"/>
        <v>3.5907900720025324E-2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62169408</v>
      </c>
      <c r="D57" s="97">
        <v>59977372</v>
      </c>
      <c r="E57" s="97">
        <f t="shared" ref="E57:E68" si="7">D57-C57</f>
        <v>-2192036</v>
      </c>
      <c r="F57" s="98">
        <f t="shared" ref="F57:F68" si="8">IF(C57=0,0,E57/C57)</f>
        <v>-3.5259077905326043E-2</v>
      </c>
    </row>
    <row r="58" spans="1:6" ht="18" customHeight="1" x14ac:dyDescent="0.25">
      <c r="A58" s="99">
        <v>2</v>
      </c>
      <c r="B58" s="100" t="s">
        <v>113</v>
      </c>
      <c r="C58" s="97">
        <v>9182316</v>
      </c>
      <c r="D58" s="97">
        <v>9396837</v>
      </c>
      <c r="E58" s="97">
        <f t="shared" si="7"/>
        <v>214521</v>
      </c>
      <c r="F58" s="98">
        <f t="shared" si="8"/>
        <v>2.336240660852883E-2</v>
      </c>
    </row>
    <row r="59" spans="1:6" ht="18" customHeight="1" x14ac:dyDescent="0.25">
      <c r="A59" s="99">
        <v>3</v>
      </c>
      <c r="B59" s="100" t="s">
        <v>114</v>
      </c>
      <c r="C59" s="97">
        <v>9355504</v>
      </c>
      <c r="D59" s="97">
        <v>10583817</v>
      </c>
      <c r="E59" s="97">
        <f t="shared" si="7"/>
        <v>1228313</v>
      </c>
      <c r="F59" s="98">
        <f t="shared" si="8"/>
        <v>0.13129308693577599</v>
      </c>
    </row>
    <row r="60" spans="1:6" ht="18" customHeight="1" x14ac:dyDescent="0.25">
      <c r="A60" s="99">
        <v>4</v>
      </c>
      <c r="B60" s="100" t="s">
        <v>115</v>
      </c>
      <c r="C60" s="97">
        <v>7529500</v>
      </c>
      <c r="D60" s="97">
        <v>9391697</v>
      </c>
      <c r="E60" s="97">
        <f t="shared" si="7"/>
        <v>1862197</v>
      </c>
      <c r="F60" s="98">
        <f t="shared" si="8"/>
        <v>0.24732014077960024</v>
      </c>
    </row>
    <row r="61" spans="1:6" ht="18" customHeight="1" x14ac:dyDescent="0.25">
      <c r="A61" s="99">
        <v>5</v>
      </c>
      <c r="B61" s="100" t="s">
        <v>116</v>
      </c>
      <c r="C61" s="97">
        <v>578732</v>
      </c>
      <c r="D61" s="97">
        <v>716506</v>
      </c>
      <c r="E61" s="97">
        <f t="shared" si="7"/>
        <v>137774</v>
      </c>
      <c r="F61" s="98">
        <f t="shared" si="8"/>
        <v>0.23806183172867579</v>
      </c>
    </row>
    <row r="62" spans="1:6" ht="18" customHeight="1" x14ac:dyDescent="0.25">
      <c r="A62" s="99">
        <v>6</v>
      </c>
      <c r="B62" s="100" t="s">
        <v>117</v>
      </c>
      <c r="C62" s="97">
        <v>162129</v>
      </c>
      <c r="D62" s="97">
        <v>136507</v>
      </c>
      <c r="E62" s="97">
        <f t="shared" si="7"/>
        <v>-25622</v>
      </c>
      <c r="F62" s="98">
        <f t="shared" si="8"/>
        <v>-0.15803465141954864</v>
      </c>
    </row>
    <row r="63" spans="1:6" ht="18" customHeight="1" x14ac:dyDescent="0.25">
      <c r="A63" s="99">
        <v>7</v>
      </c>
      <c r="B63" s="100" t="s">
        <v>118</v>
      </c>
      <c r="C63" s="97">
        <v>45160891</v>
      </c>
      <c r="D63" s="97">
        <v>47247166</v>
      </c>
      <c r="E63" s="97">
        <f t="shared" si="7"/>
        <v>2086275</v>
      </c>
      <c r="F63" s="98">
        <f t="shared" si="8"/>
        <v>4.6196497761746995E-2</v>
      </c>
    </row>
    <row r="64" spans="1:6" ht="18" customHeight="1" x14ac:dyDescent="0.25">
      <c r="A64" s="99">
        <v>8</v>
      </c>
      <c r="B64" s="100" t="s">
        <v>119</v>
      </c>
      <c r="C64" s="97">
        <v>1313969</v>
      </c>
      <c r="D64" s="97">
        <v>895197</v>
      </c>
      <c r="E64" s="97">
        <f t="shared" si="7"/>
        <v>-418772</v>
      </c>
      <c r="F64" s="98">
        <f t="shared" si="8"/>
        <v>-0.31870767118554549</v>
      </c>
    </row>
    <row r="65" spans="1:6" ht="18" customHeight="1" x14ac:dyDescent="0.25">
      <c r="A65" s="99">
        <v>9</v>
      </c>
      <c r="B65" s="100" t="s">
        <v>120</v>
      </c>
      <c r="C65" s="97">
        <v>159546</v>
      </c>
      <c r="D65" s="97">
        <v>230603</v>
      </c>
      <c r="E65" s="97">
        <f t="shared" si="7"/>
        <v>71057</v>
      </c>
      <c r="F65" s="98">
        <f t="shared" si="8"/>
        <v>0.44536998733907462</v>
      </c>
    </row>
    <row r="66" spans="1:6" ht="18" customHeight="1" x14ac:dyDescent="0.25">
      <c r="A66" s="99">
        <v>10</v>
      </c>
      <c r="B66" s="100" t="s">
        <v>121</v>
      </c>
      <c r="C66" s="97">
        <v>475015</v>
      </c>
      <c r="D66" s="97">
        <v>0</v>
      </c>
      <c r="E66" s="97">
        <f t="shared" si="7"/>
        <v>-475015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46811</v>
      </c>
      <c r="E67" s="97">
        <f t="shared" si="7"/>
        <v>46811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136087010</v>
      </c>
      <c r="D68" s="103">
        <f>SUM(D57:D67)</f>
        <v>138622513</v>
      </c>
      <c r="E68" s="103">
        <f t="shared" si="7"/>
        <v>2535503</v>
      </c>
      <c r="F68" s="104">
        <f t="shared" si="8"/>
        <v>1.8631484371653108E-2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21650297</v>
      </c>
      <c r="D70" s="97">
        <v>26728132</v>
      </c>
      <c r="E70" s="97">
        <f t="shared" ref="E70:E81" si="9">D70-C70</f>
        <v>5077835</v>
      </c>
      <c r="F70" s="98">
        <f t="shared" ref="F70:F81" si="10">IF(C70=0,0,E70/C70)</f>
        <v>0.23453881487168513</v>
      </c>
    </row>
    <row r="71" spans="1:6" ht="18" customHeight="1" x14ac:dyDescent="0.25">
      <c r="A71" s="99">
        <v>2</v>
      </c>
      <c r="B71" s="100" t="s">
        <v>113</v>
      </c>
      <c r="C71" s="97">
        <v>4458383</v>
      </c>
      <c r="D71" s="97">
        <v>5229762</v>
      </c>
      <c r="E71" s="97">
        <f t="shared" si="9"/>
        <v>771379</v>
      </c>
      <c r="F71" s="98">
        <f t="shared" si="10"/>
        <v>0.17301766133595969</v>
      </c>
    </row>
    <row r="72" spans="1:6" ht="18" customHeight="1" x14ac:dyDescent="0.25">
      <c r="A72" s="99">
        <v>3</v>
      </c>
      <c r="B72" s="100" t="s">
        <v>114</v>
      </c>
      <c r="C72" s="97">
        <v>6462875</v>
      </c>
      <c r="D72" s="97">
        <v>11513089</v>
      </c>
      <c r="E72" s="97">
        <f t="shared" si="9"/>
        <v>5050214</v>
      </c>
      <c r="F72" s="98">
        <f t="shared" si="10"/>
        <v>0.78141910527435543</v>
      </c>
    </row>
    <row r="73" spans="1:6" ht="18" customHeight="1" x14ac:dyDescent="0.25">
      <c r="A73" s="99">
        <v>4</v>
      </c>
      <c r="B73" s="100" t="s">
        <v>115</v>
      </c>
      <c r="C73" s="97">
        <v>6742382</v>
      </c>
      <c r="D73" s="97">
        <v>7368668</v>
      </c>
      <c r="E73" s="97">
        <f t="shared" si="9"/>
        <v>626286</v>
      </c>
      <c r="F73" s="98">
        <f t="shared" si="10"/>
        <v>9.2887943756375713E-2</v>
      </c>
    </row>
    <row r="74" spans="1:6" ht="18" customHeight="1" x14ac:dyDescent="0.25">
      <c r="A74" s="99">
        <v>5</v>
      </c>
      <c r="B74" s="100" t="s">
        <v>116</v>
      </c>
      <c r="C74" s="97">
        <v>585727</v>
      </c>
      <c r="D74" s="97">
        <v>647617</v>
      </c>
      <c r="E74" s="97">
        <f t="shared" si="9"/>
        <v>61890</v>
      </c>
      <c r="F74" s="98">
        <f t="shared" si="10"/>
        <v>0.10566355998613688</v>
      </c>
    </row>
    <row r="75" spans="1:6" ht="18" customHeight="1" x14ac:dyDescent="0.25">
      <c r="A75" s="99">
        <v>6</v>
      </c>
      <c r="B75" s="100" t="s">
        <v>117</v>
      </c>
      <c r="C75" s="97">
        <v>417453</v>
      </c>
      <c r="D75" s="97">
        <v>553058</v>
      </c>
      <c r="E75" s="97">
        <f t="shared" si="9"/>
        <v>135605</v>
      </c>
      <c r="F75" s="98">
        <f t="shared" si="10"/>
        <v>0.32483896390731409</v>
      </c>
    </row>
    <row r="76" spans="1:6" ht="18" customHeight="1" x14ac:dyDescent="0.25">
      <c r="A76" s="99">
        <v>7</v>
      </c>
      <c r="B76" s="100" t="s">
        <v>118</v>
      </c>
      <c r="C76" s="97">
        <v>62922378</v>
      </c>
      <c r="D76" s="97">
        <v>67007321</v>
      </c>
      <c r="E76" s="97">
        <f t="shared" si="9"/>
        <v>4084943</v>
      </c>
      <c r="F76" s="98">
        <f t="shared" si="10"/>
        <v>6.492035313732103E-2</v>
      </c>
    </row>
    <row r="77" spans="1:6" ht="18" customHeight="1" x14ac:dyDescent="0.25">
      <c r="A77" s="99">
        <v>8</v>
      </c>
      <c r="B77" s="100" t="s">
        <v>119</v>
      </c>
      <c r="C77" s="97">
        <v>2435541</v>
      </c>
      <c r="D77" s="97">
        <v>2531327</v>
      </c>
      <c r="E77" s="97">
        <f t="shared" si="9"/>
        <v>95786</v>
      </c>
      <c r="F77" s="98">
        <f t="shared" si="10"/>
        <v>3.9328428468254073E-2</v>
      </c>
    </row>
    <row r="78" spans="1:6" ht="18" customHeight="1" x14ac:dyDescent="0.25">
      <c r="A78" s="99">
        <v>9</v>
      </c>
      <c r="B78" s="100" t="s">
        <v>120</v>
      </c>
      <c r="C78" s="97">
        <v>317574</v>
      </c>
      <c r="D78" s="97">
        <v>342475</v>
      </c>
      <c r="E78" s="97">
        <f t="shared" si="9"/>
        <v>24901</v>
      </c>
      <c r="F78" s="98">
        <f t="shared" si="10"/>
        <v>7.8410071353448324E-2</v>
      </c>
    </row>
    <row r="79" spans="1:6" ht="18" customHeight="1" x14ac:dyDescent="0.25">
      <c r="A79" s="99">
        <v>10</v>
      </c>
      <c r="B79" s="100" t="s">
        <v>121</v>
      </c>
      <c r="C79" s="97">
        <v>839224</v>
      </c>
      <c r="D79" s="97">
        <v>0</v>
      </c>
      <c r="E79" s="97">
        <f t="shared" si="9"/>
        <v>-839224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10854</v>
      </c>
      <c r="E80" s="97">
        <f t="shared" si="9"/>
        <v>10854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106831834</v>
      </c>
      <c r="D81" s="103">
        <f>SUM(D70:D80)</f>
        <v>121932303</v>
      </c>
      <c r="E81" s="103">
        <f t="shared" si="9"/>
        <v>15100469</v>
      </c>
      <c r="F81" s="104">
        <f t="shared" si="10"/>
        <v>0.14134802740538929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83819705</v>
      </c>
      <c r="D84" s="103">
        <f t="shared" si="11"/>
        <v>86705504</v>
      </c>
      <c r="E84" s="103">
        <f t="shared" ref="E84:E95" si="12">D84-C84</f>
        <v>2885799</v>
      </c>
      <c r="F84" s="104">
        <f t="shared" ref="F84:F95" si="13">IF(C84=0,0,E84/C84)</f>
        <v>3.4428646581373679E-2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13640699</v>
      </c>
      <c r="D85" s="103">
        <f t="shared" si="11"/>
        <v>14626599</v>
      </c>
      <c r="E85" s="103">
        <f t="shared" si="12"/>
        <v>985900</v>
      </c>
      <c r="F85" s="104">
        <f t="shared" si="13"/>
        <v>7.2276354752787958E-2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15818379</v>
      </c>
      <c r="D86" s="103">
        <f t="shared" si="11"/>
        <v>22096906</v>
      </c>
      <c r="E86" s="103">
        <f t="shared" si="12"/>
        <v>6278527</v>
      </c>
      <c r="F86" s="104">
        <f t="shared" si="13"/>
        <v>0.39691342583206535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14271882</v>
      </c>
      <c r="D87" s="103">
        <f t="shared" si="11"/>
        <v>16760365</v>
      </c>
      <c r="E87" s="103">
        <f t="shared" si="12"/>
        <v>2488483</v>
      </c>
      <c r="F87" s="104">
        <f t="shared" si="13"/>
        <v>0.17436263836822641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1164459</v>
      </c>
      <c r="D88" s="103">
        <f t="shared" si="11"/>
        <v>1364123</v>
      </c>
      <c r="E88" s="103">
        <f t="shared" si="12"/>
        <v>199664</v>
      </c>
      <c r="F88" s="104">
        <f t="shared" si="13"/>
        <v>0.17146503225961585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579582</v>
      </c>
      <c r="D89" s="103">
        <f t="shared" si="11"/>
        <v>689565</v>
      </c>
      <c r="E89" s="103">
        <f t="shared" si="12"/>
        <v>109983</v>
      </c>
      <c r="F89" s="104">
        <f t="shared" si="13"/>
        <v>0.18976262202759919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108083269</v>
      </c>
      <c r="D90" s="103">
        <f t="shared" si="11"/>
        <v>114254487</v>
      </c>
      <c r="E90" s="103">
        <f t="shared" si="12"/>
        <v>6171218</v>
      </c>
      <c r="F90" s="104">
        <f t="shared" si="13"/>
        <v>5.7096885180258565E-2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3749510</v>
      </c>
      <c r="D91" s="103">
        <f t="shared" si="11"/>
        <v>3426524</v>
      </c>
      <c r="E91" s="103">
        <f t="shared" si="12"/>
        <v>-322986</v>
      </c>
      <c r="F91" s="104">
        <f t="shared" si="13"/>
        <v>-8.6140855738483166E-2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477120</v>
      </c>
      <c r="D92" s="103">
        <f t="shared" si="11"/>
        <v>573078</v>
      </c>
      <c r="E92" s="103">
        <f t="shared" si="12"/>
        <v>95958</v>
      </c>
      <c r="F92" s="104">
        <f t="shared" si="13"/>
        <v>0.2011192152917505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1314239</v>
      </c>
      <c r="D93" s="103">
        <f t="shared" si="11"/>
        <v>0</v>
      </c>
      <c r="E93" s="103">
        <f t="shared" si="12"/>
        <v>-1314239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57665</v>
      </c>
      <c r="E94" s="103">
        <f t="shared" si="12"/>
        <v>57665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242918844</v>
      </c>
      <c r="D95" s="112">
        <f>SUM(D84:D94)</f>
        <v>260554816</v>
      </c>
      <c r="E95" s="112">
        <f t="shared" si="12"/>
        <v>17635972</v>
      </c>
      <c r="F95" s="113">
        <f t="shared" si="13"/>
        <v>7.2600263156200426E-2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3458</v>
      </c>
      <c r="D100" s="117">
        <v>3268</v>
      </c>
      <c r="E100" s="117">
        <f t="shared" ref="E100:E111" si="14">D100-C100</f>
        <v>-190</v>
      </c>
      <c r="F100" s="98">
        <f t="shared" ref="F100:F111" si="15">IF(C100=0,0,E100/C100)</f>
        <v>-5.4945054945054944E-2</v>
      </c>
    </row>
    <row r="101" spans="1:6" ht="18" customHeight="1" x14ac:dyDescent="0.25">
      <c r="A101" s="99">
        <v>2</v>
      </c>
      <c r="B101" s="100" t="s">
        <v>113</v>
      </c>
      <c r="C101" s="117">
        <v>492</v>
      </c>
      <c r="D101" s="117">
        <v>543</v>
      </c>
      <c r="E101" s="117">
        <f t="shared" si="14"/>
        <v>51</v>
      </c>
      <c r="F101" s="98">
        <f t="shared" si="15"/>
        <v>0.10365853658536585</v>
      </c>
    </row>
    <row r="102" spans="1:6" ht="18" customHeight="1" x14ac:dyDescent="0.25">
      <c r="A102" s="99">
        <v>3</v>
      </c>
      <c r="B102" s="100" t="s">
        <v>114</v>
      </c>
      <c r="C102" s="117">
        <v>927</v>
      </c>
      <c r="D102" s="117">
        <v>1116</v>
      </c>
      <c r="E102" s="117">
        <f t="shared" si="14"/>
        <v>189</v>
      </c>
      <c r="F102" s="98">
        <f t="shared" si="15"/>
        <v>0.20388349514563106</v>
      </c>
    </row>
    <row r="103" spans="1:6" ht="18" customHeight="1" x14ac:dyDescent="0.25">
      <c r="A103" s="99">
        <v>4</v>
      </c>
      <c r="B103" s="100" t="s">
        <v>115</v>
      </c>
      <c r="C103" s="117">
        <v>830</v>
      </c>
      <c r="D103" s="117">
        <v>756</v>
      </c>
      <c r="E103" s="117">
        <f t="shared" si="14"/>
        <v>-74</v>
      </c>
      <c r="F103" s="98">
        <f t="shared" si="15"/>
        <v>-8.91566265060241E-2</v>
      </c>
    </row>
    <row r="104" spans="1:6" ht="18" customHeight="1" x14ac:dyDescent="0.25">
      <c r="A104" s="99">
        <v>5</v>
      </c>
      <c r="B104" s="100" t="s">
        <v>116</v>
      </c>
      <c r="C104" s="117">
        <v>84</v>
      </c>
      <c r="D104" s="117">
        <v>62</v>
      </c>
      <c r="E104" s="117">
        <f t="shared" si="14"/>
        <v>-22</v>
      </c>
      <c r="F104" s="98">
        <f t="shared" si="15"/>
        <v>-0.26190476190476192</v>
      </c>
    </row>
    <row r="105" spans="1:6" ht="18" customHeight="1" x14ac:dyDescent="0.25">
      <c r="A105" s="99">
        <v>6</v>
      </c>
      <c r="B105" s="100" t="s">
        <v>117</v>
      </c>
      <c r="C105" s="117">
        <v>22</v>
      </c>
      <c r="D105" s="117">
        <v>18</v>
      </c>
      <c r="E105" s="117">
        <f t="shared" si="14"/>
        <v>-4</v>
      </c>
      <c r="F105" s="98">
        <f t="shared" si="15"/>
        <v>-0.18181818181818182</v>
      </c>
    </row>
    <row r="106" spans="1:6" ht="18" customHeight="1" x14ac:dyDescent="0.25">
      <c r="A106" s="99">
        <v>7</v>
      </c>
      <c r="B106" s="100" t="s">
        <v>118</v>
      </c>
      <c r="C106" s="117">
        <v>3428</v>
      </c>
      <c r="D106" s="117">
        <v>3208</v>
      </c>
      <c r="E106" s="117">
        <f t="shared" si="14"/>
        <v>-220</v>
      </c>
      <c r="F106" s="98">
        <f t="shared" si="15"/>
        <v>-6.4177362893815634E-2</v>
      </c>
    </row>
    <row r="107" spans="1:6" ht="18" customHeight="1" x14ac:dyDescent="0.25">
      <c r="A107" s="99">
        <v>8</v>
      </c>
      <c r="B107" s="100" t="s">
        <v>119</v>
      </c>
      <c r="C107" s="117">
        <v>73</v>
      </c>
      <c r="D107" s="117">
        <v>52</v>
      </c>
      <c r="E107" s="117">
        <f t="shared" si="14"/>
        <v>-21</v>
      </c>
      <c r="F107" s="98">
        <f t="shared" si="15"/>
        <v>-0.28767123287671231</v>
      </c>
    </row>
    <row r="108" spans="1:6" ht="18" customHeight="1" x14ac:dyDescent="0.25">
      <c r="A108" s="99">
        <v>9</v>
      </c>
      <c r="B108" s="100" t="s">
        <v>120</v>
      </c>
      <c r="C108" s="117">
        <v>81</v>
      </c>
      <c r="D108" s="117">
        <v>50</v>
      </c>
      <c r="E108" s="117">
        <f t="shared" si="14"/>
        <v>-31</v>
      </c>
      <c r="F108" s="98">
        <f t="shared" si="15"/>
        <v>-0.38271604938271603</v>
      </c>
    </row>
    <row r="109" spans="1:6" ht="18" customHeight="1" x14ac:dyDescent="0.25">
      <c r="A109" s="99">
        <v>10</v>
      </c>
      <c r="B109" s="100" t="s">
        <v>121</v>
      </c>
      <c r="C109" s="117">
        <v>172</v>
      </c>
      <c r="D109" s="117">
        <v>0</v>
      </c>
      <c r="E109" s="117">
        <f t="shared" si="14"/>
        <v>-172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9</v>
      </c>
      <c r="E110" s="117">
        <f t="shared" si="14"/>
        <v>9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9567</v>
      </c>
      <c r="D111" s="118">
        <f>SUM(D100:D110)</f>
        <v>9082</v>
      </c>
      <c r="E111" s="118">
        <f t="shared" si="14"/>
        <v>-485</v>
      </c>
      <c r="F111" s="104">
        <f t="shared" si="15"/>
        <v>-5.0695097731786348E-2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18036</v>
      </c>
      <c r="D113" s="117">
        <v>16928</v>
      </c>
      <c r="E113" s="117">
        <f t="shared" ref="E113:E124" si="16">D113-C113</f>
        <v>-1108</v>
      </c>
      <c r="F113" s="98">
        <f t="shared" ref="F113:F124" si="17">IF(C113=0,0,E113/C113)</f>
        <v>-6.1432690175205147E-2</v>
      </c>
    </row>
    <row r="114" spans="1:6" ht="18" customHeight="1" x14ac:dyDescent="0.25">
      <c r="A114" s="99">
        <v>2</v>
      </c>
      <c r="B114" s="100" t="s">
        <v>113</v>
      </c>
      <c r="C114" s="117">
        <v>2322</v>
      </c>
      <c r="D114" s="117">
        <v>2454</v>
      </c>
      <c r="E114" s="117">
        <f t="shared" si="16"/>
        <v>132</v>
      </c>
      <c r="F114" s="98">
        <f t="shared" si="17"/>
        <v>5.6847545219638244E-2</v>
      </c>
    </row>
    <row r="115" spans="1:6" ht="18" customHeight="1" x14ac:dyDescent="0.25">
      <c r="A115" s="99">
        <v>3</v>
      </c>
      <c r="B115" s="100" t="s">
        <v>114</v>
      </c>
      <c r="C115" s="117">
        <v>6271</v>
      </c>
      <c r="D115" s="117">
        <v>7383</v>
      </c>
      <c r="E115" s="117">
        <f t="shared" si="16"/>
        <v>1112</v>
      </c>
      <c r="F115" s="98">
        <f t="shared" si="17"/>
        <v>0.17732419071918354</v>
      </c>
    </row>
    <row r="116" spans="1:6" ht="18" customHeight="1" x14ac:dyDescent="0.25">
      <c r="A116" s="99">
        <v>4</v>
      </c>
      <c r="B116" s="100" t="s">
        <v>115</v>
      </c>
      <c r="C116" s="117">
        <v>5419</v>
      </c>
      <c r="D116" s="117">
        <v>6677</v>
      </c>
      <c r="E116" s="117">
        <f t="shared" si="16"/>
        <v>1258</v>
      </c>
      <c r="F116" s="98">
        <f t="shared" si="17"/>
        <v>0.23214615242664699</v>
      </c>
    </row>
    <row r="117" spans="1:6" ht="18" customHeight="1" x14ac:dyDescent="0.25">
      <c r="A117" s="99">
        <v>5</v>
      </c>
      <c r="B117" s="100" t="s">
        <v>116</v>
      </c>
      <c r="C117" s="117">
        <v>304</v>
      </c>
      <c r="D117" s="117">
        <v>529</v>
      </c>
      <c r="E117" s="117">
        <f t="shared" si="16"/>
        <v>225</v>
      </c>
      <c r="F117" s="98">
        <f t="shared" si="17"/>
        <v>0.74013157894736847</v>
      </c>
    </row>
    <row r="118" spans="1:6" ht="18" customHeight="1" x14ac:dyDescent="0.25">
      <c r="A118" s="99">
        <v>6</v>
      </c>
      <c r="B118" s="100" t="s">
        <v>117</v>
      </c>
      <c r="C118" s="117">
        <v>135</v>
      </c>
      <c r="D118" s="117">
        <v>75</v>
      </c>
      <c r="E118" s="117">
        <f t="shared" si="16"/>
        <v>-60</v>
      </c>
      <c r="F118" s="98">
        <f t="shared" si="17"/>
        <v>-0.44444444444444442</v>
      </c>
    </row>
    <row r="119" spans="1:6" ht="18" customHeight="1" x14ac:dyDescent="0.25">
      <c r="A119" s="99">
        <v>7</v>
      </c>
      <c r="B119" s="100" t="s">
        <v>118</v>
      </c>
      <c r="C119" s="117">
        <v>17517</v>
      </c>
      <c r="D119" s="117">
        <v>17141</v>
      </c>
      <c r="E119" s="117">
        <f t="shared" si="16"/>
        <v>-376</v>
      </c>
      <c r="F119" s="98">
        <f t="shared" si="17"/>
        <v>-2.1464862704801052E-2</v>
      </c>
    </row>
    <row r="120" spans="1:6" ht="18" customHeight="1" x14ac:dyDescent="0.25">
      <c r="A120" s="99">
        <v>8</v>
      </c>
      <c r="B120" s="100" t="s">
        <v>119</v>
      </c>
      <c r="C120" s="117">
        <v>187</v>
      </c>
      <c r="D120" s="117">
        <v>113</v>
      </c>
      <c r="E120" s="117">
        <f t="shared" si="16"/>
        <v>-74</v>
      </c>
      <c r="F120" s="98">
        <f t="shared" si="17"/>
        <v>-0.39572192513368987</v>
      </c>
    </row>
    <row r="121" spans="1:6" ht="18" customHeight="1" x14ac:dyDescent="0.25">
      <c r="A121" s="99">
        <v>9</v>
      </c>
      <c r="B121" s="100" t="s">
        <v>120</v>
      </c>
      <c r="C121" s="117">
        <v>295</v>
      </c>
      <c r="D121" s="117">
        <v>234</v>
      </c>
      <c r="E121" s="117">
        <f t="shared" si="16"/>
        <v>-61</v>
      </c>
      <c r="F121" s="98">
        <f t="shared" si="17"/>
        <v>-0.20677966101694914</v>
      </c>
    </row>
    <row r="122" spans="1:6" ht="18" customHeight="1" x14ac:dyDescent="0.25">
      <c r="A122" s="99">
        <v>10</v>
      </c>
      <c r="B122" s="100" t="s">
        <v>121</v>
      </c>
      <c r="C122" s="117">
        <v>744</v>
      </c>
      <c r="D122" s="117">
        <v>0</v>
      </c>
      <c r="E122" s="117">
        <f t="shared" si="16"/>
        <v>-744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80</v>
      </c>
      <c r="E123" s="117">
        <f t="shared" si="16"/>
        <v>80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51230</v>
      </c>
      <c r="D124" s="118">
        <f>SUM(D113:D123)</f>
        <v>51614</v>
      </c>
      <c r="E124" s="118">
        <f t="shared" si="16"/>
        <v>384</v>
      </c>
      <c r="F124" s="104">
        <f t="shared" si="17"/>
        <v>7.4956080421627949E-3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75338</v>
      </c>
      <c r="D126" s="117">
        <v>82197</v>
      </c>
      <c r="E126" s="117">
        <f t="shared" ref="E126:E137" si="18">D126-C126</f>
        <v>6859</v>
      </c>
      <c r="F126" s="98">
        <f t="shared" ref="F126:F137" si="19">IF(C126=0,0,E126/C126)</f>
        <v>9.1043032732485596E-2</v>
      </c>
    </row>
    <row r="127" spans="1:6" ht="18" customHeight="1" x14ac:dyDescent="0.25">
      <c r="A127" s="99">
        <v>2</v>
      </c>
      <c r="B127" s="100" t="s">
        <v>113</v>
      </c>
      <c r="C127" s="117">
        <v>13394</v>
      </c>
      <c r="D127" s="117">
        <v>16186</v>
      </c>
      <c r="E127" s="117">
        <f t="shared" si="18"/>
        <v>2792</v>
      </c>
      <c r="F127" s="98">
        <f t="shared" si="19"/>
        <v>0.20845154546812006</v>
      </c>
    </row>
    <row r="128" spans="1:6" ht="18" customHeight="1" x14ac:dyDescent="0.25">
      <c r="A128" s="99">
        <v>3</v>
      </c>
      <c r="B128" s="100" t="s">
        <v>114</v>
      </c>
      <c r="C128" s="117">
        <v>19624</v>
      </c>
      <c r="D128" s="117">
        <v>27575</v>
      </c>
      <c r="E128" s="117">
        <f t="shared" si="18"/>
        <v>7951</v>
      </c>
      <c r="F128" s="98">
        <f t="shared" si="19"/>
        <v>0.40516714227476558</v>
      </c>
    </row>
    <row r="129" spans="1:6" ht="18" customHeight="1" x14ac:dyDescent="0.25">
      <c r="A129" s="99">
        <v>4</v>
      </c>
      <c r="B129" s="100" t="s">
        <v>115</v>
      </c>
      <c r="C129" s="117">
        <v>22181</v>
      </c>
      <c r="D129" s="117">
        <v>23872</v>
      </c>
      <c r="E129" s="117">
        <f t="shared" si="18"/>
        <v>1691</v>
      </c>
      <c r="F129" s="98">
        <f t="shared" si="19"/>
        <v>7.6236418556422159E-2</v>
      </c>
    </row>
    <row r="130" spans="1:6" ht="18" customHeight="1" x14ac:dyDescent="0.25">
      <c r="A130" s="99">
        <v>5</v>
      </c>
      <c r="B130" s="100" t="s">
        <v>116</v>
      </c>
      <c r="C130" s="117">
        <v>2059</v>
      </c>
      <c r="D130" s="117">
        <v>2251</v>
      </c>
      <c r="E130" s="117">
        <f t="shared" si="18"/>
        <v>192</v>
      </c>
      <c r="F130" s="98">
        <f t="shared" si="19"/>
        <v>9.3249150072850895E-2</v>
      </c>
    </row>
    <row r="131" spans="1:6" ht="18" customHeight="1" x14ac:dyDescent="0.25">
      <c r="A131" s="99">
        <v>6</v>
      </c>
      <c r="B131" s="100" t="s">
        <v>117</v>
      </c>
      <c r="C131" s="117">
        <v>1258</v>
      </c>
      <c r="D131" s="117">
        <v>1306</v>
      </c>
      <c r="E131" s="117">
        <f t="shared" si="18"/>
        <v>48</v>
      </c>
      <c r="F131" s="98">
        <f t="shared" si="19"/>
        <v>3.8155802861685212E-2</v>
      </c>
    </row>
    <row r="132" spans="1:6" ht="18" customHeight="1" x14ac:dyDescent="0.25">
      <c r="A132" s="99">
        <v>7</v>
      </c>
      <c r="B132" s="100" t="s">
        <v>118</v>
      </c>
      <c r="C132" s="117">
        <v>136615</v>
      </c>
      <c r="D132" s="117">
        <v>141837</v>
      </c>
      <c r="E132" s="117">
        <f t="shared" si="18"/>
        <v>5222</v>
      </c>
      <c r="F132" s="98">
        <f t="shared" si="19"/>
        <v>3.8224206712293672E-2</v>
      </c>
    </row>
    <row r="133" spans="1:6" ht="18" customHeight="1" x14ac:dyDescent="0.25">
      <c r="A133" s="99">
        <v>8</v>
      </c>
      <c r="B133" s="100" t="s">
        <v>119</v>
      </c>
      <c r="C133" s="117">
        <v>2563</v>
      </c>
      <c r="D133" s="117">
        <v>2420</v>
      </c>
      <c r="E133" s="117">
        <f t="shared" si="18"/>
        <v>-143</v>
      </c>
      <c r="F133" s="98">
        <f t="shared" si="19"/>
        <v>-5.5793991416309016E-2</v>
      </c>
    </row>
    <row r="134" spans="1:6" ht="18" customHeight="1" x14ac:dyDescent="0.25">
      <c r="A134" s="99">
        <v>9</v>
      </c>
      <c r="B134" s="100" t="s">
        <v>120</v>
      </c>
      <c r="C134" s="117">
        <v>4202</v>
      </c>
      <c r="D134" s="117">
        <v>4566</v>
      </c>
      <c r="E134" s="117">
        <f t="shared" si="18"/>
        <v>364</v>
      </c>
      <c r="F134" s="98">
        <f t="shared" si="19"/>
        <v>8.6625416468348412E-2</v>
      </c>
    </row>
    <row r="135" spans="1:6" ht="18" customHeight="1" x14ac:dyDescent="0.25">
      <c r="A135" s="99">
        <v>10</v>
      </c>
      <c r="B135" s="100" t="s">
        <v>121</v>
      </c>
      <c r="C135" s="117">
        <v>4505</v>
      </c>
      <c r="D135" s="117">
        <v>1</v>
      </c>
      <c r="E135" s="117">
        <f t="shared" si="18"/>
        <v>-4504</v>
      </c>
      <c r="F135" s="98">
        <f t="shared" si="19"/>
        <v>-0.99977802441731412</v>
      </c>
    </row>
    <row r="136" spans="1:6" ht="18" customHeight="1" x14ac:dyDescent="0.25">
      <c r="A136" s="99">
        <v>11</v>
      </c>
      <c r="B136" s="100" t="s">
        <v>122</v>
      </c>
      <c r="C136" s="117">
        <v>979</v>
      </c>
      <c r="D136" s="117">
        <v>669</v>
      </c>
      <c r="E136" s="117">
        <f t="shared" si="18"/>
        <v>-310</v>
      </c>
      <c r="F136" s="98">
        <f t="shared" si="19"/>
        <v>-0.31664964249233912</v>
      </c>
    </row>
    <row r="137" spans="1:6" ht="18" customHeight="1" x14ac:dyDescent="0.25">
      <c r="A137" s="101"/>
      <c r="B137" s="102" t="s">
        <v>143</v>
      </c>
      <c r="C137" s="118">
        <f>SUM(C126:C136)</f>
        <v>282718</v>
      </c>
      <c r="D137" s="118">
        <f>SUM(D126:D136)</f>
        <v>302880</v>
      </c>
      <c r="E137" s="118">
        <f t="shared" si="18"/>
        <v>20162</v>
      </c>
      <c r="F137" s="104">
        <f t="shared" si="19"/>
        <v>7.1314879137515122E-2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6849469</v>
      </c>
      <c r="D142" s="97">
        <v>7717499</v>
      </c>
      <c r="E142" s="97">
        <f t="shared" ref="E142:E153" si="20">D142-C142</f>
        <v>868030</v>
      </c>
      <c r="F142" s="98">
        <f t="shared" ref="F142:F153" si="21">IF(C142=0,0,E142/C142)</f>
        <v>0.12672953188050051</v>
      </c>
    </row>
    <row r="143" spans="1:6" ht="18" customHeight="1" x14ac:dyDescent="0.25">
      <c r="A143" s="99">
        <v>2</v>
      </c>
      <c r="B143" s="100" t="s">
        <v>113</v>
      </c>
      <c r="C143" s="97">
        <v>1170059</v>
      </c>
      <c r="D143" s="97">
        <v>1370574</v>
      </c>
      <c r="E143" s="97">
        <f t="shared" si="20"/>
        <v>200515</v>
      </c>
      <c r="F143" s="98">
        <f t="shared" si="21"/>
        <v>0.17137170005956964</v>
      </c>
    </row>
    <row r="144" spans="1:6" ht="18" customHeight="1" x14ac:dyDescent="0.25">
      <c r="A144" s="99">
        <v>3</v>
      </c>
      <c r="B144" s="100" t="s">
        <v>114</v>
      </c>
      <c r="C144" s="97">
        <v>2463018</v>
      </c>
      <c r="D144" s="97">
        <v>3692310</v>
      </c>
      <c r="E144" s="97">
        <f t="shared" si="20"/>
        <v>1229292</v>
      </c>
      <c r="F144" s="98">
        <f t="shared" si="21"/>
        <v>0.4990998847755071</v>
      </c>
    </row>
    <row r="145" spans="1:6" ht="18" customHeight="1" x14ac:dyDescent="0.25">
      <c r="A145" s="99">
        <v>4</v>
      </c>
      <c r="B145" s="100" t="s">
        <v>115</v>
      </c>
      <c r="C145" s="97">
        <v>2409364</v>
      </c>
      <c r="D145" s="97">
        <v>2606775</v>
      </c>
      <c r="E145" s="97">
        <f t="shared" si="20"/>
        <v>197411</v>
      </c>
      <c r="F145" s="98">
        <f t="shared" si="21"/>
        <v>8.1934900662581495E-2</v>
      </c>
    </row>
    <row r="146" spans="1:6" ht="18" customHeight="1" x14ac:dyDescent="0.25">
      <c r="A146" s="99">
        <v>5</v>
      </c>
      <c r="B146" s="100" t="s">
        <v>116</v>
      </c>
      <c r="C146" s="97">
        <v>166872</v>
      </c>
      <c r="D146" s="97">
        <v>150918</v>
      </c>
      <c r="E146" s="97">
        <f t="shared" si="20"/>
        <v>-15954</v>
      </c>
      <c r="F146" s="98">
        <f t="shared" si="21"/>
        <v>-9.5606213145404864E-2</v>
      </c>
    </row>
    <row r="147" spans="1:6" ht="18" customHeight="1" x14ac:dyDescent="0.25">
      <c r="A147" s="99">
        <v>6</v>
      </c>
      <c r="B147" s="100" t="s">
        <v>117</v>
      </c>
      <c r="C147" s="97">
        <v>264937</v>
      </c>
      <c r="D147" s="97">
        <v>265267</v>
      </c>
      <c r="E147" s="97">
        <f t="shared" si="20"/>
        <v>330</v>
      </c>
      <c r="F147" s="98">
        <f t="shared" si="21"/>
        <v>1.2455791376817884E-3</v>
      </c>
    </row>
    <row r="148" spans="1:6" ht="18" customHeight="1" x14ac:dyDescent="0.25">
      <c r="A148" s="99">
        <v>7</v>
      </c>
      <c r="B148" s="100" t="s">
        <v>118</v>
      </c>
      <c r="C148" s="97">
        <v>13672542</v>
      </c>
      <c r="D148" s="97">
        <v>13839677</v>
      </c>
      <c r="E148" s="97">
        <f t="shared" si="20"/>
        <v>167135</v>
      </c>
      <c r="F148" s="98">
        <f t="shared" si="21"/>
        <v>1.2224135058425858E-2</v>
      </c>
    </row>
    <row r="149" spans="1:6" ht="18" customHeight="1" x14ac:dyDescent="0.25">
      <c r="A149" s="99">
        <v>8</v>
      </c>
      <c r="B149" s="100" t="s">
        <v>119</v>
      </c>
      <c r="C149" s="97">
        <v>756192</v>
      </c>
      <c r="D149" s="97">
        <v>720984</v>
      </c>
      <c r="E149" s="97">
        <f t="shared" si="20"/>
        <v>-35208</v>
      </c>
      <c r="F149" s="98">
        <f t="shared" si="21"/>
        <v>-4.6559603910118062E-2</v>
      </c>
    </row>
    <row r="150" spans="1:6" ht="18" customHeight="1" x14ac:dyDescent="0.25">
      <c r="A150" s="99">
        <v>9</v>
      </c>
      <c r="B150" s="100" t="s">
        <v>120</v>
      </c>
      <c r="C150" s="97">
        <v>1457363</v>
      </c>
      <c r="D150" s="97">
        <v>1445013</v>
      </c>
      <c r="E150" s="97">
        <f t="shared" si="20"/>
        <v>-12350</v>
      </c>
      <c r="F150" s="98">
        <f t="shared" si="21"/>
        <v>-8.4742099257357293E-3</v>
      </c>
    </row>
    <row r="151" spans="1:6" ht="18" customHeight="1" x14ac:dyDescent="0.25">
      <c r="A151" s="99">
        <v>10</v>
      </c>
      <c r="B151" s="100" t="s">
        <v>121</v>
      </c>
      <c r="C151" s="97">
        <v>776853</v>
      </c>
      <c r="D151" s="97">
        <v>0</v>
      </c>
      <c r="E151" s="97">
        <f t="shared" si="20"/>
        <v>-776853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67472</v>
      </c>
      <c r="D152" s="97">
        <v>88609</v>
      </c>
      <c r="E152" s="97">
        <f t="shared" si="20"/>
        <v>21137</v>
      </c>
      <c r="F152" s="98">
        <f t="shared" si="21"/>
        <v>0.31327069006402658</v>
      </c>
    </row>
    <row r="153" spans="1:6" ht="33.75" customHeight="1" x14ac:dyDescent="0.25">
      <c r="A153" s="101"/>
      <c r="B153" s="102" t="s">
        <v>147</v>
      </c>
      <c r="C153" s="103">
        <f>SUM(C142:C152)</f>
        <v>30054141</v>
      </c>
      <c r="D153" s="103">
        <f>SUM(D142:D152)</f>
        <v>31897626</v>
      </c>
      <c r="E153" s="103">
        <f t="shared" si="20"/>
        <v>1843485</v>
      </c>
      <c r="F153" s="104">
        <f t="shared" si="21"/>
        <v>6.1338801864275545E-2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2071590</v>
      </c>
      <c r="D155" s="97">
        <v>2266103</v>
      </c>
      <c r="E155" s="97">
        <f t="shared" ref="E155:E166" si="22">D155-C155</f>
        <v>194513</v>
      </c>
      <c r="F155" s="98">
        <f t="shared" ref="F155:F166" si="23">IF(C155=0,0,E155/C155)</f>
        <v>9.3895510211962796E-2</v>
      </c>
    </row>
    <row r="156" spans="1:6" ht="18" customHeight="1" x14ac:dyDescent="0.25">
      <c r="A156" s="99">
        <v>2</v>
      </c>
      <c r="B156" s="100" t="s">
        <v>113</v>
      </c>
      <c r="C156" s="97">
        <v>356093</v>
      </c>
      <c r="D156" s="97">
        <v>385577</v>
      </c>
      <c r="E156" s="97">
        <f t="shared" si="22"/>
        <v>29484</v>
      </c>
      <c r="F156" s="98">
        <f t="shared" si="23"/>
        <v>8.2798594749124529E-2</v>
      </c>
    </row>
    <row r="157" spans="1:6" ht="18" customHeight="1" x14ac:dyDescent="0.25">
      <c r="A157" s="99">
        <v>3</v>
      </c>
      <c r="B157" s="100" t="s">
        <v>114</v>
      </c>
      <c r="C157" s="97">
        <v>695165</v>
      </c>
      <c r="D157" s="97">
        <v>1044273</v>
      </c>
      <c r="E157" s="97">
        <f t="shared" si="22"/>
        <v>349108</v>
      </c>
      <c r="F157" s="98">
        <f t="shared" si="23"/>
        <v>0.50219444304589556</v>
      </c>
    </row>
    <row r="158" spans="1:6" ht="18" customHeight="1" x14ac:dyDescent="0.25">
      <c r="A158" s="99">
        <v>4</v>
      </c>
      <c r="B158" s="100" t="s">
        <v>115</v>
      </c>
      <c r="C158" s="97">
        <v>800554</v>
      </c>
      <c r="D158" s="97">
        <v>875251</v>
      </c>
      <c r="E158" s="97">
        <f t="shared" si="22"/>
        <v>74697</v>
      </c>
      <c r="F158" s="98">
        <f t="shared" si="23"/>
        <v>9.3306635155155054E-2</v>
      </c>
    </row>
    <row r="159" spans="1:6" ht="18" customHeight="1" x14ac:dyDescent="0.25">
      <c r="A159" s="99">
        <v>5</v>
      </c>
      <c r="B159" s="100" t="s">
        <v>116</v>
      </c>
      <c r="C159" s="97">
        <v>69420</v>
      </c>
      <c r="D159" s="97">
        <v>59812</v>
      </c>
      <c r="E159" s="97">
        <f t="shared" si="22"/>
        <v>-9608</v>
      </c>
      <c r="F159" s="98">
        <f t="shared" si="23"/>
        <v>-0.13840391817919909</v>
      </c>
    </row>
    <row r="160" spans="1:6" ht="18" customHeight="1" x14ac:dyDescent="0.25">
      <c r="A160" s="99">
        <v>6</v>
      </c>
      <c r="B160" s="100" t="s">
        <v>117</v>
      </c>
      <c r="C160" s="97">
        <v>127287</v>
      </c>
      <c r="D160" s="97">
        <v>149335</v>
      </c>
      <c r="E160" s="97">
        <f t="shared" si="22"/>
        <v>22048</v>
      </c>
      <c r="F160" s="98">
        <f t="shared" si="23"/>
        <v>0.17321486090488425</v>
      </c>
    </row>
    <row r="161" spans="1:6" ht="18" customHeight="1" x14ac:dyDescent="0.25">
      <c r="A161" s="99">
        <v>7</v>
      </c>
      <c r="B161" s="100" t="s">
        <v>118</v>
      </c>
      <c r="C161" s="97">
        <v>6816677</v>
      </c>
      <c r="D161" s="97">
        <v>7515900</v>
      </c>
      <c r="E161" s="97">
        <f t="shared" si="22"/>
        <v>699223</v>
      </c>
      <c r="F161" s="98">
        <f t="shared" si="23"/>
        <v>0.10257534572930477</v>
      </c>
    </row>
    <row r="162" spans="1:6" ht="18" customHeight="1" x14ac:dyDescent="0.25">
      <c r="A162" s="99">
        <v>8</v>
      </c>
      <c r="B162" s="100" t="s">
        <v>119</v>
      </c>
      <c r="C162" s="97">
        <v>564380</v>
      </c>
      <c r="D162" s="97">
        <v>581690</v>
      </c>
      <c r="E162" s="97">
        <f t="shared" si="22"/>
        <v>17310</v>
      </c>
      <c r="F162" s="98">
        <f t="shared" si="23"/>
        <v>3.0670824621708778E-2</v>
      </c>
    </row>
    <row r="163" spans="1:6" ht="18" customHeight="1" x14ac:dyDescent="0.25">
      <c r="A163" s="99">
        <v>9</v>
      </c>
      <c r="B163" s="100" t="s">
        <v>120</v>
      </c>
      <c r="C163" s="97">
        <v>97854</v>
      </c>
      <c r="D163" s="97">
        <v>106666</v>
      </c>
      <c r="E163" s="97">
        <f t="shared" si="22"/>
        <v>8812</v>
      </c>
      <c r="F163" s="98">
        <f t="shared" si="23"/>
        <v>9.0052527234451327E-2</v>
      </c>
    </row>
    <row r="164" spans="1:6" ht="18" customHeight="1" x14ac:dyDescent="0.25">
      <c r="A164" s="99">
        <v>10</v>
      </c>
      <c r="B164" s="100" t="s">
        <v>121</v>
      </c>
      <c r="C164" s="97">
        <v>104555</v>
      </c>
      <c r="D164" s="97">
        <v>0</v>
      </c>
      <c r="E164" s="97">
        <f t="shared" si="22"/>
        <v>-104555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8612</v>
      </c>
      <c r="D165" s="97">
        <v>4022</v>
      </c>
      <c r="E165" s="97">
        <f t="shared" si="22"/>
        <v>-4590</v>
      </c>
      <c r="F165" s="98">
        <f t="shared" si="23"/>
        <v>-0.53297724105898747</v>
      </c>
    </row>
    <row r="166" spans="1:6" ht="33.75" customHeight="1" x14ac:dyDescent="0.25">
      <c r="A166" s="101"/>
      <c r="B166" s="102" t="s">
        <v>149</v>
      </c>
      <c r="C166" s="103">
        <f>SUM(C155:C165)</f>
        <v>11712187</v>
      </c>
      <c r="D166" s="103">
        <f>SUM(D155:D165)</f>
        <v>12988629</v>
      </c>
      <c r="E166" s="103">
        <f t="shared" si="22"/>
        <v>1276442</v>
      </c>
      <c r="F166" s="104">
        <f t="shared" si="23"/>
        <v>0.10898408640504118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4637</v>
      </c>
      <c r="D168" s="117">
        <v>5075</v>
      </c>
      <c r="E168" s="117">
        <f t="shared" ref="E168:E179" si="24">D168-C168</f>
        <v>438</v>
      </c>
      <c r="F168" s="98">
        <f t="shared" ref="F168:F179" si="25">IF(C168=0,0,E168/C168)</f>
        <v>9.4457623463446189E-2</v>
      </c>
    </row>
    <row r="169" spans="1:6" ht="18" customHeight="1" x14ac:dyDescent="0.25">
      <c r="A169" s="99">
        <v>2</v>
      </c>
      <c r="B169" s="100" t="s">
        <v>113</v>
      </c>
      <c r="C169" s="117">
        <v>764</v>
      </c>
      <c r="D169" s="117">
        <v>896</v>
      </c>
      <c r="E169" s="117">
        <f t="shared" si="24"/>
        <v>132</v>
      </c>
      <c r="F169" s="98">
        <f t="shared" si="25"/>
        <v>0.17277486910994763</v>
      </c>
    </row>
    <row r="170" spans="1:6" ht="18" customHeight="1" x14ac:dyDescent="0.25">
      <c r="A170" s="99">
        <v>3</v>
      </c>
      <c r="B170" s="100" t="s">
        <v>114</v>
      </c>
      <c r="C170" s="117">
        <v>2152</v>
      </c>
      <c r="D170" s="117">
        <v>3206</v>
      </c>
      <c r="E170" s="117">
        <f t="shared" si="24"/>
        <v>1054</v>
      </c>
      <c r="F170" s="98">
        <f t="shared" si="25"/>
        <v>0.48977695167286245</v>
      </c>
    </row>
    <row r="171" spans="1:6" ht="18" customHeight="1" x14ac:dyDescent="0.25">
      <c r="A171" s="99">
        <v>4</v>
      </c>
      <c r="B171" s="100" t="s">
        <v>115</v>
      </c>
      <c r="C171" s="117">
        <v>2561</v>
      </c>
      <c r="D171" s="117">
        <v>2650</v>
      </c>
      <c r="E171" s="117">
        <f t="shared" si="24"/>
        <v>89</v>
      </c>
      <c r="F171" s="98">
        <f t="shared" si="25"/>
        <v>3.4752049980476374E-2</v>
      </c>
    </row>
    <row r="172" spans="1:6" ht="18" customHeight="1" x14ac:dyDescent="0.25">
      <c r="A172" s="99">
        <v>5</v>
      </c>
      <c r="B172" s="100" t="s">
        <v>116</v>
      </c>
      <c r="C172" s="117">
        <v>147</v>
      </c>
      <c r="D172" s="117">
        <v>147</v>
      </c>
      <c r="E172" s="117">
        <f t="shared" si="24"/>
        <v>0</v>
      </c>
      <c r="F172" s="98">
        <f t="shared" si="25"/>
        <v>0</v>
      </c>
    </row>
    <row r="173" spans="1:6" ht="18" customHeight="1" x14ac:dyDescent="0.25">
      <c r="A173" s="99">
        <v>6</v>
      </c>
      <c r="B173" s="100" t="s">
        <v>117</v>
      </c>
      <c r="C173" s="117">
        <v>237</v>
      </c>
      <c r="D173" s="117">
        <v>217</v>
      </c>
      <c r="E173" s="117">
        <f t="shared" si="24"/>
        <v>-20</v>
      </c>
      <c r="F173" s="98">
        <f t="shared" si="25"/>
        <v>-8.4388185654008435E-2</v>
      </c>
    </row>
    <row r="174" spans="1:6" ht="18" customHeight="1" x14ac:dyDescent="0.25">
      <c r="A174" s="99">
        <v>7</v>
      </c>
      <c r="B174" s="100" t="s">
        <v>118</v>
      </c>
      <c r="C174" s="117">
        <v>11272</v>
      </c>
      <c r="D174" s="117">
        <v>10965</v>
      </c>
      <c r="E174" s="117">
        <f t="shared" si="24"/>
        <v>-307</v>
      </c>
      <c r="F174" s="98">
        <f t="shared" si="25"/>
        <v>-2.7235628105039034E-2</v>
      </c>
    </row>
    <row r="175" spans="1:6" ht="18" customHeight="1" x14ac:dyDescent="0.25">
      <c r="A175" s="99">
        <v>8</v>
      </c>
      <c r="B175" s="100" t="s">
        <v>119</v>
      </c>
      <c r="C175" s="117">
        <v>841</v>
      </c>
      <c r="D175" s="117">
        <v>774</v>
      </c>
      <c r="E175" s="117">
        <f t="shared" si="24"/>
        <v>-67</v>
      </c>
      <c r="F175" s="98">
        <f t="shared" si="25"/>
        <v>-7.9667063020214035E-2</v>
      </c>
    </row>
    <row r="176" spans="1:6" ht="18" customHeight="1" x14ac:dyDescent="0.25">
      <c r="A176" s="99">
        <v>9</v>
      </c>
      <c r="B176" s="100" t="s">
        <v>120</v>
      </c>
      <c r="C176" s="117">
        <v>1397</v>
      </c>
      <c r="D176" s="117">
        <v>1359</v>
      </c>
      <c r="E176" s="117">
        <f t="shared" si="24"/>
        <v>-38</v>
      </c>
      <c r="F176" s="98">
        <f t="shared" si="25"/>
        <v>-2.7201145311381531E-2</v>
      </c>
    </row>
    <row r="177" spans="1:6" ht="18" customHeight="1" x14ac:dyDescent="0.25">
      <c r="A177" s="99">
        <v>10</v>
      </c>
      <c r="B177" s="100" t="s">
        <v>121</v>
      </c>
      <c r="C177" s="117">
        <v>718</v>
      </c>
      <c r="D177" s="117">
        <v>0</v>
      </c>
      <c r="E177" s="117">
        <f t="shared" si="24"/>
        <v>-718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72</v>
      </c>
      <c r="D178" s="117">
        <v>82</v>
      </c>
      <c r="E178" s="117">
        <f t="shared" si="24"/>
        <v>10</v>
      </c>
      <c r="F178" s="98">
        <f t="shared" si="25"/>
        <v>0.1388888888888889</v>
      </c>
    </row>
    <row r="179" spans="1:6" ht="33.75" customHeight="1" x14ac:dyDescent="0.25">
      <c r="A179" s="101"/>
      <c r="B179" s="102" t="s">
        <v>151</v>
      </c>
      <c r="C179" s="118">
        <f>SUM(C168:C178)</f>
        <v>24798</v>
      </c>
      <c r="D179" s="118">
        <f>SUM(D168:D178)</f>
        <v>25371</v>
      </c>
      <c r="E179" s="118">
        <f t="shared" si="24"/>
        <v>573</v>
      </c>
      <c r="F179" s="104">
        <f t="shared" si="25"/>
        <v>2.3106702153399467E-2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4" fitToHeight="0" orientation="portrait" r:id="rId1"/>
  <headerFooter>
    <oddHeader>&amp;LOFFICE OF HEALTH CARE ACCESS&amp;CTWELVE MONTHS ACTUAL FILING&amp;RJOHN DEMPSEY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0.140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31768766</v>
      </c>
      <c r="D15" s="146">
        <v>33899265</v>
      </c>
      <c r="E15" s="146">
        <f>+D15-C15</f>
        <v>2130499</v>
      </c>
      <c r="F15" s="150">
        <f>IF(C15=0,0,E15/C15)</f>
        <v>6.7062692960752707E-2</v>
      </c>
    </row>
    <row r="16" spans="1:7" ht="15" customHeight="1" x14ac:dyDescent="0.2">
      <c r="A16" s="141">
        <v>2</v>
      </c>
      <c r="B16" s="149" t="s">
        <v>158</v>
      </c>
      <c r="C16" s="146">
        <v>2198863</v>
      </c>
      <c r="D16" s="146">
        <v>2350320</v>
      </c>
      <c r="E16" s="146">
        <f>+D16-C16</f>
        <v>151457</v>
      </c>
      <c r="F16" s="150">
        <f>IF(C16=0,0,E16/C16)</f>
        <v>6.8879689184819612E-2</v>
      </c>
    </row>
    <row r="17" spans="1:7" ht="15" customHeight="1" x14ac:dyDescent="0.2">
      <c r="A17" s="141">
        <v>3</v>
      </c>
      <c r="B17" s="149" t="s">
        <v>159</v>
      </c>
      <c r="C17" s="146">
        <v>54796522</v>
      </c>
      <c r="D17" s="146">
        <v>59381744</v>
      </c>
      <c r="E17" s="146">
        <f>+D17-C17</f>
        <v>4585222</v>
      </c>
      <c r="F17" s="150">
        <f>IF(C17=0,0,E17/C17)</f>
        <v>8.3677245063108197E-2</v>
      </c>
    </row>
    <row r="18" spans="1:7" ht="15.75" customHeight="1" x14ac:dyDescent="0.25">
      <c r="A18" s="141"/>
      <c r="B18" s="151" t="s">
        <v>160</v>
      </c>
      <c r="C18" s="147">
        <f>SUM(C15:C17)</f>
        <v>88764151</v>
      </c>
      <c r="D18" s="147">
        <f>SUM(D15:D17)</f>
        <v>95631329</v>
      </c>
      <c r="E18" s="147">
        <f>+D18-C18</f>
        <v>6867178</v>
      </c>
      <c r="F18" s="148">
        <f>IF(C18=0,0,E18/C18)</f>
        <v>7.7364317944076319E-2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13355703</v>
      </c>
      <c r="D21" s="146">
        <v>14671255</v>
      </c>
      <c r="E21" s="146">
        <f>+D21-C21</f>
        <v>1315552</v>
      </c>
      <c r="F21" s="150">
        <f>IF(C21=0,0,E21/C21)</f>
        <v>9.8501142171250736E-2</v>
      </c>
    </row>
    <row r="22" spans="1:7" ht="15" customHeight="1" x14ac:dyDescent="0.2">
      <c r="A22" s="141">
        <v>2</v>
      </c>
      <c r="B22" s="149" t="s">
        <v>163</v>
      </c>
      <c r="C22" s="146">
        <v>512981</v>
      </c>
      <c r="D22" s="146">
        <v>558790</v>
      </c>
      <c r="E22" s="146">
        <f>+D22-C22</f>
        <v>45809</v>
      </c>
      <c r="F22" s="150">
        <f>IF(C22=0,0,E22/C22)</f>
        <v>8.9299603689025522E-2</v>
      </c>
    </row>
    <row r="23" spans="1:7" ht="15" customHeight="1" x14ac:dyDescent="0.2">
      <c r="A23" s="141">
        <v>3</v>
      </c>
      <c r="B23" s="149" t="s">
        <v>164</v>
      </c>
      <c r="C23" s="146">
        <v>24957115</v>
      </c>
      <c r="D23" s="146">
        <v>26925351</v>
      </c>
      <c r="E23" s="146">
        <f>+D23-C23</f>
        <v>1968236</v>
      </c>
      <c r="F23" s="150">
        <f>IF(C23=0,0,E23/C23)</f>
        <v>7.8864724548490486E-2</v>
      </c>
    </row>
    <row r="24" spans="1:7" ht="15.75" customHeight="1" x14ac:dyDescent="0.25">
      <c r="A24" s="141"/>
      <c r="B24" s="151" t="s">
        <v>165</v>
      </c>
      <c r="C24" s="147">
        <f>SUM(C21:C23)</f>
        <v>38825799</v>
      </c>
      <c r="D24" s="147">
        <f>SUM(D21:D23)</f>
        <v>42155396</v>
      </c>
      <c r="E24" s="147">
        <f>+D24-C24</f>
        <v>3329597</v>
      </c>
      <c r="F24" s="148">
        <f>IF(C24=0,0,E24/C24)</f>
        <v>8.575733367393161E-2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5134610</v>
      </c>
      <c r="D27" s="146">
        <v>5131030</v>
      </c>
      <c r="E27" s="146">
        <f>+D27-C27</f>
        <v>-3580</v>
      </c>
      <c r="F27" s="150">
        <f>IF(C27=0,0,E27/C27)</f>
        <v>-6.972291955961602E-4</v>
      </c>
    </row>
    <row r="28" spans="1:7" ht="15" customHeight="1" x14ac:dyDescent="0.2">
      <c r="A28" s="141">
        <v>2</v>
      </c>
      <c r="B28" s="149" t="s">
        <v>168</v>
      </c>
      <c r="C28" s="146">
        <v>15292507</v>
      </c>
      <c r="D28" s="146">
        <v>16188925</v>
      </c>
      <c r="E28" s="146">
        <f>+D28-C28</f>
        <v>896418</v>
      </c>
      <c r="F28" s="150">
        <f>IF(C28=0,0,E28/C28)</f>
        <v>5.8618119318173276E-2</v>
      </c>
    </row>
    <row r="29" spans="1:7" ht="15" customHeight="1" x14ac:dyDescent="0.2">
      <c r="A29" s="141">
        <v>3</v>
      </c>
      <c r="B29" s="149" t="s">
        <v>169</v>
      </c>
      <c r="C29" s="146">
        <v>16645836</v>
      </c>
      <c r="D29" s="146">
        <v>17136316</v>
      </c>
      <c r="E29" s="146">
        <f>+D29-C29</f>
        <v>490480</v>
      </c>
      <c r="F29" s="150">
        <f>IF(C29=0,0,E29/C29)</f>
        <v>2.946562731964919E-2</v>
      </c>
    </row>
    <row r="30" spans="1:7" ht="15.75" customHeight="1" x14ac:dyDescent="0.25">
      <c r="A30" s="141"/>
      <c r="B30" s="151" t="s">
        <v>170</v>
      </c>
      <c r="C30" s="147">
        <f>SUM(C27:C29)</f>
        <v>37072953</v>
      </c>
      <c r="D30" s="147">
        <f>SUM(D27:D29)</f>
        <v>38456271</v>
      </c>
      <c r="E30" s="147">
        <f>+D30-C30</f>
        <v>1383318</v>
      </c>
      <c r="F30" s="148">
        <f>IF(C30=0,0,E30/C30)</f>
        <v>3.7313402037328941E-2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35255158</v>
      </c>
      <c r="D33" s="146">
        <v>37092877</v>
      </c>
      <c r="E33" s="146">
        <f>+D33-C33</f>
        <v>1837719</v>
      </c>
      <c r="F33" s="150">
        <f>IF(C33=0,0,E33/C33)</f>
        <v>5.2126244902944416E-2</v>
      </c>
    </row>
    <row r="34" spans="1:7" ht="15" customHeight="1" x14ac:dyDescent="0.2">
      <c r="A34" s="141">
        <v>2</v>
      </c>
      <c r="B34" s="149" t="s">
        <v>174</v>
      </c>
      <c r="C34" s="146">
        <v>15390052</v>
      </c>
      <c r="D34" s="146">
        <v>14569523</v>
      </c>
      <c r="E34" s="146">
        <f>+D34-C34</f>
        <v>-820529</v>
      </c>
      <c r="F34" s="150">
        <f>IF(C34=0,0,E34/C34)</f>
        <v>-5.3315544352936561E-2</v>
      </c>
    </row>
    <row r="35" spans="1:7" ht="15.75" customHeight="1" x14ac:dyDescent="0.25">
      <c r="A35" s="141"/>
      <c r="B35" s="151" t="s">
        <v>175</v>
      </c>
      <c r="C35" s="147">
        <f>SUM(C33:C34)</f>
        <v>50645210</v>
      </c>
      <c r="D35" s="147">
        <f>SUM(D33:D34)</f>
        <v>51662400</v>
      </c>
      <c r="E35" s="147">
        <f>+D35-C35</f>
        <v>1017190</v>
      </c>
      <c r="F35" s="148">
        <f>IF(C35=0,0,E35/C35)</f>
        <v>2.0084623995043165E-2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2839758</v>
      </c>
      <c r="D38" s="146">
        <v>2816077</v>
      </c>
      <c r="E38" s="146">
        <f>+D38-C38</f>
        <v>-23681</v>
      </c>
      <c r="F38" s="150">
        <f>IF(C38=0,0,E38/C38)</f>
        <v>-8.339090866193527E-3</v>
      </c>
    </row>
    <row r="39" spans="1:7" ht="15" customHeight="1" x14ac:dyDescent="0.2">
      <c r="A39" s="141">
        <v>2</v>
      </c>
      <c r="B39" s="149" t="s">
        <v>179</v>
      </c>
      <c r="C39" s="146">
        <v>7731273</v>
      </c>
      <c r="D39" s="146">
        <v>6482836</v>
      </c>
      <c r="E39" s="146">
        <f>+D39-C39</f>
        <v>-1248437</v>
      </c>
      <c r="F39" s="150">
        <f>IF(C39=0,0,E39/C39)</f>
        <v>-0.16147884054799255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10571031</v>
      </c>
      <c r="D41" s="147">
        <f>SUM(D38:D40)</f>
        <v>9298913</v>
      </c>
      <c r="E41" s="147">
        <f>+D41-C41</f>
        <v>-1272118</v>
      </c>
      <c r="F41" s="148">
        <f>IF(C41=0,0,E41/C41)</f>
        <v>-0.12034001224667679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7834037</v>
      </c>
      <c r="D44" s="146">
        <v>3784188</v>
      </c>
      <c r="E44" s="146">
        <f>+D44-C44</f>
        <v>-4049849</v>
      </c>
      <c r="F44" s="150">
        <f>IF(C44=0,0,E44/C44)</f>
        <v>-0.51695556199185677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275340</v>
      </c>
      <c r="D47" s="146">
        <v>149794</v>
      </c>
      <c r="E47" s="146">
        <f>+D47-C47</f>
        <v>-125546</v>
      </c>
      <c r="F47" s="150">
        <f>IF(C47=0,0,E47/C47)</f>
        <v>-0.45596716786518487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3064000</v>
      </c>
      <c r="D50" s="146">
        <v>4145224</v>
      </c>
      <c r="E50" s="146">
        <f>+D50-C50</f>
        <v>1081224</v>
      </c>
      <c r="F50" s="150">
        <f>IF(C50=0,0,E50/C50)</f>
        <v>0.35287989556135768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68610</v>
      </c>
      <c r="D53" s="146">
        <v>75208</v>
      </c>
      <c r="E53" s="146">
        <f t="shared" ref="E53:E59" si="0">+D53-C53</f>
        <v>6598</v>
      </c>
      <c r="F53" s="150">
        <f t="shared" ref="F53:F59" si="1">IF(C53=0,0,E53/C53)</f>
        <v>9.6166739542340771E-2</v>
      </c>
    </row>
    <row r="54" spans="1:7" ht="15" customHeight="1" x14ac:dyDescent="0.2">
      <c r="A54" s="141">
        <v>2</v>
      </c>
      <c r="B54" s="149" t="s">
        <v>193</v>
      </c>
      <c r="C54" s="146">
        <v>483857</v>
      </c>
      <c r="D54" s="146">
        <v>492246</v>
      </c>
      <c r="E54" s="146">
        <f t="shared" si="0"/>
        <v>8389</v>
      </c>
      <c r="F54" s="150">
        <f t="shared" si="1"/>
        <v>1.7337767150211736E-2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18811</v>
      </c>
      <c r="E55" s="146">
        <f t="shared" si="0"/>
        <v>18811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2027750</v>
      </c>
      <c r="D56" s="146">
        <v>2122424</v>
      </c>
      <c r="E56" s="146">
        <f t="shared" si="0"/>
        <v>94674</v>
      </c>
      <c r="F56" s="150">
        <f t="shared" si="1"/>
        <v>4.6689187523116758E-2</v>
      </c>
    </row>
    <row r="57" spans="1:7" ht="15" customHeight="1" x14ac:dyDescent="0.2">
      <c r="A57" s="141">
        <v>5</v>
      </c>
      <c r="B57" s="149" t="s">
        <v>196</v>
      </c>
      <c r="C57" s="146">
        <v>688930</v>
      </c>
      <c r="D57" s="146">
        <v>704479</v>
      </c>
      <c r="E57" s="146">
        <f t="shared" si="0"/>
        <v>15549</v>
      </c>
      <c r="F57" s="150">
        <f t="shared" si="1"/>
        <v>2.256978212590539E-2</v>
      </c>
    </row>
    <row r="58" spans="1:7" ht="15" customHeight="1" x14ac:dyDescent="0.2">
      <c r="A58" s="141">
        <v>6</v>
      </c>
      <c r="B58" s="149" t="s">
        <v>197</v>
      </c>
      <c r="C58" s="146">
        <v>87916</v>
      </c>
      <c r="D58" s="146">
        <v>71341</v>
      </c>
      <c r="E58" s="146">
        <f t="shared" si="0"/>
        <v>-16575</v>
      </c>
      <c r="F58" s="150">
        <f t="shared" si="1"/>
        <v>-0.18853223531552846</v>
      </c>
    </row>
    <row r="59" spans="1:7" ht="15.75" customHeight="1" x14ac:dyDescent="0.25">
      <c r="A59" s="141"/>
      <c r="B59" s="151" t="s">
        <v>198</v>
      </c>
      <c r="C59" s="147">
        <f>SUM(C53:C58)</f>
        <v>3357063</v>
      </c>
      <c r="D59" s="147">
        <f>SUM(D53:D58)</f>
        <v>3484509</v>
      </c>
      <c r="E59" s="147">
        <f t="shared" si="0"/>
        <v>127446</v>
      </c>
      <c r="F59" s="148">
        <f t="shared" si="1"/>
        <v>3.7963541345515411E-2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119343</v>
      </c>
      <c r="D62" s="146">
        <v>202094</v>
      </c>
      <c r="E62" s="146">
        <f t="shared" ref="E62:E78" si="2">+D62-C62</f>
        <v>82751</v>
      </c>
      <c r="F62" s="150">
        <f t="shared" ref="F62:F78" si="3">IF(C62=0,0,E62/C62)</f>
        <v>0.69338796577930839</v>
      </c>
    </row>
    <row r="63" spans="1:7" ht="15" customHeight="1" x14ac:dyDescent="0.2">
      <c r="A63" s="141">
        <v>2</v>
      </c>
      <c r="B63" s="149" t="s">
        <v>202</v>
      </c>
      <c r="C63" s="146">
        <v>1141522</v>
      </c>
      <c r="D63" s="146">
        <v>930736</v>
      </c>
      <c r="E63" s="146">
        <f t="shared" si="2"/>
        <v>-210786</v>
      </c>
      <c r="F63" s="150">
        <f t="shared" si="3"/>
        <v>-0.18465347141798405</v>
      </c>
    </row>
    <row r="64" spans="1:7" ht="15" customHeight="1" x14ac:dyDescent="0.2">
      <c r="A64" s="141">
        <v>3</v>
      </c>
      <c r="B64" s="149" t="s">
        <v>203</v>
      </c>
      <c r="C64" s="146">
        <v>0</v>
      </c>
      <c r="D64" s="146">
        <v>0</v>
      </c>
      <c r="E64" s="146">
        <f t="shared" si="2"/>
        <v>0</v>
      </c>
      <c r="F64" s="150">
        <f t="shared" si="3"/>
        <v>0</v>
      </c>
    </row>
    <row r="65" spans="1:7" ht="15" customHeight="1" x14ac:dyDescent="0.2">
      <c r="A65" s="141">
        <v>4</v>
      </c>
      <c r="B65" s="149" t="s">
        <v>204</v>
      </c>
      <c r="C65" s="146">
        <v>343345</v>
      </c>
      <c r="D65" s="146">
        <v>363297</v>
      </c>
      <c r="E65" s="146">
        <f t="shared" si="2"/>
        <v>19952</v>
      </c>
      <c r="F65" s="150">
        <f t="shared" si="3"/>
        <v>5.8110646725596703E-2</v>
      </c>
    </row>
    <row r="66" spans="1:7" ht="15" customHeight="1" x14ac:dyDescent="0.2">
      <c r="A66" s="141">
        <v>5</v>
      </c>
      <c r="B66" s="149" t="s">
        <v>205</v>
      </c>
      <c r="C66" s="146">
        <v>1121391</v>
      </c>
      <c r="D66" s="146">
        <v>1590916</v>
      </c>
      <c r="E66" s="146">
        <f t="shared" si="2"/>
        <v>469525</v>
      </c>
      <c r="F66" s="150">
        <f t="shared" si="3"/>
        <v>0.41869874111705907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6153472</v>
      </c>
      <c r="D68" s="146">
        <v>6276939</v>
      </c>
      <c r="E68" s="146">
        <f t="shared" si="2"/>
        <v>123467</v>
      </c>
      <c r="F68" s="150">
        <f t="shared" si="3"/>
        <v>2.0064607428131629E-2</v>
      </c>
    </row>
    <row r="69" spans="1:7" ht="15" customHeight="1" x14ac:dyDescent="0.2">
      <c r="A69" s="141">
        <v>8</v>
      </c>
      <c r="B69" s="149" t="s">
        <v>208</v>
      </c>
      <c r="C69" s="146">
        <v>293717</v>
      </c>
      <c r="D69" s="146">
        <v>313122</v>
      </c>
      <c r="E69" s="146">
        <f t="shared" si="2"/>
        <v>19405</v>
      </c>
      <c r="F69" s="150">
        <f t="shared" si="3"/>
        <v>6.6066996462581323E-2</v>
      </c>
    </row>
    <row r="70" spans="1:7" ht="15" customHeight="1" x14ac:dyDescent="0.2">
      <c r="A70" s="141">
        <v>9</v>
      </c>
      <c r="B70" s="149" t="s">
        <v>209</v>
      </c>
      <c r="C70" s="146">
        <v>91630</v>
      </c>
      <c r="D70" s="146">
        <v>101301</v>
      </c>
      <c r="E70" s="146">
        <f t="shared" si="2"/>
        <v>9671</v>
      </c>
      <c r="F70" s="150">
        <f t="shared" si="3"/>
        <v>0.10554403579613664</v>
      </c>
    </row>
    <row r="71" spans="1:7" ht="15" customHeight="1" x14ac:dyDescent="0.2">
      <c r="A71" s="141">
        <v>10</v>
      </c>
      <c r="B71" s="149" t="s">
        <v>210</v>
      </c>
      <c r="C71" s="146">
        <v>15900</v>
      </c>
      <c r="D71" s="146">
        <v>11091</v>
      </c>
      <c r="E71" s="146">
        <f t="shared" si="2"/>
        <v>-4809</v>
      </c>
      <c r="F71" s="150">
        <f t="shared" si="3"/>
        <v>-0.30245283018867924</v>
      </c>
    </row>
    <row r="72" spans="1:7" ht="15" customHeight="1" x14ac:dyDescent="0.2">
      <c r="A72" s="141">
        <v>11</v>
      </c>
      <c r="B72" s="149" t="s">
        <v>211</v>
      </c>
      <c r="C72" s="146">
        <v>16060</v>
      </c>
      <c r="D72" s="146">
        <v>0</v>
      </c>
      <c r="E72" s="146">
        <f t="shared" si="2"/>
        <v>-16060</v>
      </c>
      <c r="F72" s="150">
        <f t="shared" si="3"/>
        <v>-1</v>
      </c>
    </row>
    <row r="73" spans="1:7" ht="15" customHeight="1" x14ac:dyDescent="0.2">
      <c r="A73" s="141">
        <v>12</v>
      </c>
      <c r="B73" s="149" t="s">
        <v>212</v>
      </c>
      <c r="C73" s="146">
        <v>2298165</v>
      </c>
      <c r="D73" s="146">
        <v>2254393</v>
      </c>
      <c r="E73" s="146">
        <f t="shared" si="2"/>
        <v>-43772</v>
      </c>
      <c r="F73" s="150">
        <f t="shared" si="3"/>
        <v>-1.9046500142504998E-2</v>
      </c>
    </row>
    <row r="74" spans="1:7" ht="15" customHeight="1" x14ac:dyDescent="0.2">
      <c r="A74" s="141">
        <v>13</v>
      </c>
      <c r="B74" s="149" t="s">
        <v>213</v>
      </c>
      <c r="C74" s="146">
        <v>168687</v>
      </c>
      <c r="D74" s="146">
        <v>155704</v>
      </c>
      <c r="E74" s="146">
        <f t="shared" si="2"/>
        <v>-12983</v>
      </c>
      <c r="F74" s="150">
        <f t="shared" si="3"/>
        <v>-7.6965029907461749E-2</v>
      </c>
    </row>
    <row r="75" spans="1:7" ht="15" customHeight="1" x14ac:dyDescent="0.2">
      <c r="A75" s="141">
        <v>14</v>
      </c>
      <c r="B75" s="149" t="s">
        <v>214</v>
      </c>
      <c r="C75" s="146">
        <v>256645</v>
      </c>
      <c r="D75" s="146">
        <v>245036</v>
      </c>
      <c r="E75" s="146">
        <f t="shared" si="2"/>
        <v>-11609</v>
      </c>
      <c r="F75" s="150">
        <f t="shared" si="3"/>
        <v>-4.5233688558125033E-2</v>
      </c>
    </row>
    <row r="76" spans="1:7" ht="15" customHeight="1" x14ac:dyDescent="0.2">
      <c r="A76" s="141">
        <v>15</v>
      </c>
      <c r="B76" s="149" t="s">
        <v>215</v>
      </c>
      <c r="C76" s="146">
        <v>1766831</v>
      </c>
      <c r="D76" s="146">
        <v>1555890</v>
      </c>
      <c r="E76" s="146">
        <f t="shared" si="2"/>
        <v>-210941</v>
      </c>
      <c r="F76" s="150">
        <f t="shared" si="3"/>
        <v>-0.11938946056527194</v>
      </c>
    </row>
    <row r="77" spans="1:7" ht="15" customHeight="1" x14ac:dyDescent="0.2">
      <c r="A77" s="141">
        <v>16</v>
      </c>
      <c r="B77" s="149" t="s">
        <v>216</v>
      </c>
      <c r="C77" s="146">
        <v>21936101</v>
      </c>
      <c r="D77" s="146">
        <v>20892519</v>
      </c>
      <c r="E77" s="146">
        <f t="shared" si="2"/>
        <v>-1043582</v>
      </c>
      <c r="F77" s="150">
        <f t="shared" si="3"/>
        <v>-4.7573723333968969E-2</v>
      </c>
    </row>
    <row r="78" spans="1:7" ht="15.75" customHeight="1" x14ac:dyDescent="0.25">
      <c r="A78" s="141"/>
      <c r="B78" s="151" t="s">
        <v>217</v>
      </c>
      <c r="C78" s="147">
        <f>SUM(C62:C77)</f>
        <v>35722809</v>
      </c>
      <c r="D78" s="147">
        <f>SUM(D62:D77)</f>
        <v>34893038</v>
      </c>
      <c r="E78" s="147">
        <f t="shared" si="2"/>
        <v>-829771</v>
      </c>
      <c r="F78" s="148">
        <f t="shared" si="3"/>
        <v>-2.3228044580704727E-2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3504128</v>
      </c>
      <c r="D81" s="146">
        <v>3191811</v>
      </c>
      <c r="E81" s="146">
        <f>+D81-C81</f>
        <v>-312317</v>
      </c>
      <c r="F81" s="150">
        <f>IF(C81=0,0,E81/C81)</f>
        <v>-8.9128308098334302E-2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279636521</v>
      </c>
      <c r="D83" s="147">
        <f>+D81+D78+D59+D50+D47+D44+D41+D35+D30+D24+D18</f>
        <v>286852873</v>
      </c>
      <c r="E83" s="147">
        <f>+D83-C83</f>
        <v>7216352</v>
      </c>
      <c r="F83" s="148">
        <f>IF(C83=0,0,E83/C83)</f>
        <v>2.5806185737806402E-2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981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10784551</v>
      </c>
      <c r="D91" s="146">
        <v>10998621</v>
      </c>
      <c r="E91" s="146">
        <f t="shared" ref="E91:E109" si="4">D91-C91</f>
        <v>214070</v>
      </c>
      <c r="F91" s="150">
        <f t="shared" ref="F91:F109" si="5">IF(C91=0,0,E91/C91)</f>
        <v>1.9849690543444969E-2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84715</v>
      </c>
      <c r="D92" s="146">
        <v>187050</v>
      </c>
      <c r="E92" s="146">
        <f t="shared" si="4"/>
        <v>102335</v>
      </c>
      <c r="F92" s="150">
        <f t="shared" si="5"/>
        <v>1.2079915009148321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11703190</v>
      </c>
      <c r="D93" s="146">
        <v>8220722</v>
      </c>
      <c r="E93" s="146">
        <f t="shared" si="4"/>
        <v>-3482468</v>
      </c>
      <c r="F93" s="150">
        <f t="shared" si="5"/>
        <v>-0.29756570644414043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1742685</v>
      </c>
      <c r="D94" s="146">
        <v>2091786</v>
      </c>
      <c r="E94" s="146">
        <f t="shared" si="4"/>
        <v>349101</v>
      </c>
      <c r="F94" s="150">
        <f t="shared" si="5"/>
        <v>0.20032363852331317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1542540</v>
      </c>
      <c r="D95" s="146">
        <v>1542744</v>
      </c>
      <c r="E95" s="146">
        <f t="shared" si="4"/>
        <v>204</v>
      </c>
      <c r="F95" s="150">
        <f t="shared" si="5"/>
        <v>1.3224940682251353E-4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374623</v>
      </c>
      <c r="D96" s="146">
        <v>371116</v>
      </c>
      <c r="E96" s="146">
        <f t="shared" si="4"/>
        <v>-3507</v>
      </c>
      <c r="F96" s="150">
        <f t="shared" si="5"/>
        <v>-9.3614113388660065E-3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100147</v>
      </c>
      <c r="D97" s="146">
        <v>168983</v>
      </c>
      <c r="E97" s="146">
        <f t="shared" si="4"/>
        <v>68836</v>
      </c>
      <c r="F97" s="150">
        <f t="shared" si="5"/>
        <v>0.68734959609374224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302079</v>
      </c>
      <c r="D98" s="146">
        <v>345115</v>
      </c>
      <c r="E98" s="146">
        <f t="shared" si="4"/>
        <v>43036</v>
      </c>
      <c r="F98" s="150">
        <f t="shared" si="5"/>
        <v>0.14246604365083307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2916583</v>
      </c>
      <c r="D100" s="146">
        <v>3222310</v>
      </c>
      <c r="E100" s="146">
        <f t="shared" si="4"/>
        <v>305727</v>
      </c>
      <c r="F100" s="150">
        <f t="shared" si="5"/>
        <v>0.10482369265678364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3267602</v>
      </c>
      <c r="D101" s="146">
        <v>3835641</v>
      </c>
      <c r="E101" s="146">
        <f t="shared" si="4"/>
        <v>568039</v>
      </c>
      <c r="F101" s="150">
        <f t="shared" si="5"/>
        <v>0.17383971487347602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766050</v>
      </c>
      <c r="D102" s="146">
        <v>883139</v>
      </c>
      <c r="E102" s="146">
        <f t="shared" si="4"/>
        <v>117089</v>
      </c>
      <c r="F102" s="150">
        <f t="shared" si="5"/>
        <v>0.15284772534429866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5317639</v>
      </c>
      <c r="D103" s="146">
        <v>4815728</v>
      </c>
      <c r="E103" s="146">
        <f t="shared" si="4"/>
        <v>-501911</v>
      </c>
      <c r="F103" s="150">
        <f t="shared" si="5"/>
        <v>-9.4386061182415729E-2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3524403</v>
      </c>
      <c r="D105" s="146">
        <v>3943869</v>
      </c>
      <c r="E105" s="146">
        <f t="shared" si="4"/>
        <v>419466</v>
      </c>
      <c r="F105" s="150">
        <f t="shared" si="5"/>
        <v>0.11901760383247886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1558334</v>
      </c>
      <c r="D106" s="146">
        <v>1510709</v>
      </c>
      <c r="E106" s="146">
        <f t="shared" si="4"/>
        <v>-47625</v>
      </c>
      <c r="F106" s="150">
        <f t="shared" si="5"/>
        <v>-3.0561484251771444E-2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19553175</v>
      </c>
      <c r="D107" s="146">
        <v>19344052</v>
      </c>
      <c r="E107" s="146">
        <f t="shared" si="4"/>
        <v>-209123</v>
      </c>
      <c r="F107" s="150">
        <f t="shared" si="5"/>
        <v>-1.0695091717841221E-2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18850167</v>
      </c>
      <c r="D108" s="146">
        <v>16415961</v>
      </c>
      <c r="E108" s="146">
        <f t="shared" si="4"/>
        <v>-2434206</v>
      </c>
      <c r="F108" s="150">
        <f t="shared" si="5"/>
        <v>-0.12913445276108165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82388483</v>
      </c>
      <c r="D109" s="147">
        <f>SUM(D91:D108)</f>
        <v>77897546</v>
      </c>
      <c r="E109" s="147">
        <f t="shared" si="4"/>
        <v>-4490937</v>
      </c>
      <c r="F109" s="148">
        <f t="shared" si="5"/>
        <v>-5.450928135186079E-2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551694</v>
      </c>
      <c r="D112" s="146">
        <v>456033</v>
      </c>
      <c r="E112" s="146">
        <f t="shared" ref="E112:E118" si="6">D112-C112</f>
        <v>-95661</v>
      </c>
      <c r="F112" s="150">
        <f t="shared" ref="F112:F118" si="7">IF(C112=0,0,E112/C112)</f>
        <v>-0.17339503420374339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15314478</v>
      </c>
      <c r="D113" s="146">
        <v>16210939</v>
      </c>
      <c r="E113" s="146">
        <f t="shared" si="6"/>
        <v>896461</v>
      </c>
      <c r="F113" s="150">
        <f t="shared" si="7"/>
        <v>5.8536830311813434E-2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2733876</v>
      </c>
      <c r="D114" s="146">
        <v>3756067</v>
      </c>
      <c r="E114" s="146">
        <f t="shared" si="6"/>
        <v>1022191</v>
      </c>
      <c r="F114" s="150">
        <f t="shared" si="7"/>
        <v>0.37389808462417462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5355909</v>
      </c>
      <c r="D115" s="146">
        <v>5803380</v>
      </c>
      <c r="E115" s="146">
        <f t="shared" si="6"/>
        <v>447471</v>
      </c>
      <c r="F115" s="150">
        <f t="shared" si="7"/>
        <v>8.3547162582485998E-2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855059</v>
      </c>
      <c r="D116" s="146">
        <v>956116</v>
      </c>
      <c r="E116" s="146">
        <f t="shared" si="6"/>
        <v>101057</v>
      </c>
      <c r="F116" s="150">
        <f t="shared" si="7"/>
        <v>0.11818716603181768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3553179</v>
      </c>
      <c r="D117" s="146">
        <v>3107031</v>
      </c>
      <c r="E117" s="146">
        <f t="shared" si="6"/>
        <v>-446148</v>
      </c>
      <c r="F117" s="150">
        <f t="shared" si="7"/>
        <v>-0.12556305212881197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28364195</v>
      </c>
      <c r="D118" s="147">
        <f>SUM(D112:D117)</f>
        <v>30289566</v>
      </c>
      <c r="E118" s="147">
        <f t="shared" si="6"/>
        <v>1925371</v>
      </c>
      <c r="F118" s="148">
        <f t="shared" si="7"/>
        <v>6.7880332933827309E-2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24152447</v>
      </c>
      <c r="D121" s="146">
        <v>24256471</v>
      </c>
      <c r="E121" s="146">
        <f t="shared" ref="E121:E155" si="8">D121-C121</f>
        <v>104024</v>
      </c>
      <c r="F121" s="150">
        <f t="shared" ref="F121:F155" si="9">IF(C121=0,0,E121/C121)</f>
        <v>4.3069756037555943E-3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2942170</v>
      </c>
      <c r="D122" s="146">
        <v>3549725</v>
      </c>
      <c r="E122" s="146">
        <f t="shared" si="8"/>
        <v>607555</v>
      </c>
      <c r="F122" s="150">
        <f t="shared" si="9"/>
        <v>0.20649894465649504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2738171</v>
      </c>
      <c r="D123" s="146">
        <v>3035264</v>
      </c>
      <c r="E123" s="146">
        <f t="shared" si="8"/>
        <v>297093</v>
      </c>
      <c r="F123" s="150">
        <f t="shared" si="9"/>
        <v>0.10850052827233946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3129434</v>
      </c>
      <c r="D124" s="146">
        <v>3183547</v>
      </c>
      <c r="E124" s="146">
        <f t="shared" si="8"/>
        <v>54113</v>
      </c>
      <c r="F124" s="150">
        <f t="shared" si="9"/>
        <v>1.7291625258752861E-2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7338908</v>
      </c>
      <c r="D125" s="146">
        <v>7683102</v>
      </c>
      <c r="E125" s="146">
        <f t="shared" si="8"/>
        <v>344194</v>
      </c>
      <c r="F125" s="150">
        <f t="shared" si="9"/>
        <v>4.6899893008605642E-2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632144</v>
      </c>
      <c r="D126" s="146">
        <v>683226</v>
      </c>
      <c r="E126" s="146">
        <f t="shared" si="8"/>
        <v>51082</v>
      </c>
      <c r="F126" s="150">
        <f t="shared" si="9"/>
        <v>8.080753752309601E-2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1594879</v>
      </c>
      <c r="D127" s="146">
        <v>1674230</v>
      </c>
      <c r="E127" s="146">
        <f t="shared" si="8"/>
        <v>79351</v>
      </c>
      <c r="F127" s="150">
        <f t="shared" si="9"/>
        <v>4.9753617672563248E-2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1269154</v>
      </c>
      <c r="D128" s="146">
        <v>1250627</v>
      </c>
      <c r="E128" s="146">
        <f t="shared" si="8"/>
        <v>-18527</v>
      </c>
      <c r="F128" s="150">
        <f t="shared" si="9"/>
        <v>-1.4597913255601763E-2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864246</v>
      </c>
      <c r="D129" s="146">
        <v>814384</v>
      </c>
      <c r="E129" s="146">
        <f t="shared" si="8"/>
        <v>-49862</v>
      </c>
      <c r="F129" s="150">
        <f t="shared" si="9"/>
        <v>-5.7694221321244181E-2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13410606</v>
      </c>
      <c r="D130" s="146">
        <v>14142886</v>
      </c>
      <c r="E130" s="146">
        <f t="shared" si="8"/>
        <v>732280</v>
      </c>
      <c r="F130" s="150">
        <f t="shared" si="9"/>
        <v>5.4604542106449182E-2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2884634</v>
      </c>
      <c r="D131" s="146">
        <v>2824871</v>
      </c>
      <c r="E131" s="146">
        <f t="shared" si="8"/>
        <v>-59763</v>
      </c>
      <c r="F131" s="150">
        <f t="shared" si="9"/>
        <v>-2.0717706301735334E-2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2850825</v>
      </c>
      <c r="D133" s="146">
        <v>2986037</v>
      </c>
      <c r="E133" s="146">
        <f t="shared" si="8"/>
        <v>135212</v>
      </c>
      <c r="F133" s="150">
        <f t="shared" si="9"/>
        <v>4.7429077547727412E-2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289310</v>
      </c>
      <c r="D134" s="146">
        <v>257408</v>
      </c>
      <c r="E134" s="146">
        <f t="shared" si="8"/>
        <v>-31902</v>
      </c>
      <c r="F134" s="150">
        <f t="shared" si="9"/>
        <v>-0.11026926134596109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184744</v>
      </c>
      <c r="D135" s="146">
        <v>202480</v>
      </c>
      <c r="E135" s="146">
        <f t="shared" si="8"/>
        <v>17736</v>
      </c>
      <c r="F135" s="150">
        <f t="shared" si="9"/>
        <v>9.6003117827913223E-2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3197637</v>
      </c>
      <c r="D138" s="146">
        <v>3296311</v>
      </c>
      <c r="E138" s="146">
        <f t="shared" si="8"/>
        <v>98674</v>
      </c>
      <c r="F138" s="150">
        <f t="shared" si="9"/>
        <v>3.0858412008617615E-2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537684</v>
      </c>
      <c r="D139" s="146">
        <v>571191</v>
      </c>
      <c r="E139" s="146">
        <f t="shared" si="8"/>
        <v>33507</v>
      </c>
      <c r="F139" s="150">
        <f t="shared" si="9"/>
        <v>6.2317271854844113E-2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204324</v>
      </c>
      <c r="D141" s="146">
        <v>217297</v>
      </c>
      <c r="E141" s="146">
        <f t="shared" si="8"/>
        <v>12973</v>
      </c>
      <c r="F141" s="150">
        <f t="shared" si="9"/>
        <v>6.3492296548618862E-2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448301</v>
      </c>
      <c r="D143" s="146">
        <v>533969</v>
      </c>
      <c r="E143" s="146">
        <f t="shared" si="8"/>
        <v>85668</v>
      </c>
      <c r="F143" s="150">
        <f t="shared" si="9"/>
        <v>0.19109482245187942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9690594</v>
      </c>
      <c r="D144" s="146">
        <v>10264968</v>
      </c>
      <c r="E144" s="146">
        <f t="shared" si="8"/>
        <v>574374</v>
      </c>
      <c r="F144" s="150">
        <f t="shared" si="9"/>
        <v>5.9271289252237791E-2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595695</v>
      </c>
      <c r="D145" s="146">
        <v>709187</v>
      </c>
      <c r="E145" s="146">
        <f t="shared" si="8"/>
        <v>113492</v>
      </c>
      <c r="F145" s="150">
        <f t="shared" si="9"/>
        <v>0.19052031660497401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450200</v>
      </c>
      <c r="D146" s="146">
        <v>412900</v>
      </c>
      <c r="E146" s="146">
        <f t="shared" si="8"/>
        <v>-37300</v>
      </c>
      <c r="F146" s="150">
        <f t="shared" si="9"/>
        <v>-8.2852065748556192E-2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738605</v>
      </c>
      <c r="D149" s="146">
        <v>790590</v>
      </c>
      <c r="E149" s="146">
        <f t="shared" si="8"/>
        <v>51985</v>
      </c>
      <c r="F149" s="150">
        <f t="shared" si="9"/>
        <v>7.0382680864602865E-2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6314327</v>
      </c>
      <c r="D151" s="146">
        <v>6594227</v>
      </c>
      <c r="E151" s="146">
        <f t="shared" si="8"/>
        <v>279900</v>
      </c>
      <c r="F151" s="150">
        <f t="shared" si="9"/>
        <v>4.4327764463259506E-2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9206913</v>
      </c>
      <c r="D153" s="146">
        <v>9405959</v>
      </c>
      <c r="E153" s="146">
        <f t="shared" si="8"/>
        <v>199046</v>
      </c>
      <c r="F153" s="150">
        <f t="shared" si="9"/>
        <v>2.1619189841372455E-2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1698093</v>
      </c>
      <c r="D154" s="146">
        <v>1712769</v>
      </c>
      <c r="E154" s="146">
        <f t="shared" si="8"/>
        <v>14676</v>
      </c>
      <c r="F154" s="150">
        <f t="shared" si="9"/>
        <v>8.6426361807038846E-3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97364045</v>
      </c>
      <c r="D155" s="147">
        <f>SUM(D121:D154)</f>
        <v>101053626</v>
      </c>
      <c r="E155" s="147">
        <f t="shared" si="8"/>
        <v>3689581</v>
      </c>
      <c r="F155" s="148">
        <f t="shared" si="9"/>
        <v>3.7894697164646357E-2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26303526</v>
      </c>
      <c r="D158" s="146">
        <v>29310148</v>
      </c>
      <c r="E158" s="146">
        <f t="shared" ref="E158:E171" si="10">D158-C158</f>
        <v>3006622</v>
      </c>
      <c r="F158" s="150">
        <f t="shared" ref="F158:F171" si="11">IF(C158=0,0,E158/C158)</f>
        <v>0.11430490345666965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6923939</v>
      </c>
      <c r="D159" s="146">
        <v>7605449</v>
      </c>
      <c r="E159" s="146">
        <f t="shared" si="10"/>
        <v>681510</v>
      </c>
      <c r="F159" s="150">
        <f t="shared" si="11"/>
        <v>9.8428076850474847E-2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6809070</v>
      </c>
      <c r="D161" s="146">
        <v>6549043</v>
      </c>
      <c r="E161" s="146">
        <f t="shared" si="10"/>
        <v>-260027</v>
      </c>
      <c r="F161" s="150">
        <f t="shared" si="11"/>
        <v>-3.8188328215160071E-2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1407154</v>
      </c>
      <c r="D164" s="146">
        <v>1317020</v>
      </c>
      <c r="E164" s="146">
        <f t="shared" si="10"/>
        <v>-90134</v>
      </c>
      <c r="F164" s="150">
        <f t="shared" si="11"/>
        <v>-6.4054112058808066E-2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11878224</v>
      </c>
      <c r="D165" s="146">
        <v>12878912</v>
      </c>
      <c r="E165" s="146">
        <f t="shared" si="10"/>
        <v>1000688</v>
      </c>
      <c r="F165" s="150">
        <f t="shared" si="11"/>
        <v>8.4245590923356886E-2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3315588</v>
      </c>
      <c r="D166" s="146">
        <v>3600468</v>
      </c>
      <c r="E166" s="146">
        <f t="shared" si="10"/>
        <v>284880</v>
      </c>
      <c r="F166" s="150">
        <f t="shared" si="11"/>
        <v>8.5921411224796324E-2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8678046</v>
      </c>
      <c r="D167" s="146">
        <v>8609029</v>
      </c>
      <c r="E167" s="146">
        <f t="shared" si="10"/>
        <v>-69017</v>
      </c>
      <c r="F167" s="150">
        <f t="shared" si="11"/>
        <v>-7.9530576353248183E-3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6204251</v>
      </c>
      <c r="D169" s="146">
        <v>7742066</v>
      </c>
      <c r="E169" s="146">
        <f t="shared" si="10"/>
        <v>1537815</v>
      </c>
      <c r="F169" s="150">
        <f t="shared" si="11"/>
        <v>0.24786473016646168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71519798</v>
      </c>
      <c r="D171" s="147">
        <f>SUM(D158:D170)</f>
        <v>77612135</v>
      </c>
      <c r="E171" s="147">
        <f t="shared" si="10"/>
        <v>6092337</v>
      </c>
      <c r="F171" s="148">
        <f t="shared" si="11"/>
        <v>8.5183923478083651E-2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279636521</v>
      </c>
      <c r="D176" s="147">
        <f>+D174+D171+D155+D118+D109</f>
        <v>286852873</v>
      </c>
      <c r="E176" s="147">
        <f>D176-C176</f>
        <v>7216352</v>
      </c>
      <c r="F176" s="148">
        <f>IF(C176=0,0,E176/C176)</f>
        <v>2.5806185737806402E-2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982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2" fitToHeight="0" orientation="portrait" r:id="rId1"/>
  <headerFooter>
    <oddHeader>&amp;LOFFICE OF HEALTH CARE ACCESS&amp;CTWELVE MONTHS ACTUAL FILING&amp;RJOHN DEMPSEY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251133088</v>
      </c>
      <c r="D11" s="164">
        <v>253989584</v>
      </c>
      <c r="E11" s="51">
        <v>268117022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3928058</v>
      </c>
      <c r="D12" s="49">
        <v>1081457</v>
      </c>
      <c r="E12" s="49">
        <v>1954663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255061146</v>
      </c>
      <c r="D13" s="51">
        <f>+D11+D12</f>
        <v>255071041</v>
      </c>
      <c r="E13" s="51">
        <f>+E11+E12</f>
        <v>270071685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266850045</v>
      </c>
      <c r="D14" s="49">
        <v>279636521</v>
      </c>
      <c r="E14" s="49">
        <v>286852873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-11788899</v>
      </c>
      <c r="D15" s="51">
        <f>+D13-D14</f>
        <v>-24565480</v>
      </c>
      <c r="E15" s="51">
        <f>+E13-E14</f>
        <v>-16781188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15159902</v>
      </c>
      <c r="D16" s="49">
        <v>33913006</v>
      </c>
      <c r="E16" s="49">
        <v>19409872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3371003</v>
      </c>
      <c r="D17" s="51">
        <f>D15+D16</f>
        <v>9347526</v>
      </c>
      <c r="E17" s="51">
        <f>E15+E16</f>
        <v>2628684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-4.3626871730584063E-2</v>
      </c>
      <c r="D20" s="169">
        <f>IF(+D27=0,0,+D24/+D27)</f>
        <v>-8.5006353309184574E-2</v>
      </c>
      <c r="E20" s="169">
        <f>IF(+E27=0,0,+E24/+E27)</f>
        <v>-5.7969800127888632E-2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5.6101854804441437E-2</v>
      </c>
      <c r="D21" s="169">
        <f>IF(D27=0,0,+D26/D27)</f>
        <v>0.11735251946277851</v>
      </c>
      <c r="E21" s="169">
        <f>IF(E27=0,0,+E26/E27)</f>
        <v>6.705046152560247E-2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1.247498307385737E-2</v>
      </c>
      <c r="D22" s="169">
        <f>IF(D27=0,0,+D28/D27)</f>
        <v>3.2346166153593939E-2</v>
      </c>
      <c r="E22" s="169">
        <f>IF(E27=0,0,+E28/E27)</f>
        <v>9.0806613977138448E-3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-11788899</v>
      </c>
      <c r="D24" s="51">
        <f>+D15</f>
        <v>-24565480</v>
      </c>
      <c r="E24" s="51">
        <f>+E15</f>
        <v>-16781188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255061146</v>
      </c>
      <c r="D25" s="51">
        <f>+D13</f>
        <v>255071041</v>
      </c>
      <c r="E25" s="51">
        <f>+E13</f>
        <v>270071685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15159902</v>
      </c>
      <c r="D26" s="51">
        <f>+D16</f>
        <v>33913006</v>
      </c>
      <c r="E26" s="51">
        <f>+E16</f>
        <v>19409872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270221048</v>
      </c>
      <c r="D27" s="51">
        <f>+D25+D26</f>
        <v>288984047</v>
      </c>
      <c r="E27" s="51">
        <f>+E25+E26</f>
        <v>289481557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3371003</v>
      </c>
      <c r="D28" s="51">
        <f>+D17</f>
        <v>9347526</v>
      </c>
      <c r="E28" s="51">
        <f>+E17</f>
        <v>2628684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55916180</v>
      </c>
      <c r="D31" s="51">
        <v>65259763</v>
      </c>
      <c r="E31" s="51">
        <v>67969446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56060360</v>
      </c>
      <c r="D32" s="51">
        <v>65407886</v>
      </c>
      <c r="E32" s="51">
        <v>68036570</v>
      </c>
      <c r="F32" s="13"/>
    </row>
    <row r="33" spans="1:6" ht="24" customHeight="1" x14ac:dyDescent="0.2">
      <c r="A33" s="25">
        <v>3</v>
      </c>
      <c r="B33" s="48" t="s">
        <v>317</v>
      </c>
      <c r="C33" s="51">
        <v>3371003</v>
      </c>
      <c r="D33" s="51">
        <f>+D32-C32</f>
        <v>9347526</v>
      </c>
      <c r="E33" s="51">
        <f>+E32-D32</f>
        <v>2628684</v>
      </c>
      <c r="F33" s="5"/>
    </row>
    <row r="34" spans="1:6" ht="24" customHeight="1" x14ac:dyDescent="0.2">
      <c r="A34" s="25">
        <v>4</v>
      </c>
      <c r="B34" s="48" t="s">
        <v>318</v>
      </c>
      <c r="C34" s="171">
        <v>1.0639000000000001</v>
      </c>
      <c r="D34" s="171">
        <f>IF(C32=0,0,+D33/C32)</f>
        <v>0.16674038482806747</v>
      </c>
      <c r="E34" s="171">
        <f>IF(D32=0,0,+E33/D32)</f>
        <v>4.0189098910794946E-2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0.52954628048280949</v>
      </c>
      <c r="D38" s="172">
        <f>IF((D40+D41)=0,0,+D39/(D40+D41))</f>
        <v>0.48929758330567297</v>
      </c>
      <c r="E38" s="172">
        <f>IF((E40+E41)=0,0,+E39/(E40+E41))</f>
        <v>0.49006439209591096</v>
      </c>
      <c r="F38" s="5"/>
    </row>
    <row r="39" spans="1:6" ht="24" customHeight="1" x14ac:dyDescent="0.2">
      <c r="A39" s="21">
        <v>2</v>
      </c>
      <c r="B39" s="48" t="s">
        <v>322</v>
      </c>
      <c r="C39" s="51">
        <v>256225183</v>
      </c>
      <c r="D39" s="51">
        <v>252835619</v>
      </c>
      <c r="E39" s="23">
        <v>262964301</v>
      </c>
      <c r="F39" s="5"/>
    </row>
    <row r="40" spans="1:6" ht="24" customHeight="1" x14ac:dyDescent="0.2">
      <c r="A40" s="21">
        <v>3</v>
      </c>
      <c r="B40" s="48" t="s">
        <v>323</v>
      </c>
      <c r="C40" s="51">
        <v>480769000</v>
      </c>
      <c r="D40" s="51">
        <v>515222573</v>
      </c>
      <c r="E40" s="23">
        <v>533723134</v>
      </c>
      <c r="F40" s="5"/>
    </row>
    <row r="41" spans="1:6" ht="24" customHeight="1" x14ac:dyDescent="0.2">
      <c r="A41" s="21">
        <v>4</v>
      </c>
      <c r="B41" s="48" t="s">
        <v>324</v>
      </c>
      <c r="C41" s="51">
        <v>3088960</v>
      </c>
      <c r="D41" s="51">
        <v>1509223</v>
      </c>
      <c r="E41" s="23">
        <v>2868190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0.99396956786600266</v>
      </c>
      <c r="D43" s="173">
        <f>IF(D38=0,0,IF((D46-D47)=0,0,((+D44-D45)/(D46-D47)/D38)))</f>
        <v>1.0596595109513081</v>
      </c>
      <c r="E43" s="173">
        <f>IF(E38=0,0,IF((E46-E47)=0,0,((+E44-E45)/(E46-E47)/E38)))</f>
        <v>1.1297558902843803</v>
      </c>
      <c r="F43" s="5"/>
    </row>
    <row r="44" spans="1:6" ht="24" customHeight="1" x14ac:dyDescent="0.2">
      <c r="A44" s="21">
        <v>6</v>
      </c>
      <c r="B44" s="48" t="s">
        <v>326</v>
      </c>
      <c r="C44" s="51">
        <v>113593904</v>
      </c>
      <c r="D44" s="51">
        <v>112889481</v>
      </c>
      <c r="E44" s="23">
        <v>118943654</v>
      </c>
      <c r="F44" s="5"/>
    </row>
    <row r="45" spans="1:6" ht="24" customHeight="1" x14ac:dyDescent="0.2">
      <c r="A45" s="21">
        <v>7</v>
      </c>
      <c r="B45" s="48" t="s">
        <v>327</v>
      </c>
      <c r="C45" s="51">
        <v>721317</v>
      </c>
      <c r="D45" s="51">
        <v>477120</v>
      </c>
      <c r="E45" s="23">
        <v>573078</v>
      </c>
      <c r="F45" s="5"/>
    </row>
    <row r="46" spans="1:6" ht="24" customHeight="1" x14ac:dyDescent="0.2">
      <c r="A46" s="21">
        <v>8</v>
      </c>
      <c r="B46" s="48" t="s">
        <v>328</v>
      </c>
      <c r="C46" s="51">
        <v>219133998</v>
      </c>
      <c r="D46" s="51">
        <v>220911737</v>
      </c>
      <c r="E46" s="23">
        <v>217432469</v>
      </c>
      <c r="F46" s="5"/>
    </row>
    <row r="47" spans="1:6" ht="24" customHeight="1" x14ac:dyDescent="0.2">
      <c r="A47" s="21">
        <v>9</v>
      </c>
      <c r="B47" s="48" t="s">
        <v>329</v>
      </c>
      <c r="C47" s="51">
        <v>4691198</v>
      </c>
      <c r="D47" s="51">
        <v>4104059</v>
      </c>
      <c r="E47" s="174">
        <v>3633307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1.0463503174692534</v>
      </c>
      <c r="D49" s="175">
        <f>IF(D38=0,0,IF(D51=0,0,(D50/D51)/D38))</f>
        <v>0.99119332058395992</v>
      </c>
      <c r="E49" s="175">
        <f>IF(E38=0,0,IF(E51=0,0,(E50/E51)/E38))</f>
        <v>1.002229717053269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98259108</v>
      </c>
      <c r="D50" s="176">
        <v>97460404</v>
      </c>
      <c r="E50" s="176">
        <v>101332103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177333908</v>
      </c>
      <c r="D51" s="176">
        <v>200954053</v>
      </c>
      <c r="E51" s="176">
        <v>206313018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0.74420403857329365</v>
      </c>
      <c r="D53" s="175">
        <f>IF(D38=0,0,IF(D55=0,0,(D54/D55)/D38))</f>
        <v>0.74673289901000994</v>
      </c>
      <c r="E53" s="175">
        <f>IF(E38=0,0,IF(E55=0,0,(E54/E55)/E38))</f>
        <v>0.75163031983529793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26822312</v>
      </c>
      <c r="D54" s="176">
        <v>30090261</v>
      </c>
      <c r="E54" s="176">
        <v>38857271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68061304</v>
      </c>
      <c r="D55" s="176">
        <v>82354550</v>
      </c>
      <c r="E55" s="176">
        <v>105490866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3317622.2745206552</v>
      </c>
      <c r="D57" s="53">
        <f>+D60*D38</f>
        <v>3896815.3725022934</v>
      </c>
      <c r="E57" s="53">
        <f>+E60*E38</f>
        <v>1659926.5063315858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727509</v>
      </c>
      <c r="D58" s="51">
        <v>1104104</v>
      </c>
      <c r="E58" s="52">
        <v>873533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5537519</v>
      </c>
      <c r="D59" s="51">
        <v>6859997</v>
      </c>
      <c r="E59" s="52">
        <v>2513627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6265028</v>
      </c>
      <c r="D60" s="51">
        <v>7964101</v>
      </c>
      <c r="E60" s="52">
        <v>3387160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1.294807261205334E-2</v>
      </c>
      <c r="D62" s="178">
        <f>IF(D63=0,0,+D57/D63)</f>
        <v>1.5412446189009048E-2</v>
      </c>
      <c r="E62" s="178">
        <f>IF(E63=0,0,+E57/E63)</f>
        <v>6.3123644541073498E-3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256225183</v>
      </c>
      <c r="D63" s="176">
        <v>252835619</v>
      </c>
      <c r="E63" s="176">
        <v>262964301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1.1239004742773169</v>
      </c>
      <c r="D67" s="179">
        <f>IF(D69=0,0,D68/D69)</f>
        <v>1.584935226844246</v>
      </c>
      <c r="E67" s="179">
        <f>IF(E69=0,0,E68/E69)</f>
        <v>1.5937135586604028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53874920</v>
      </c>
      <c r="D68" s="180">
        <v>53155751</v>
      </c>
      <c r="E68" s="180">
        <v>56503903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47935668</v>
      </c>
      <c r="D69" s="180">
        <v>33538122</v>
      </c>
      <c r="E69" s="180">
        <v>35454240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0</v>
      </c>
      <c r="D71" s="181">
        <f>IF((D77/365)=0,0,+D74/(D77/365))</f>
        <v>0</v>
      </c>
      <c r="E71" s="181">
        <f>IF((E77/365)=0,0,+E74/(E77/365))</f>
        <v>2.0740830719907581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0</v>
      </c>
      <c r="E72" s="182">
        <v>1577178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0</v>
      </c>
      <c r="D74" s="180">
        <f>+D72+D73</f>
        <v>0</v>
      </c>
      <c r="E74" s="180">
        <f>+E72+E73</f>
        <v>1577178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266850045</v>
      </c>
      <c r="D75" s="180">
        <f>+D14</f>
        <v>279636521</v>
      </c>
      <c r="E75" s="180">
        <f>+E14</f>
        <v>286852873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10790380</v>
      </c>
      <c r="D76" s="180">
        <v>10571031</v>
      </c>
      <c r="E76" s="180">
        <v>9298913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256059665</v>
      </c>
      <c r="D77" s="180">
        <f>+D75-D76</f>
        <v>269065490</v>
      </c>
      <c r="E77" s="180">
        <f>+E75-E76</f>
        <v>277553960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52.964893618478506</v>
      </c>
      <c r="D79" s="179">
        <f>IF((D84/365)=0,0,+D83/(D84/365))</f>
        <v>38.685104051353534</v>
      </c>
      <c r="E79" s="179">
        <f>IF((E84/365)=0,0,+E83/(E84/365))</f>
        <v>28.719507857281812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33764998</v>
      </c>
      <c r="D80" s="189">
        <v>29752888</v>
      </c>
      <c r="E80" s="189">
        <v>30512285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2676748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2833399</v>
      </c>
      <c r="E82" s="190">
        <v>9415877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36441746</v>
      </c>
      <c r="D83" s="191">
        <f>+D80+D81-D82</f>
        <v>26919489</v>
      </c>
      <c r="E83" s="191">
        <f>+E80+E81-E82</f>
        <v>21096408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251133088</v>
      </c>
      <c r="D84" s="191">
        <f>+D11</f>
        <v>253989584</v>
      </c>
      <c r="E84" s="191">
        <f>+E11</f>
        <v>268117022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68.329851247755087</v>
      </c>
      <c r="D86" s="179">
        <f>IF((D90/365)=0,0,+D87/(D90/365))</f>
        <v>45.496040870941869</v>
      </c>
      <c r="E86" s="179">
        <f>IF((E90/365)=0,0,+E87/(E90/365))</f>
        <v>46.624438721753421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47935668</v>
      </c>
      <c r="D87" s="51">
        <f>+D69</f>
        <v>33538122</v>
      </c>
      <c r="E87" s="51">
        <f>+E69</f>
        <v>35454240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266850045</v>
      </c>
      <c r="D88" s="51">
        <f t="shared" si="0"/>
        <v>279636521</v>
      </c>
      <c r="E88" s="51">
        <f t="shared" si="0"/>
        <v>286852873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10790380</v>
      </c>
      <c r="D89" s="52">
        <f t="shared" si="0"/>
        <v>10571031</v>
      </c>
      <c r="E89" s="52">
        <f t="shared" si="0"/>
        <v>9298913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256059665</v>
      </c>
      <c r="D90" s="51">
        <f>+D88-D89</f>
        <v>269065490</v>
      </c>
      <c r="E90" s="51">
        <f>+E88-E89</f>
        <v>277553960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42.173115374303066</v>
      </c>
      <c r="D94" s="192">
        <f>IF(D96=0,0,(D95/D96)*100)</f>
        <v>60.294432733975377</v>
      </c>
      <c r="E94" s="192">
        <f>IF(E96=0,0,(E95/E96)*100)</f>
        <v>60.635763992283152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56060360</v>
      </c>
      <c r="D95" s="51">
        <f>+D32</f>
        <v>65407886</v>
      </c>
      <c r="E95" s="51">
        <f>+E32</f>
        <v>68036570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132929141</v>
      </c>
      <c r="D96" s="51">
        <v>108480805</v>
      </c>
      <c r="E96" s="51">
        <v>112205348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28.316163237056386</v>
      </c>
      <c r="D98" s="192">
        <f>IF(D104=0,0,(D101/D104)*100)</f>
        <v>57.264026728368336</v>
      </c>
      <c r="E98" s="192">
        <f>IF(E104=0,0,(E101/E104)*100)</f>
        <v>33.252812603308698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3371003</v>
      </c>
      <c r="D99" s="51">
        <f>+D28</f>
        <v>9347526</v>
      </c>
      <c r="E99" s="51">
        <f>+E28</f>
        <v>2628684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10790380</v>
      </c>
      <c r="D100" s="52">
        <f>+D76</f>
        <v>10571031</v>
      </c>
      <c r="E100" s="52">
        <f>+E76</f>
        <v>9298913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14161383</v>
      </c>
      <c r="D101" s="51">
        <f>+D99+D100</f>
        <v>19918557</v>
      </c>
      <c r="E101" s="51">
        <f>+E99+E100</f>
        <v>11927597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47935668</v>
      </c>
      <c r="D102" s="180">
        <f>+D69</f>
        <v>33538122</v>
      </c>
      <c r="E102" s="180">
        <f>+E69</f>
        <v>35454240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2075991</v>
      </c>
      <c r="D103" s="194">
        <v>1245595</v>
      </c>
      <c r="E103" s="194">
        <v>415198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50011659</v>
      </c>
      <c r="D104" s="180">
        <f>+D102+D103</f>
        <v>34783717</v>
      </c>
      <c r="E104" s="180">
        <f>+E102+E103</f>
        <v>35869438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3.5709000724864897</v>
      </c>
      <c r="D106" s="197">
        <f>IF(D109=0,0,(D107/D109)*100)</f>
        <v>1.8687621131145422</v>
      </c>
      <c r="E106" s="197">
        <f>IF(E109=0,0,(E107/E109)*100)</f>
        <v>0.60655555310127274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2075991</v>
      </c>
      <c r="D107" s="180">
        <f>+D103</f>
        <v>1245595</v>
      </c>
      <c r="E107" s="180">
        <f>+E103</f>
        <v>415198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56060360</v>
      </c>
      <c r="D108" s="180">
        <f>+D32</f>
        <v>65407886</v>
      </c>
      <c r="E108" s="180">
        <f>+E32</f>
        <v>68036570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58136351</v>
      </c>
      <c r="D109" s="180">
        <f>+D107+D108</f>
        <v>66653481</v>
      </c>
      <c r="E109" s="180">
        <f>+E107+E108</f>
        <v>68451768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4.0010262409171231</v>
      </c>
      <c r="D111" s="197">
        <f>IF((+D113+D115)=0,0,((+D112+D113+D114)/(+D113+D115)))</f>
        <v>6.537674862813021</v>
      </c>
      <c r="E111" s="197">
        <f>IF((+E113+E115)=0,0,((+E112+E113+E114)/(+E113+E115)))</f>
        <v>5.4600848485177282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3371003</v>
      </c>
      <c r="D112" s="180">
        <f>+D17</f>
        <v>9347526</v>
      </c>
      <c r="E112" s="180">
        <f>+E17</f>
        <v>2628684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415932</v>
      </c>
      <c r="D113" s="180">
        <v>275340</v>
      </c>
      <c r="E113" s="180">
        <v>149794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10790380</v>
      </c>
      <c r="D114" s="180">
        <v>10571031</v>
      </c>
      <c r="E114" s="180">
        <v>9298913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3227462</v>
      </c>
      <c r="D115" s="180">
        <v>2813510</v>
      </c>
      <c r="E115" s="180">
        <v>2062148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11.489475069460019</v>
      </c>
      <c r="D119" s="197">
        <f>IF(+D121=0,0,(+D120)/(+D121))</f>
        <v>12.52115039677776</v>
      </c>
      <c r="E119" s="197">
        <f>IF(+E121=0,0,(+E120)/(+E121))</f>
        <v>14.870284946208228</v>
      </c>
    </row>
    <row r="120" spans="1:8" ht="24" customHeight="1" x14ac:dyDescent="0.25">
      <c r="A120" s="17">
        <v>21</v>
      </c>
      <c r="B120" s="48" t="s">
        <v>367</v>
      </c>
      <c r="C120" s="180">
        <v>123975802</v>
      </c>
      <c r="D120" s="180">
        <v>132361469</v>
      </c>
      <c r="E120" s="180">
        <v>138277486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10790380</v>
      </c>
      <c r="D121" s="180">
        <v>10571031</v>
      </c>
      <c r="E121" s="180">
        <v>9298913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56119</v>
      </c>
      <c r="D124" s="198">
        <v>51230</v>
      </c>
      <c r="E124" s="198">
        <v>51614</v>
      </c>
    </row>
    <row r="125" spans="1:8" ht="24" customHeight="1" x14ac:dyDescent="0.2">
      <c r="A125" s="44">
        <v>2</v>
      </c>
      <c r="B125" s="48" t="s">
        <v>371</v>
      </c>
      <c r="C125" s="198">
        <v>9587</v>
      </c>
      <c r="D125" s="198">
        <v>9567</v>
      </c>
      <c r="E125" s="198">
        <v>9082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5.8536559924898297</v>
      </c>
      <c r="D126" s="199">
        <f>IF(D125=0,0,D124/D125)</f>
        <v>5.3548656841225046</v>
      </c>
      <c r="E126" s="199">
        <f>IF(E125=0,0,E124/E125)</f>
        <v>5.683109447258313</v>
      </c>
    </row>
    <row r="127" spans="1:8" ht="24" customHeight="1" x14ac:dyDescent="0.2">
      <c r="A127" s="44">
        <v>4</v>
      </c>
      <c r="B127" s="48" t="s">
        <v>373</v>
      </c>
      <c r="C127" s="198">
        <v>224</v>
      </c>
      <c r="D127" s="198">
        <v>224</v>
      </c>
      <c r="E127" s="198">
        <v>224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224</v>
      </c>
      <c r="E128" s="198">
        <v>224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224</v>
      </c>
      <c r="D129" s="198">
        <v>224</v>
      </c>
      <c r="E129" s="198">
        <v>224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0.68630000000000002</v>
      </c>
      <c r="D130" s="171">
        <v>0.62649999999999995</v>
      </c>
      <c r="E130" s="171">
        <v>0.63119999999999998</v>
      </c>
    </row>
    <row r="131" spans="1:8" ht="24" customHeight="1" x14ac:dyDescent="0.2">
      <c r="A131" s="44">
        <v>7</v>
      </c>
      <c r="B131" s="48" t="s">
        <v>377</v>
      </c>
      <c r="C131" s="171">
        <v>0.68630000000000002</v>
      </c>
      <c r="D131" s="171">
        <v>0.62649999999999995</v>
      </c>
      <c r="E131" s="171">
        <v>0.63119999999999998</v>
      </c>
    </row>
    <row r="132" spans="1:8" ht="24" customHeight="1" x14ac:dyDescent="0.2">
      <c r="A132" s="44">
        <v>8</v>
      </c>
      <c r="B132" s="48" t="s">
        <v>378</v>
      </c>
      <c r="C132" s="199">
        <v>1302.8</v>
      </c>
      <c r="D132" s="199">
        <v>1195</v>
      </c>
      <c r="E132" s="199">
        <v>1285.3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0.44604123809979429</v>
      </c>
      <c r="D135" s="203">
        <f>IF(D149=0,0,D143/D149)</f>
        <v>0.42080391924132565</v>
      </c>
      <c r="E135" s="203">
        <f>IF(E149=0,0,E143/E149)</f>
        <v>0.40058065386388142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0.36885470569025874</v>
      </c>
      <c r="D136" s="203">
        <f>IF(D149=0,0,D144/D149)</f>
        <v>0.39003347976370595</v>
      </c>
      <c r="E136" s="203">
        <f>IF(E149=0,0,E144/E149)</f>
        <v>0.38655438533042863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0.14156758027243854</v>
      </c>
      <c r="D137" s="203">
        <f>IF(D149=0,0,D145/D149)</f>
        <v>0.15984266667601926</v>
      </c>
      <c r="E137" s="203">
        <f>IF(E149=0,0,E145/E149)</f>
        <v>0.19765091539015059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2.9023331371199057E-2</v>
      </c>
      <c r="D138" s="203">
        <f>IF(D149=0,0,D146/D149)</f>
        <v>1.4888810005612856E-2</v>
      </c>
      <c r="E138" s="203">
        <f>IF(E149=0,0,E146/E149)</f>
        <v>7.8174988757373216E-4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9.7576965236943307E-3</v>
      </c>
      <c r="D139" s="203">
        <f>IF(D149=0,0,D147/D149)</f>
        <v>7.9656040225551221E-3</v>
      </c>
      <c r="E139" s="203">
        <f>IF(E149=0,0,E147/E149)</f>
        <v>6.8074752030516253E-3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4.7554480426150606E-3</v>
      </c>
      <c r="D140" s="203">
        <f>IF(D149=0,0,D148/D149)</f>
        <v>6.4655202907812036E-3</v>
      </c>
      <c r="E140" s="203">
        <f>IF(E149=0,0,E148/E149)</f>
        <v>7.6248203249140029E-3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0.99999999999999989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214442800</v>
      </c>
      <c r="D143" s="205">
        <f>+D46-D147</f>
        <v>216807678</v>
      </c>
      <c r="E143" s="205">
        <f>+E46-E147</f>
        <v>213799162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177333908</v>
      </c>
      <c r="D144" s="205">
        <f>+D51</f>
        <v>200954053</v>
      </c>
      <c r="E144" s="205">
        <f>+E51</f>
        <v>206313018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68061304</v>
      </c>
      <c r="D145" s="205">
        <f>+D55</f>
        <v>82354550</v>
      </c>
      <c r="E145" s="205">
        <f>+E55</f>
        <v>105490866</v>
      </c>
    </row>
    <row r="146" spans="1:7" ht="20.100000000000001" customHeight="1" x14ac:dyDescent="0.2">
      <c r="A146" s="202">
        <v>11</v>
      </c>
      <c r="B146" s="201" t="s">
        <v>390</v>
      </c>
      <c r="C146" s="204">
        <v>13953518</v>
      </c>
      <c r="D146" s="205">
        <v>7671051</v>
      </c>
      <c r="E146" s="205">
        <v>417238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4691198</v>
      </c>
      <c r="D147" s="205">
        <f>+D47</f>
        <v>4104059</v>
      </c>
      <c r="E147" s="205">
        <f>+E47</f>
        <v>3633307</v>
      </c>
    </row>
    <row r="148" spans="1:7" ht="20.100000000000001" customHeight="1" x14ac:dyDescent="0.2">
      <c r="A148" s="202">
        <v>13</v>
      </c>
      <c r="B148" s="201" t="s">
        <v>392</v>
      </c>
      <c r="C148" s="206">
        <v>2286272</v>
      </c>
      <c r="D148" s="205">
        <v>3331182</v>
      </c>
      <c r="E148" s="205">
        <v>4069543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480769000</v>
      </c>
      <c r="D149" s="205">
        <f>SUM(D143:D148)</f>
        <v>515222573</v>
      </c>
      <c r="E149" s="205">
        <f>SUM(E143:E148)</f>
        <v>533723134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0.46630224097233608</v>
      </c>
      <c r="D152" s="203">
        <f>IF(D166=0,0,D160/D166)</f>
        <v>0.46275685800645422</v>
      </c>
      <c r="E152" s="203">
        <f>IF(E166=0,0,E160/E166)</f>
        <v>0.45430200760518663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0.40593064688366537</v>
      </c>
      <c r="D153" s="203">
        <f>IF(D166=0,0,D161/D166)</f>
        <v>0.4012056141679976</v>
      </c>
      <c r="E153" s="203">
        <f>IF(E166=0,0,E161/E166)</f>
        <v>0.38890896186697238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0.11080905050629505</v>
      </c>
      <c r="D154" s="203">
        <f>IF(D166=0,0,D162/D166)</f>
        <v>0.12386960395711417</v>
      </c>
      <c r="E154" s="203">
        <f>IF(E166=0,0,E162/E166)</f>
        <v>0.14913280666437576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1.0344682451940531E-2</v>
      </c>
      <c r="D155" s="203">
        <f>IF(D166=0,0,D163/D166)</f>
        <v>5.4101978189884685E-3</v>
      </c>
      <c r="E155" s="203">
        <f>IF(E166=0,0,E163/E166)</f>
        <v>2.2131619321133562E-4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2.979924023106182E-3</v>
      </c>
      <c r="D156" s="203">
        <f>IF(D166=0,0,D164/D166)</f>
        <v>1.9641127552871116E-3</v>
      </c>
      <c r="E156" s="203">
        <f>IF(E166=0,0,E164/E166)</f>
        <v>2.1994527247579257E-3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3.6334551626568045E-3</v>
      </c>
      <c r="D157" s="203">
        <f>IF(D166=0,0,D165/D166)</f>
        <v>4.7936132941584393E-3</v>
      </c>
      <c r="E157" s="203">
        <f>IF(E166=0,0,E165/E166)</f>
        <v>5.2354549454959988E-3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1.0000000000000002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112872587</v>
      </c>
      <c r="D160" s="208">
        <f>+D44-D164</f>
        <v>112412361</v>
      </c>
      <c r="E160" s="208">
        <f>+E44-E164</f>
        <v>118370576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98259108</v>
      </c>
      <c r="D161" s="208">
        <f>+D50</f>
        <v>97460404</v>
      </c>
      <c r="E161" s="208">
        <f>+E50</f>
        <v>101332103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26822312</v>
      </c>
      <c r="D162" s="208">
        <f>+D54</f>
        <v>30090261</v>
      </c>
      <c r="E162" s="208">
        <f>+E54</f>
        <v>38857271</v>
      </c>
    </row>
    <row r="163" spans="1:6" ht="20.100000000000001" customHeight="1" x14ac:dyDescent="0.2">
      <c r="A163" s="202">
        <v>11</v>
      </c>
      <c r="B163" s="201" t="s">
        <v>406</v>
      </c>
      <c r="C163" s="207">
        <v>2504022</v>
      </c>
      <c r="D163" s="208">
        <v>1314239</v>
      </c>
      <c r="E163" s="208">
        <v>57665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721317</v>
      </c>
      <c r="D164" s="208">
        <f>+D45</f>
        <v>477120</v>
      </c>
      <c r="E164" s="208">
        <f>+E45</f>
        <v>573078</v>
      </c>
    </row>
    <row r="165" spans="1:6" ht="20.100000000000001" customHeight="1" x14ac:dyDescent="0.2">
      <c r="A165" s="202">
        <v>13</v>
      </c>
      <c r="B165" s="201" t="s">
        <v>408</v>
      </c>
      <c r="C165" s="209">
        <v>879510</v>
      </c>
      <c r="D165" s="208">
        <v>1164459</v>
      </c>
      <c r="E165" s="208">
        <v>1364123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242058856</v>
      </c>
      <c r="D166" s="208">
        <f>SUM(D160:D165)</f>
        <v>242918844</v>
      </c>
      <c r="E166" s="208">
        <f>SUM(E160:E165)</f>
        <v>260554816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3760</v>
      </c>
      <c r="D169" s="198">
        <v>3604</v>
      </c>
      <c r="E169" s="198">
        <v>3328</v>
      </c>
    </row>
    <row r="170" spans="1:6" ht="20.100000000000001" customHeight="1" x14ac:dyDescent="0.2">
      <c r="A170" s="202">
        <v>2</v>
      </c>
      <c r="B170" s="201" t="s">
        <v>412</v>
      </c>
      <c r="C170" s="198">
        <v>3860</v>
      </c>
      <c r="D170" s="198">
        <v>3950</v>
      </c>
      <c r="E170" s="198">
        <v>3811</v>
      </c>
    </row>
    <row r="171" spans="1:6" ht="20.100000000000001" customHeight="1" x14ac:dyDescent="0.2">
      <c r="A171" s="202">
        <v>3</v>
      </c>
      <c r="B171" s="201" t="s">
        <v>413</v>
      </c>
      <c r="C171" s="198">
        <v>1904</v>
      </c>
      <c r="D171" s="198">
        <v>1929</v>
      </c>
      <c r="E171" s="198">
        <v>1881</v>
      </c>
    </row>
    <row r="172" spans="1:6" ht="20.100000000000001" customHeight="1" x14ac:dyDescent="0.2">
      <c r="A172" s="202">
        <v>4</v>
      </c>
      <c r="B172" s="201" t="s">
        <v>414</v>
      </c>
      <c r="C172" s="198">
        <v>1569</v>
      </c>
      <c r="D172" s="198">
        <v>1757</v>
      </c>
      <c r="E172" s="198">
        <v>1872</v>
      </c>
    </row>
    <row r="173" spans="1:6" ht="20.100000000000001" customHeight="1" x14ac:dyDescent="0.2">
      <c r="A173" s="202">
        <v>5</v>
      </c>
      <c r="B173" s="201" t="s">
        <v>415</v>
      </c>
      <c r="C173" s="198">
        <v>335</v>
      </c>
      <c r="D173" s="198">
        <v>172</v>
      </c>
      <c r="E173" s="198">
        <v>9</v>
      </c>
    </row>
    <row r="174" spans="1:6" ht="20.100000000000001" customHeight="1" x14ac:dyDescent="0.2">
      <c r="A174" s="202">
        <v>6</v>
      </c>
      <c r="B174" s="201" t="s">
        <v>416</v>
      </c>
      <c r="C174" s="198">
        <v>63</v>
      </c>
      <c r="D174" s="198">
        <v>84</v>
      </c>
      <c r="E174" s="198">
        <v>62</v>
      </c>
    </row>
    <row r="175" spans="1:6" ht="20.100000000000001" customHeight="1" x14ac:dyDescent="0.2">
      <c r="A175" s="202">
        <v>7</v>
      </c>
      <c r="B175" s="201" t="s">
        <v>417</v>
      </c>
      <c r="C175" s="198">
        <v>84</v>
      </c>
      <c r="D175" s="198">
        <v>81</v>
      </c>
      <c r="E175" s="198">
        <v>50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9587</v>
      </c>
      <c r="D176" s="198">
        <f>+D169+D170+D171+D174</f>
        <v>9567</v>
      </c>
      <c r="E176" s="198">
        <f>+E169+E170+E171+E174</f>
        <v>9082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1.4315</v>
      </c>
      <c r="D179" s="210">
        <v>1.4117999999999999</v>
      </c>
      <c r="E179" s="210">
        <v>1.4120999999999999</v>
      </c>
    </row>
    <row r="180" spans="1:6" ht="20.100000000000001" customHeight="1" x14ac:dyDescent="0.2">
      <c r="A180" s="202">
        <v>2</v>
      </c>
      <c r="B180" s="201" t="s">
        <v>412</v>
      </c>
      <c r="C180" s="210">
        <v>1.6392</v>
      </c>
      <c r="D180" s="210">
        <v>1.6328</v>
      </c>
      <c r="E180" s="210">
        <v>1.5492999999999999</v>
      </c>
    </row>
    <row r="181" spans="1:6" ht="20.100000000000001" customHeight="1" x14ac:dyDescent="0.2">
      <c r="A181" s="202">
        <v>3</v>
      </c>
      <c r="B181" s="201" t="s">
        <v>413</v>
      </c>
      <c r="C181" s="210">
        <v>1.3937470000000001</v>
      </c>
      <c r="D181" s="210">
        <v>1.354149</v>
      </c>
      <c r="E181" s="210">
        <v>1.3355220000000001</v>
      </c>
    </row>
    <row r="182" spans="1:6" ht="20.100000000000001" customHeight="1" x14ac:dyDescent="0.2">
      <c r="A182" s="202">
        <v>4</v>
      </c>
      <c r="B182" s="201" t="s">
        <v>414</v>
      </c>
      <c r="C182" s="210">
        <v>1.4057999999999999</v>
      </c>
      <c r="D182" s="210">
        <v>1.3660000000000001</v>
      </c>
      <c r="E182" s="210">
        <v>1.3310999999999999</v>
      </c>
    </row>
    <row r="183" spans="1:6" ht="20.100000000000001" customHeight="1" x14ac:dyDescent="0.2">
      <c r="A183" s="202">
        <v>5</v>
      </c>
      <c r="B183" s="201" t="s">
        <v>415</v>
      </c>
      <c r="C183" s="210">
        <v>1.3372999999999999</v>
      </c>
      <c r="D183" s="210">
        <v>1.2331000000000001</v>
      </c>
      <c r="E183" s="210">
        <v>2.2553999999999998</v>
      </c>
    </row>
    <row r="184" spans="1:6" ht="20.100000000000001" customHeight="1" x14ac:dyDescent="0.2">
      <c r="A184" s="202">
        <v>6</v>
      </c>
      <c r="B184" s="201" t="s">
        <v>416</v>
      </c>
      <c r="C184" s="210">
        <v>1.0871</v>
      </c>
      <c r="D184" s="210">
        <v>1.4528000000000001</v>
      </c>
      <c r="E184" s="210">
        <v>1.5218</v>
      </c>
    </row>
    <row r="185" spans="1:6" ht="20.100000000000001" customHeight="1" x14ac:dyDescent="0.2">
      <c r="A185" s="202">
        <v>7</v>
      </c>
      <c r="B185" s="201" t="s">
        <v>417</v>
      </c>
      <c r="C185" s="210">
        <v>1.1698999999999999</v>
      </c>
      <c r="D185" s="210">
        <v>1.0525</v>
      </c>
      <c r="E185" s="210">
        <v>1.3480000000000001</v>
      </c>
    </row>
    <row r="186" spans="1:6" ht="20.100000000000001" customHeight="1" x14ac:dyDescent="0.2">
      <c r="A186" s="202">
        <v>8</v>
      </c>
      <c r="B186" s="201" t="s">
        <v>421</v>
      </c>
      <c r="C186" s="210">
        <v>1.5053650000000001</v>
      </c>
      <c r="D186" s="210">
        <v>1.491781</v>
      </c>
      <c r="E186" s="210">
        <v>1.4545600000000001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4436</v>
      </c>
      <c r="D189" s="198">
        <v>4713</v>
      </c>
      <c r="E189" s="198">
        <v>4893</v>
      </c>
    </row>
    <row r="190" spans="1:6" ht="20.100000000000001" customHeight="1" x14ac:dyDescent="0.2">
      <c r="A190" s="202">
        <v>2</v>
      </c>
      <c r="B190" s="201" t="s">
        <v>425</v>
      </c>
      <c r="C190" s="198">
        <v>24156</v>
      </c>
      <c r="D190" s="198">
        <v>24798</v>
      </c>
      <c r="E190" s="198">
        <v>25371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28592</v>
      </c>
      <c r="D191" s="198">
        <f>+D190+D189</f>
        <v>29511</v>
      </c>
      <c r="E191" s="198">
        <f>+E190+E189</f>
        <v>30264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FILING&amp;RJOHN DEMPSEY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427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2239875</v>
      </c>
      <c r="D14" s="237">
        <v>1082003</v>
      </c>
      <c r="E14" s="237">
        <f t="shared" ref="E14:E24" si="0">D14-C14</f>
        <v>-1157872</v>
      </c>
      <c r="F14" s="238">
        <f t="shared" ref="F14:F24" si="1">IF(C14=0,0,E14/C14)</f>
        <v>-0.51693598973156984</v>
      </c>
    </row>
    <row r="15" spans="1:7" ht="20.25" customHeight="1" x14ac:dyDescent="0.3">
      <c r="A15" s="235">
        <v>2</v>
      </c>
      <c r="B15" s="236" t="s">
        <v>433</v>
      </c>
      <c r="C15" s="237">
        <v>777819</v>
      </c>
      <c r="D15" s="237">
        <v>438889</v>
      </c>
      <c r="E15" s="237">
        <f t="shared" si="0"/>
        <v>-338930</v>
      </c>
      <c r="F15" s="238">
        <f t="shared" si="1"/>
        <v>-0.43574404842257647</v>
      </c>
    </row>
    <row r="16" spans="1:7" ht="20.25" customHeight="1" x14ac:dyDescent="0.3">
      <c r="A16" s="235">
        <v>3</v>
      </c>
      <c r="B16" s="236" t="s">
        <v>434</v>
      </c>
      <c r="C16" s="237">
        <v>415361</v>
      </c>
      <c r="D16" s="237">
        <v>561751</v>
      </c>
      <c r="E16" s="237">
        <f t="shared" si="0"/>
        <v>146390</v>
      </c>
      <c r="F16" s="238">
        <f t="shared" si="1"/>
        <v>0.35244040726019055</v>
      </c>
    </row>
    <row r="17" spans="1:6" ht="20.25" customHeight="1" x14ac:dyDescent="0.3">
      <c r="A17" s="235">
        <v>4</v>
      </c>
      <c r="B17" s="236" t="s">
        <v>435</v>
      </c>
      <c r="C17" s="237">
        <v>205563</v>
      </c>
      <c r="D17" s="237">
        <v>281944</v>
      </c>
      <c r="E17" s="237">
        <f t="shared" si="0"/>
        <v>76381</v>
      </c>
      <c r="F17" s="238">
        <f t="shared" si="1"/>
        <v>0.37156978639151989</v>
      </c>
    </row>
    <row r="18" spans="1:6" ht="20.25" customHeight="1" x14ac:dyDescent="0.3">
      <c r="A18" s="235">
        <v>5</v>
      </c>
      <c r="B18" s="236" t="s">
        <v>371</v>
      </c>
      <c r="C18" s="239">
        <v>35</v>
      </c>
      <c r="D18" s="239">
        <v>24</v>
      </c>
      <c r="E18" s="239">
        <f t="shared" si="0"/>
        <v>-11</v>
      </c>
      <c r="F18" s="238">
        <f t="shared" si="1"/>
        <v>-0.31428571428571428</v>
      </c>
    </row>
    <row r="19" spans="1:6" ht="20.25" customHeight="1" x14ac:dyDescent="0.3">
      <c r="A19" s="235">
        <v>6</v>
      </c>
      <c r="B19" s="236" t="s">
        <v>370</v>
      </c>
      <c r="C19" s="239">
        <v>227</v>
      </c>
      <c r="D19" s="239">
        <v>111</v>
      </c>
      <c r="E19" s="239">
        <f t="shared" si="0"/>
        <v>-116</v>
      </c>
      <c r="F19" s="238">
        <f t="shared" si="1"/>
        <v>-0.51101321585903081</v>
      </c>
    </row>
    <row r="20" spans="1:6" ht="20.25" customHeight="1" x14ac:dyDescent="0.3">
      <c r="A20" s="235">
        <v>7</v>
      </c>
      <c r="B20" s="236" t="s">
        <v>436</v>
      </c>
      <c r="C20" s="239">
        <v>440</v>
      </c>
      <c r="D20" s="239">
        <v>655</v>
      </c>
      <c r="E20" s="239">
        <f t="shared" si="0"/>
        <v>215</v>
      </c>
      <c r="F20" s="238">
        <f t="shared" si="1"/>
        <v>0.48863636363636365</v>
      </c>
    </row>
    <row r="21" spans="1:6" ht="20.25" customHeight="1" x14ac:dyDescent="0.3">
      <c r="A21" s="235">
        <v>8</v>
      </c>
      <c r="B21" s="236" t="s">
        <v>437</v>
      </c>
      <c r="C21" s="239">
        <v>28</v>
      </c>
      <c r="D21" s="239">
        <v>44</v>
      </c>
      <c r="E21" s="239">
        <f t="shared" si="0"/>
        <v>16</v>
      </c>
      <c r="F21" s="238">
        <f t="shared" si="1"/>
        <v>0.5714285714285714</v>
      </c>
    </row>
    <row r="22" spans="1:6" ht="20.25" customHeight="1" x14ac:dyDescent="0.3">
      <c r="A22" s="235">
        <v>9</v>
      </c>
      <c r="B22" s="236" t="s">
        <v>438</v>
      </c>
      <c r="C22" s="239">
        <v>29</v>
      </c>
      <c r="D22" s="239">
        <v>12</v>
      </c>
      <c r="E22" s="239">
        <f t="shared" si="0"/>
        <v>-17</v>
      </c>
      <c r="F22" s="238">
        <f t="shared" si="1"/>
        <v>-0.58620689655172409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2655236</v>
      </c>
      <c r="D23" s="243">
        <f>+D14+D16</f>
        <v>1643754</v>
      </c>
      <c r="E23" s="243">
        <f t="shared" si="0"/>
        <v>-1011482</v>
      </c>
      <c r="F23" s="244">
        <f t="shared" si="1"/>
        <v>-0.38093864349534279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983382</v>
      </c>
      <c r="D24" s="243">
        <f>+D15+D17</f>
        <v>720833</v>
      </c>
      <c r="E24" s="243">
        <f t="shared" si="0"/>
        <v>-262549</v>
      </c>
      <c r="F24" s="244">
        <f t="shared" si="1"/>
        <v>-0.26698576951784758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292378</v>
      </c>
      <c r="D27" s="237">
        <v>21976</v>
      </c>
      <c r="E27" s="237">
        <f t="shared" ref="E27:E37" si="2">D27-C27</f>
        <v>-270402</v>
      </c>
      <c r="F27" s="238">
        <f t="shared" ref="F27:F37" si="3">IF(C27=0,0,E27/C27)</f>
        <v>-0.92483702604163109</v>
      </c>
    </row>
    <row r="28" spans="1:6" ht="20.25" customHeight="1" x14ac:dyDescent="0.3">
      <c r="A28" s="235">
        <v>2</v>
      </c>
      <c r="B28" s="236" t="s">
        <v>433</v>
      </c>
      <c r="C28" s="237">
        <v>152269</v>
      </c>
      <c r="D28" s="237">
        <v>12687</v>
      </c>
      <c r="E28" s="237">
        <f t="shared" si="2"/>
        <v>-139582</v>
      </c>
      <c r="F28" s="238">
        <f t="shared" si="3"/>
        <v>-0.91668034859360736</v>
      </c>
    </row>
    <row r="29" spans="1:6" ht="20.25" customHeight="1" x14ac:dyDescent="0.3">
      <c r="A29" s="235">
        <v>3</v>
      </c>
      <c r="B29" s="236" t="s">
        <v>434</v>
      </c>
      <c r="C29" s="237">
        <v>117169</v>
      </c>
      <c r="D29" s="237">
        <v>44724</v>
      </c>
      <c r="E29" s="237">
        <f t="shared" si="2"/>
        <v>-72445</v>
      </c>
      <c r="F29" s="238">
        <f t="shared" si="3"/>
        <v>-0.61829494149476394</v>
      </c>
    </row>
    <row r="30" spans="1:6" ht="20.25" customHeight="1" x14ac:dyDescent="0.3">
      <c r="A30" s="235">
        <v>4</v>
      </c>
      <c r="B30" s="236" t="s">
        <v>435</v>
      </c>
      <c r="C30" s="237">
        <v>45155</v>
      </c>
      <c r="D30" s="237">
        <v>15486</v>
      </c>
      <c r="E30" s="237">
        <f t="shared" si="2"/>
        <v>-29669</v>
      </c>
      <c r="F30" s="238">
        <f t="shared" si="3"/>
        <v>-0.65704794596390215</v>
      </c>
    </row>
    <row r="31" spans="1:6" ht="20.25" customHeight="1" x14ac:dyDescent="0.3">
      <c r="A31" s="235">
        <v>5</v>
      </c>
      <c r="B31" s="236" t="s">
        <v>371</v>
      </c>
      <c r="C31" s="239">
        <v>7</v>
      </c>
      <c r="D31" s="239">
        <v>1</v>
      </c>
      <c r="E31" s="239">
        <f t="shared" si="2"/>
        <v>-6</v>
      </c>
      <c r="F31" s="238">
        <f t="shared" si="3"/>
        <v>-0.8571428571428571</v>
      </c>
    </row>
    <row r="32" spans="1:6" ht="20.25" customHeight="1" x14ac:dyDescent="0.3">
      <c r="A32" s="235">
        <v>6</v>
      </c>
      <c r="B32" s="236" t="s">
        <v>370</v>
      </c>
      <c r="C32" s="239">
        <v>48</v>
      </c>
      <c r="D32" s="239">
        <v>4</v>
      </c>
      <c r="E32" s="239">
        <f t="shared" si="2"/>
        <v>-44</v>
      </c>
      <c r="F32" s="238">
        <f t="shared" si="3"/>
        <v>-0.91666666666666663</v>
      </c>
    </row>
    <row r="33" spans="1:6" ht="20.25" customHeight="1" x14ac:dyDescent="0.3">
      <c r="A33" s="235">
        <v>7</v>
      </c>
      <c r="B33" s="236" t="s">
        <v>436</v>
      </c>
      <c r="C33" s="239">
        <v>129</v>
      </c>
      <c r="D33" s="239">
        <v>43</v>
      </c>
      <c r="E33" s="239">
        <f t="shared" si="2"/>
        <v>-86</v>
      </c>
      <c r="F33" s="238">
        <f t="shared" si="3"/>
        <v>-0.66666666666666663</v>
      </c>
    </row>
    <row r="34" spans="1:6" ht="20.25" customHeight="1" x14ac:dyDescent="0.3">
      <c r="A34" s="235">
        <v>8</v>
      </c>
      <c r="B34" s="236" t="s">
        <v>437</v>
      </c>
      <c r="C34" s="239">
        <v>10</v>
      </c>
      <c r="D34" s="239">
        <v>4</v>
      </c>
      <c r="E34" s="239">
        <f t="shared" si="2"/>
        <v>-6</v>
      </c>
      <c r="F34" s="238">
        <f t="shared" si="3"/>
        <v>-0.6</v>
      </c>
    </row>
    <row r="35" spans="1:6" ht="20.25" customHeight="1" x14ac:dyDescent="0.3">
      <c r="A35" s="235">
        <v>9</v>
      </c>
      <c r="B35" s="236" t="s">
        <v>438</v>
      </c>
      <c r="C35" s="239">
        <v>6</v>
      </c>
      <c r="D35" s="239">
        <v>0</v>
      </c>
      <c r="E35" s="239">
        <f t="shared" si="2"/>
        <v>-6</v>
      </c>
      <c r="F35" s="238">
        <f t="shared" si="3"/>
        <v>-1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409547</v>
      </c>
      <c r="D36" s="243">
        <f>+D27+D29</f>
        <v>66700</v>
      </c>
      <c r="E36" s="243">
        <f t="shared" si="2"/>
        <v>-342847</v>
      </c>
      <c r="F36" s="244">
        <f t="shared" si="3"/>
        <v>-0.83713712956022146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197424</v>
      </c>
      <c r="D37" s="243">
        <f>+D28+D30</f>
        <v>28173</v>
      </c>
      <c r="E37" s="243">
        <f t="shared" si="2"/>
        <v>-169251</v>
      </c>
      <c r="F37" s="244">
        <f t="shared" si="3"/>
        <v>-0.85729698516897646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2881007</v>
      </c>
      <c r="D40" s="237">
        <v>3513965</v>
      </c>
      <c r="E40" s="237">
        <f t="shared" ref="E40:E50" si="4">D40-C40</f>
        <v>632958</v>
      </c>
      <c r="F40" s="238">
        <f t="shared" ref="F40:F50" si="5">IF(C40=0,0,E40/C40)</f>
        <v>0.21970026452556346</v>
      </c>
    </row>
    <row r="41" spans="1:6" ht="20.25" customHeight="1" x14ac:dyDescent="0.3">
      <c r="A41" s="235">
        <v>2</v>
      </c>
      <c r="B41" s="236" t="s">
        <v>433</v>
      </c>
      <c r="C41" s="237">
        <v>1615312</v>
      </c>
      <c r="D41" s="237">
        <v>2025928</v>
      </c>
      <c r="E41" s="237">
        <f t="shared" si="4"/>
        <v>410616</v>
      </c>
      <c r="F41" s="238">
        <f t="shared" si="5"/>
        <v>0.25420228414077278</v>
      </c>
    </row>
    <row r="42" spans="1:6" ht="20.25" customHeight="1" x14ac:dyDescent="0.3">
      <c r="A42" s="235">
        <v>3</v>
      </c>
      <c r="B42" s="236" t="s">
        <v>434</v>
      </c>
      <c r="C42" s="237">
        <v>3508381</v>
      </c>
      <c r="D42" s="237">
        <v>4939366</v>
      </c>
      <c r="E42" s="237">
        <f t="shared" si="4"/>
        <v>1430985</v>
      </c>
      <c r="F42" s="238">
        <f t="shared" si="5"/>
        <v>0.40787616852331604</v>
      </c>
    </row>
    <row r="43" spans="1:6" ht="20.25" customHeight="1" x14ac:dyDescent="0.3">
      <c r="A43" s="235">
        <v>4</v>
      </c>
      <c r="B43" s="236" t="s">
        <v>435</v>
      </c>
      <c r="C43" s="237">
        <v>1101905</v>
      </c>
      <c r="D43" s="237">
        <v>1599020</v>
      </c>
      <c r="E43" s="237">
        <f t="shared" si="4"/>
        <v>497115</v>
      </c>
      <c r="F43" s="238">
        <f t="shared" si="5"/>
        <v>0.45114143233763349</v>
      </c>
    </row>
    <row r="44" spans="1:6" ht="20.25" customHeight="1" x14ac:dyDescent="0.3">
      <c r="A44" s="235">
        <v>5</v>
      </c>
      <c r="B44" s="236" t="s">
        <v>371</v>
      </c>
      <c r="C44" s="239">
        <v>89</v>
      </c>
      <c r="D44" s="239">
        <v>119</v>
      </c>
      <c r="E44" s="239">
        <f t="shared" si="4"/>
        <v>30</v>
      </c>
      <c r="F44" s="238">
        <f t="shared" si="5"/>
        <v>0.33707865168539325</v>
      </c>
    </row>
    <row r="45" spans="1:6" ht="20.25" customHeight="1" x14ac:dyDescent="0.3">
      <c r="A45" s="235">
        <v>6</v>
      </c>
      <c r="B45" s="236" t="s">
        <v>370</v>
      </c>
      <c r="C45" s="239">
        <v>350</v>
      </c>
      <c r="D45" s="239">
        <v>460</v>
      </c>
      <c r="E45" s="239">
        <f t="shared" si="4"/>
        <v>110</v>
      </c>
      <c r="F45" s="238">
        <f t="shared" si="5"/>
        <v>0.31428571428571428</v>
      </c>
    </row>
    <row r="46" spans="1:6" ht="20.25" customHeight="1" x14ac:dyDescent="0.3">
      <c r="A46" s="235">
        <v>7</v>
      </c>
      <c r="B46" s="236" t="s">
        <v>436</v>
      </c>
      <c r="C46" s="239">
        <v>2691</v>
      </c>
      <c r="D46" s="239">
        <v>4216</v>
      </c>
      <c r="E46" s="239">
        <f t="shared" si="4"/>
        <v>1525</v>
      </c>
      <c r="F46" s="238">
        <f t="shared" si="5"/>
        <v>0.56670382757339277</v>
      </c>
    </row>
    <row r="47" spans="1:6" ht="20.25" customHeight="1" x14ac:dyDescent="0.3">
      <c r="A47" s="235">
        <v>8</v>
      </c>
      <c r="B47" s="236" t="s">
        <v>437</v>
      </c>
      <c r="C47" s="239">
        <v>135</v>
      </c>
      <c r="D47" s="239">
        <v>221</v>
      </c>
      <c r="E47" s="239">
        <f t="shared" si="4"/>
        <v>86</v>
      </c>
      <c r="F47" s="238">
        <f t="shared" si="5"/>
        <v>0.63703703703703707</v>
      </c>
    </row>
    <row r="48" spans="1:6" ht="20.25" customHeight="1" x14ac:dyDescent="0.3">
      <c r="A48" s="235">
        <v>9</v>
      </c>
      <c r="B48" s="236" t="s">
        <v>438</v>
      </c>
      <c r="C48" s="239">
        <v>47</v>
      </c>
      <c r="D48" s="239">
        <v>61</v>
      </c>
      <c r="E48" s="239">
        <f t="shared" si="4"/>
        <v>14</v>
      </c>
      <c r="F48" s="238">
        <f t="shared" si="5"/>
        <v>0.2978723404255319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6389388</v>
      </c>
      <c r="D49" s="243">
        <f>+D40+D42</f>
        <v>8453331</v>
      </c>
      <c r="E49" s="243">
        <f t="shared" si="4"/>
        <v>2063943</v>
      </c>
      <c r="F49" s="244">
        <f t="shared" si="5"/>
        <v>0.32302671241752734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2717217</v>
      </c>
      <c r="D50" s="243">
        <f>+D41+D43</f>
        <v>3624948</v>
      </c>
      <c r="E50" s="243">
        <f t="shared" si="4"/>
        <v>907731</v>
      </c>
      <c r="F50" s="244">
        <f t="shared" si="5"/>
        <v>0.33406643635749372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7210837</v>
      </c>
      <c r="D53" s="237">
        <v>2100773</v>
      </c>
      <c r="E53" s="237">
        <f t="shared" ref="E53:E63" si="6">D53-C53</f>
        <v>-5110064</v>
      </c>
      <c r="F53" s="238">
        <f t="shared" ref="F53:F63" si="7">IF(C53=0,0,E53/C53)</f>
        <v>-0.70866447265414545</v>
      </c>
    </row>
    <row r="54" spans="1:6" ht="20.25" customHeight="1" x14ac:dyDescent="0.3">
      <c r="A54" s="235">
        <v>2</v>
      </c>
      <c r="B54" s="236" t="s">
        <v>433</v>
      </c>
      <c r="C54" s="237">
        <v>3983892</v>
      </c>
      <c r="D54" s="237">
        <v>1171930</v>
      </c>
      <c r="E54" s="237">
        <f t="shared" si="6"/>
        <v>-2811962</v>
      </c>
      <c r="F54" s="238">
        <f t="shared" si="7"/>
        <v>-0.70583288904418096</v>
      </c>
    </row>
    <row r="55" spans="1:6" ht="20.25" customHeight="1" x14ac:dyDescent="0.3">
      <c r="A55" s="235">
        <v>3</v>
      </c>
      <c r="B55" s="236" t="s">
        <v>434</v>
      </c>
      <c r="C55" s="237">
        <v>5639837</v>
      </c>
      <c r="D55" s="237">
        <v>1816808</v>
      </c>
      <c r="E55" s="237">
        <f t="shared" si="6"/>
        <v>-3823029</v>
      </c>
      <c r="F55" s="238">
        <f t="shared" si="7"/>
        <v>-0.67786161195793426</v>
      </c>
    </row>
    <row r="56" spans="1:6" ht="20.25" customHeight="1" x14ac:dyDescent="0.3">
      <c r="A56" s="235">
        <v>4</v>
      </c>
      <c r="B56" s="236" t="s">
        <v>435</v>
      </c>
      <c r="C56" s="237">
        <v>1843469</v>
      </c>
      <c r="D56" s="237">
        <v>551160</v>
      </c>
      <c r="E56" s="237">
        <f t="shared" si="6"/>
        <v>-1292309</v>
      </c>
      <c r="F56" s="238">
        <f t="shared" si="7"/>
        <v>-0.70102019616277789</v>
      </c>
    </row>
    <row r="57" spans="1:6" ht="20.25" customHeight="1" x14ac:dyDescent="0.3">
      <c r="A57" s="235">
        <v>5</v>
      </c>
      <c r="B57" s="236" t="s">
        <v>371</v>
      </c>
      <c r="C57" s="239">
        <v>199</v>
      </c>
      <c r="D57" s="239">
        <v>62</v>
      </c>
      <c r="E57" s="239">
        <f t="shared" si="6"/>
        <v>-137</v>
      </c>
      <c r="F57" s="238">
        <f t="shared" si="7"/>
        <v>-0.68844221105527637</v>
      </c>
    </row>
    <row r="58" spans="1:6" ht="20.25" customHeight="1" x14ac:dyDescent="0.3">
      <c r="A58" s="235">
        <v>6</v>
      </c>
      <c r="B58" s="236" t="s">
        <v>370</v>
      </c>
      <c r="C58" s="239">
        <v>917</v>
      </c>
      <c r="D58" s="239">
        <v>297</v>
      </c>
      <c r="E58" s="239">
        <f t="shared" si="6"/>
        <v>-620</v>
      </c>
      <c r="F58" s="238">
        <f t="shared" si="7"/>
        <v>-0.67611777535441653</v>
      </c>
    </row>
    <row r="59" spans="1:6" ht="20.25" customHeight="1" x14ac:dyDescent="0.3">
      <c r="A59" s="235">
        <v>7</v>
      </c>
      <c r="B59" s="236" t="s">
        <v>436</v>
      </c>
      <c r="C59" s="239">
        <v>5336</v>
      </c>
      <c r="D59" s="239">
        <v>1525</v>
      </c>
      <c r="E59" s="239">
        <f t="shared" si="6"/>
        <v>-3811</v>
      </c>
      <c r="F59" s="238">
        <f t="shared" si="7"/>
        <v>-0.71420539730134935</v>
      </c>
    </row>
    <row r="60" spans="1:6" ht="20.25" customHeight="1" x14ac:dyDescent="0.3">
      <c r="A60" s="235">
        <v>8</v>
      </c>
      <c r="B60" s="236" t="s">
        <v>437</v>
      </c>
      <c r="C60" s="239">
        <v>264</v>
      </c>
      <c r="D60" s="239">
        <v>63</v>
      </c>
      <c r="E60" s="239">
        <f t="shared" si="6"/>
        <v>-201</v>
      </c>
      <c r="F60" s="238">
        <f t="shared" si="7"/>
        <v>-0.76136363636363635</v>
      </c>
    </row>
    <row r="61" spans="1:6" ht="20.25" customHeight="1" x14ac:dyDescent="0.3">
      <c r="A61" s="235">
        <v>9</v>
      </c>
      <c r="B61" s="236" t="s">
        <v>438</v>
      </c>
      <c r="C61" s="239">
        <v>126</v>
      </c>
      <c r="D61" s="239">
        <v>2</v>
      </c>
      <c r="E61" s="239">
        <f t="shared" si="6"/>
        <v>-124</v>
      </c>
      <c r="F61" s="238">
        <f t="shared" si="7"/>
        <v>-0.98412698412698407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12850674</v>
      </c>
      <c r="D62" s="243">
        <f>+D53+D55</f>
        <v>3917581</v>
      </c>
      <c r="E62" s="243">
        <f t="shared" si="6"/>
        <v>-8933093</v>
      </c>
      <c r="F62" s="244">
        <f t="shared" si="7"/>
        <v>-0.6951458732825998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5827361</v>
      </c>
      <c r="D63" s="243">
        <f>+D54+D56</f>
        <v>1723090</v>
      </c>
      <c r="E63" s="243">
        <f t="shared" si="6"/>
        <v>-4104271</v>
      </c>
      <c r="F63" s="244">
        <f t="shared" si="7"/>
        <v>-0.704310407403969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835803</v>
      </c>
      <c r="D66" s="237">
        <v>2145154</v>
      </c>
      <c r="E66" s="237">
        <f t="shared" ref="E66:E76" si="8">D66-C66</f>
        <v>1309351</v>
      </c>
      <c r="F66" s="238">
        <f t="shared" ref="F66:F76" si="9">IF(C66=0,0,E66/C66)</f>
        <v>1.566578487992984</v>
      </c>
    </row>
    <row r="67" spans="1:6" ht="20.25" customHeight="1" x14ac:dyDescent="0.3">
      <c r="A67" s="235">
        <v>2</v>
      </c>
      <c r="B67" s="236" t="s">
        <v>433</v>
      </c>
      <c r="C67" s="237">
        <v>527596</v>
      </c>
      <c r="D67" s="237">
        <v>1245396</v>
      </c>
      <c r="E67" s="237">
        <f t="shared" si="8"/>
        <v>717800</v>
      </c>
      <c r="F67" s="238">
        <f t="shared" si="9"/>
        <v>1.360510693788429</v>
      </c>
    </row>
    <row r="68" spans="1:6" ht="20.25" customHeight="1" x14ac:dyDescent="0.3">
      <c r="A68" s="235">
        <v>3</v>
      </c>
      <c r="B68" s="236" t="s">
        <v>434</v>
      </c>
      <c r="C68" s="237">
        <v>459740</v>
      </c>
      <c r="D68" s="237">
        <v>1760191</v>
      </c>
      <c r="E68" s="237">
        <f t="shared" si="8"/>
        <v>1300451</v>
      </c>
      <c r="F68" s="238">
        <f t="shared" si="9"/>
        <v>2.8286662026362728</v>
      </c>
    </row>
    <row r="69" spans="1:6" ht="20.25" customHeight="1" x14ac:dyDescent="0.3">
      <c r="A69" s="235">
        <v>4</v>
      </c>
      <c r="B69" s="236" t="s">
        <v>435</v>
      </c>
      <c r="C69" s="237">
        <v>108085</v>
      </c>
      <c r="D69" s="237">
        <v>510133</v>
      </c>
      <c r="E69" s="237">
        <f t="shared" si="8"/>
        <v>402048</v>
      </c>
      <c r="F69" s="238">
        <f t="shared" si="9"/>
        <v>3.7197390942313922</v>
      </c>
    </row>
    <row r="70" spans="1:6" ht="20.25" customHeight="1" x14ac:dyDescent="0.3">
      <c r="A70" s="235">
        <v>5</v>
      </c>
      <c r="B70" s="236" t="s">
        <v>371</v>
      </c>
      <c r="C70" s="239">
        <v>35</v>
      </c>
      <c r="D70" s="239">
        <v>63</v>
      </c>
      <c r="E70" s="239">
        <f t="shared" si="8"/>
        <v>28</v>
      </c>
      <c r="F70" s="238">
        <f t="shared" si="9"/>
        <v>0.8</v>
      </c>
    </row>
    <row r="71" spans="1:6" ht="20.25" customHeight="1" x14ac:dyDescent="0.3">
      <c r="A71" s="235">
        <v>6</v>
      </c>
      <c r="B71" s="236" t="s">
        <v>370</v>
      </c>
      <c r="C71" s="239">
        <v>185</v>
      </c>
      <c r="D71" s="239">
        <v>311</v>
      </c>
      <c r="E71" s="239">
        <f t="shared" si="8"/>
        <v>126</v>
      </c>
      <c r="F71" s="238">
        <f t="shared" si="9"/>
        <v>0.68108108108108112</v>
      </c>
    </row>
    <row r="72" spans="1:6" ht="20.25" customHeight="1" x14ac:dyDescent="0.3">
      <c r="A72" s="235">
        <v>7</v>
      </c>
      <c r="B72" s="236" t="s">
        <v>436</v>
      </c>
      <c r="C72" s="239">
        <v>572</v>
      </c>
      <c r="D72" s="239">
        <v>1555</v>
      </c>
      <c r="E72" s="239">
        <f t="shared" si="8"/>
        <v>983</v>
      </c>
      <c r="F72" s="238">
        <f t="shared" si="9"/>
        <v>1.7185314685314685</v>
      </c>
    </row>
    <row r="73" spans="1:6" ht="20.25" customHeight="1" x14ac:dyDescent="0.3">
      <c r="A73" s="235">
        <v>8</v>
      </c>
      <c r="B73" s="236" t="s">
        <v>437</v>
      </c>
      <c r="C73" s="239">
        <v>83</v>
      </c>
      <c r="D73" s="239">
        <v>118</v>
      </c>
      <c r="E73" s="239">
        <f t="shared" si="8"/>
        <v>35</v>
      </c>
      <c r="F73" s="238">
        <f t="shared" si="9"/>
        <v>0.42168674698795183</v>
      </c>
    </row>
    <row r="74" spans="1:6" ht="20.25" customHeight="1" x14ac:dyDescent="0.3">
      <c r="A74" s="235">
        <v>9</v>
      </c>
      <c r="B74" s="236" t="s">
        <v>438</v>
      </c>
      <c r="C74" s="239">
        <v>19</v>
      </c>
      <c r="D74" s="239">
        <v>25</v>
      </c>
      <c r="E74" s="239">
        <f t="shared" si="8"/>
        <v>6</v>
      </c>
      <c r="F74" s="238">
        <f t="shared" si="9"/>
        <v>0.31578947368421051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1295543</v>
      </c>
      <c r="D75" s="243">
        <f>+D66+D68</f>
        <v>3905345</v>
      </c>
      <c r="E75" s="243">
        <f t="shared" si="8"/>
        <v>2609802</v>
      </c>
      <c r="F75" s="244">
        <f t="shared" si="9"/>
        <v>2.0144464521825984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635681</v>
      </c>
      <c r="D76" s="243">
        <f>+D67+D69</f>
        <v>1755529</v>
      </c>
      <c r="E76" s="243">
        <f t="shared" si="8"/>
        <v>1119848</v>
      </c>
      <c r="F76" s="244">
        <f t="shared" si="9"/>
        <v>1.7616508909342894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5655</v>
      </c>
      <c r="D79" s="237">
        <v>13478</v>
      </c>
      <c r="E79" s="237">
        <f t="shared" ref="E79:E89" si="10">D79-C79</f>
        <v>7823</v>
      </c>
      <c r="F79" s="238">
        <f t="shared" ref="F79:F89" si="11">IF(C79=0,0,E79/C79)</f>
        <v>1.3833775419982317</v>
      </c>
    </row>
    <row r="80" spans="1:6" ht="20.25" customHeight="1" x14ac:dyDescent="0.3">
      <c r="A80" s="235">
        <v>2</v>
      </c>
      <c r="B80" s="236" t="s">
        <v>433</v>
      </c>
      <c r="C80" s="237">
        <v>5158</v>
      </c>
      <c r="D80" s="237">
        <v>13303</v>
      </c>
      <c r="E80" s="237">
        <f t="shared" si="10"/>
        <v>8145</v>
      </c>
      <c r="F80" s="238">
        <f t="shared" si="11"/>
        <v>1.5791004265219077</v>
      </c>
    </row>
    <row r="81" spans="1:6" ht="20.25" customHeight="1" x14ac:dyDescent="0.3">
      <c r="A81" s="235">
        <v>3</v>
      </c>
      <c r="B81" s="236" t="s">
        <v>434</v>
      </c>
      <c r="C81" s="237">
        <v>5209</v>
      </c>
      <c r="D81" s="237">
        <v>11908</v>
      </c>
      <c r="E81" s="237">
        <f t="shared" si="10"/>
        <v>6699</v>
      </c>
      <c r="F81" s="238">
        <f t="shared" si="11"/>
        <v>1.2860433864465348</v>
      </c>
    </row>
    <row r="82" spans="1:6" ht="20.25" customHeight="1" x14ac:dyDescent="0.3">
      <c r="A82" s="235">
        <v>4</v>
      </c>
      <c r="B82" s="236" t="s">
        <v>435</v>
      </c>
      <c r="C82" s="237">
        <v>1433</v>
      </c>
      <c r="D82" s="237">
        <v>2627</v>
      </c>
      <c r="E82" s="237">
        <f t="shared" si="10"/>
        <v>1194</v>
      </c>
      <c r="F82" s="238">
        <f t="shared" si="11"/>
        <v>0.83321702721563151</v>
      </c>
    </row>
    <row r="83" spans="1:6" ht="20.25" customHeight="1" x14ac:dyDescent="0.3">
      <c r="A83" s="235">
        <v>5</v>
      </c>
      <c r="B83" s="236" t="s">
        <v>371</v>
      </c>
      <c r="C83" s="239">
        <v>1</v>
      </c>
      <c r="D83" s="239">
        <v>1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4</v>
      </c>
      <c r="D84" s="239">
        <v>1</v>
      </c>
      <c r="E84" s="239">
        <f t="shared" si="10"/>
        <v>-3</v>
      </c>
      <c r="F84" s="238">
        <f t="shared" si="11"/>
        <v>-0.75</v>
      </c>
    </row>
    <row r="85" spans="1:6" ht="20.25" customHeight="1" x14ac:dyDescent="0.3">
      <c r="A85" s="235">
        <v>7</v>
      </c>
      <c r="B85" s="236" t="s">
        <v>436</v>
      </c>
      <c r="C85" s="239">
        <v>6</v>
      </c>
      <c r="D85" s="239">
        <v>9</v>
      </c>
      <c r="E85" s="239">
        <f t="shared" si="10"/>
        <v>3</v>
      </c>
      <c r="F85" s="238">
        <f t="shared" si="11"/>
        <v>0.5</v>
      </c>
    </row>
    <row r="86" spans="1:6" ht="20.25" customHeight="1" x14ac:dyDescent="0.3">
      <c r="A86" s="235">
        <v>8</v>
      </c>
      <c r="B86" s="236" t="s">
        <v>437</v>
      </c>
      <c r="C86" s="239">
        <v>1</v>
      </c>
      <c r="D86" s="239">
        <v>3</v>
      </c>
      <c r="E86" s="239">
        <f t="shared" si="10"/>
        <v>2</v>
      </c>
      <c r="F86" s="238">
        <f t="shared" si="11"/>
        <v>2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10864</v>
      </c>
      <c r="D88" s="243">
        <f>+D79+D81</f>
        <v>25386</v>
      </c>
      <c r="E88" s="243">
        <f t="shared" si="10"/>
        <v>14522</v>
      </c>
      <c r="F88" s="244">
        <f t="shared" si="11"/>
        <v>1.3367083946980853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6591</v>
      </c>
      <c r="D89" s="243">
        <f>+D80+D82</f>
        <v>15930</v>
      </c>
      <c r="E89" s="243">
        <f t="shared" si="10"/>
        <v>9339</v>
      </c>
      <c r="F89" s="244">
        <f t="shared" si="11"/>
        <v>1.4169321802457897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0</v>
      </c>
      <c r="D92" s="237">
        <v>5300547</v>
      </c>
      <c r="E92" s="237">
        <f t="shared" ref="E92:E102" si="12">D92-C92</f>
        <v>5300547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433</v>
      </c>
      <c r="C93" s="237">
        <v>0</v>
      </c>
      <c r="D93" s="237">
        <v>2605813</v>
      </c>
      <c r="E93" s="237">
        <f t="shared" si="12"/>
        <v>2605813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434</v>
      </c>
      <c r="C94" s="237">
        <v>17590</v>
      </c>
      <c r="D94" s="237">
        <v>4550671</v>
      </c>
      <c r="E94" s="237">
        <f t="shared" si="12"/>
        <v>4533081</v>
      </c>
      <c r="F94" s="238">
        <f t="shared" si="13"/>
        <v>257.7078453666856</v>
      </c>
    </row>
    <row r="95" spans="1:6" ht="20.25" customHeight="1" x14ac:dyDescent="0.3">
      <c r="A95" s="235">
        <v>4</v>
      </c>
      <c r="B95" s="236" t="s">
        <v>435</v>
      </c>
      <c r="C95" s="237">
        <v>4716</v>
      </c>
      <c r="D95" s="237">
        <v>1304989</v>
      </c>
      <c r="E95" s="237">
        <f t="shared" si="12"/>
        <v>1300273</v>
      </c>
      <c r="F95" s="238">
        <f t="shared" si="13"/>
        <v>275.71522476675148</v>
      </c>
    </row>
    <row r="96" spans="1:6" ht="20.25" customHeight="1" x14ac:dyDescent="0.3">
      <c r="A96" s="235">
        <v>5</v>
      </c>
      <c r="B96" s="236" t="s">
        <v>371</v>
      </c>
      <c r="C96" s="239">
        <v>0</v>
      </c>
      <c r="D96" s="239">
        <v>157</v>
      </c>
      <c r="E96" s="239">
        <f t="shared" si="12"/>
        <v>157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370</v>
      </c>
      <c r="C97" s="239">
        <v>0</v>
      </c>
      <c r="D97" s="239">
        <v>667</v>
      </c>
      <c r="E97" s="239">
        <f t="shared" si="12"/>
        <v>667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436</v>
      </c>
      <c r="C98" s="239">
        <v>13</v>
      </c>
      <c r="D98" s="239">
        <v>4093</v>
      </c>
      <c r="E98" s="239">
        <f t="shared" si="12"/>
        <v>4080</v>
      </c>
      <c r="F98" s="238">
        <f t="shared" si="13"/>
        <v>313.84615384615387</v>
      </c>
    </row>
    <row r="99" spans="1:6" ht="20.25" customHeight="1" x14ac:dyDescent="0.3">
      <c r="A99" s="235">
        <v>8</v>
      </c>
      <c r="B99" s="236" t="s">
        <v>437</v>
      </c>
      <c r="C99" s="239">
        <v>6</v>
      </c>
      <c r="D99" s="239">
        <v>228</v>
      </c>
      <c r="E99" s="239">
        <f t="shared" si="12"/>
        <v>222</v>
      </c>
      <c r="F99" s="238">
        <f t="shared" si="13"/>
        <v>37</v>
      </c>
    </row>
    <row r="100" spans="1:6" ht="20.25" customHeight="1" x14ac:dyDescent="0.3">
      <c r="A100" s="235">
        <v>9</v>
      </c>
      <c r="B100" s="236" t="s">
        <v>438</v>
      </c>
      <c r="C100" s="239">
        <v>0</v>
      </c>
      <c r="D100" s="239">
        <v>103</v>
      </c>
      <c r="E100" s="239">
        <f t="shared" si="12"/>
        <v>103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17590</v>
      </c>
      <c r="D101" s="243">
        <f>+D92+D94</f>
        <v>9851218</v>
      </c>
      <c r="E101" s="243">
        <f t="shared" si="12"/>
        <v>9833628</v>
      </c>
      <c r="F101" s="244">
        <f t="shared" si="13"/>
        <v>559.04650369528144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4716</v>
      </c>
      <c r="D102" s="243">
        <f>+D93+D95</f>
        <v>3910802</v>
      </c>
      <c r="E102" s="243">
        <f t="shared" si="12"/>
        <v>3906086</v>
      </c>
      <c r="F102" s="244">
        <f t="shared" si="13"/>
        <v>828.26251060220523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0</v>
      </c>
      <c r="D105" s="237">
        <v>79924</v>
      </c>
      <c r="E105" s="237">
        <f t="shared" ref="E105:E115" si="14">D105-C105</f>
        <v>79924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433</v>
      </c>
      <c r="C106" s="237">
        <v>0</v>
      </c>
      <c r="D106" s="237">
        <v>34245</v>
      </c>
      <c r="E106" s="237">
        <f t="shared" si="14"/>
        <v>34245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434</v>
      </c>
      <c r="C107" s="237">
        <v>0</v>
      </c>
      <c r="D107" s="237">
        <v>16793</v>
      </c>
      <c r="E107" s="237">
        <f t="shared" si="14"/>
        <v>16793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435</v>
      </c>
      <c r="C108" s="237">
        <v>0</v>
      </c>
      <c r="D108" s="237">
        <v>4763</v>
      </c>
      <c r="E108" s="237">
        <f t="shared" si="14"/>
        <v>4763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371</v>
      </c>
      <c r="C109" s="239">
        <v>0</v>
      </c>
      <c r="D109" s="239">
        <v>5</v>
      </c>
      <c r="E109" s="239">
        <f t="shared" si="14"/>
        <v>5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370</v>
      </c>
      <c r="C110" s="239">
        <v>0</v>
      </c>
      <c r="D110" s="239">
        <v>22</v>
      </c>
      <c r="E110" s="239">
        <f t="shared" si="14"/>
        <v>22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436</v>
      </c>
      <c r="C111" s="239">
        <v>0</v>
      </c>
      <c r="D111" s="239">
        <v>21</v>
      </c>
      <c r="E111" s="239">
        <f t="shared" si="14"/>
        <v>21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437</v>
      </c>
      <c r="C112" s="239">
        <v>0</v>
      </c>
      <c r="D112" s="239">
        <v>6</v>
      </c>
      <c r="E112" s="239">
        <f t="shared" si="14"/>
        <v>6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438</v>
      </c>
      <c r="C113" s="239">
        <v>0</v>
      </c>
      <c r="D113" s="239">
        <v>5</v>
      </c>
      <c r="E113" s="239">
        <f t="shared" si="14"/>
        <v>5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0</v>
      </c>
      <c r="D114" s="243">
        <f>+D105+D107</f>
        <v>96717</v>
      </c>
      <c r="E114" s="243">
        <f t="shared" si="14"/>
        <v>96717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0</v>
      </c>
      <c r="D115" s="243">
        <f>+D106+D108</f>
        <v>39008</v>
      </c>
      <c r="E115" s="243">
        <f t="shared" si="14"/>
        <v>39008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2339322</v>
      </c>
      <c r="D118" s="237">
        <v>1923070</v>
      </c>
      <c r="E118" s="237">
        <f t="shared" ref="E118:E128" si="16">D118-C118</f>
        <v>-416252</v>
      </c>
      <c r="F118" s="238">
        <f t="shared" ref="F118:F128" si="17">IF(C118=0,0,E118/C118)</f>
        <v>-0.17793702619818905</v>
      </c>
    </row>
    <row r="119" spans="1:6" ht="20.25" customHeight="1" x14ac:dyDescent="0.3">
      <c r="A119" s="235">
        <v>2</v>
      </c>
      <c r="B119" s="236" t="s">
        <v>433</v>
      </c>
      <c r="C119" s="237">
        <v>1368977</v>
      </c>
      <c r="D119" s="237">
        <v>1153979</v>
      </c>
      <c r="E119" s="237">
        <f t="shared" si="16"/>
        <v>-214998</v>
      </c>
      <c r="F119" s="238">
        <f t="shared" si="17"/>
        <v>-0.15705011844610975</v>
      </c>
    </row>
    <row r="120" spans="1:6" ht="20.25" customHeight="1" x14ac:dyDescent="0.3">
      <c r="A120" s="235">
        <v>3</v>
      </c>
      <c r="B120" s="236" t="s">
        <v>434</v>
      </c>
      <c r="C120" s="237">
        <v>2520565</v>
      </c>
      <c r="D120" s="237">
        <v>1961280</v>
      </c>
      <c r="E120" s="237">
        <f t="shared" si="16"/>
        <v>-559285</v>
      </c>
      <c r="F120" s="238">
        <f t="shared" si="17"/>
        <v>-0.22188874319844956</v>
      </c>
    </row>
    <row r="121" spans="1:6" ht="20.25" customHeight="1" x14ac:dyDescent="0.3">
      <c r="A121" s="235">
        <v>4</v>
      </c>
      <c r="B121" s="236" t="s">
        <v>435</v>
      </c>
      <c r="C121" s="237">
        <v>815793</v>
      </c>
      <c r="D121" s="237">
        <v>651996</v>
      </c>
      <c r="E121" s="237">
        <f t="shared" si="16"/>
        <v>-163797</v>
      </c>
      <c r="F121" s="238">
        <f t="shared" si="17"/>
        <v>-0.20078255145606791</v>
      </c>
    </row>
    <row r="122" spans="1:6" ht="20.25" customHeight="1" x14ac:dyDescent="0.3">
      <c r="A122" s="235">
        <v>5</v>
      </c>
      <c r="B122" s="236" t="s">
        <v>371</v>
      </c>
      <c r="C122" s="239">
        <v>77</v>
      </c>
      <c r="D122" s="239">
        <v>74</v>
      </c>
      <c r="E122" s="239">
        <f t="shared" si="16"/>
        <v>-3</v>
      </c>
      <c r="F122" s="238">
        <f t="shared" si="17"/>
        <v>-3.896103896103896E-2</v>
      </c>
    </row>
    <row r="123" spans="1:6" ht="20.25" customHeight="1" x14ac:dyDescent="0.3">
      <c r="A123" s="235">
        <v>6</v>
      </c>
      <c r="B123" s="236" t="s">
        <v>370</v>
      </c>
      <c r="C123" s="239">
        <v>352</v>
      </c>
      <c r="D123" s="239">
        <v>361</v>
      </c>
      <c r="E123" s="239">
        <f t="shared" si="16"/>
        <v>9</v>
      </c>
      <c r="F123" s="238">
        <f t="shared" si="17"/>
        <v>2.556818181818182E-2</v>
      </c>
    </row>
    <row r="124" spans="1:6" ht="20.25" customHeight="1" x14ac:dyDescent="0.3">
      <c r="A124" s="235">
        <v>7</v>
      </c>
      <c r="B124" s="236" t="s">
        <v>436</v>
      </c>
      <c r="C124" s="239">
        <v>2332</v>
      </c>
      <c r="D124" s="239">
        <v>2316</v>
      </c>
      <c r="E124" s="239">
        <f t="shared" si="16"/>
        <v>-16</v>
      </c>
      <c r="F124" s="238">
        <f t="shared" si="17"/>
        <v>-6.8610634648370496E-3</v>
      </c>
    </row>
    <row r="125" spans="1:6" ht="20.25" customHeight="1" x14ac:dyDescent="0.3">
      <c r="A125" s="235">
        <v>8</v>
      </c>
      <c r="B125" s="236" t="s">
        <v>437</v>
      </c>
      <c r="C125" s="239">
        <v>135</v>
      </c>
      <c r="D125" s="239">
        <v>115</v>
      </c>
      <c r="E125" s="239">
        <f t="shared" si="16"/>
        <v>-20</v>
      </c>
      <c r="F125" s="238">
        <f t="shared" si="17"/>
        <v>-0.14814814814814814</v>
      </c>
    </row>
    <row r="126" spans="1:6" ht="20.25" customHeight="1" x14ac:dyDescent="0.3">
      <c r="A126" s="235">
        <v>9</v>
      </c>
      <c r="B126" s="236" t="s">
        <v>438</v>
      </c>
      <c r="C126" s="239">
        <v>50</v>
      </c>
      <c r="D126" s="239">
        <v>34</v>
      </c>
      <c r="E126" s="239">
        <f t="shared" si="16"/>
        <v>-16</v>
      </c>
      <c r="F126" s="238">
        <f t="shared" si="17"/>
        <v>-0.32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4859887</v>
      </c>
      <c r="D127" s="243">
        <f>+D118+D120</f>
        <v>3884350</v>
      </c>
      <c r="E127" s="243">
        <f t="shared" si="16"/>
        <v>-975537</v>
      </c>
      <c r="F127" s="244">
        <f t="shared" si="17"/>
        <v>-0.20073244501363921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2184770</v>
      </c>
      <c r="D128" s="243">
        <f>+D119+D121</f>
        <v>1805975</v>
      </c>
      <c r="E128" s="243">
        <f t="shared" si="16"/>
        <v>-378795</v>
      </c>
      <c r="F128" s="244">
        <f t="shared" si="17"/>
        <v>-0.17337980657002797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126742</v>
      </c>
      <c r="D131" s="237">
        <v>18643</v>
      </c>
      <c r="E131" s="237">
        <f t="shared" ref="E131:E141" si="18">D131-C131</f>
        <v>-108099</v>
      </c>
      <c r="F131" s="238">
        <f t="shared" ref="F131:F141" si="19">IF(C131=0,0,E131/C131)</f>
        <v>-0.85290590333117677</v>
      </c>
    </row>
    <row r="132" spans="1:6" ht="20.25" customHeight="1" x14ac:dyDescent="0.3">
      <c r="A132" s="235">
        <v>2</v>
      </c>
      <c r="B132" s="236" t="s">
        <v>433</v>
      </c>
      <c r="C132" s="237">
        <v>82824</v>
      </c>
      <c r="D132" s="237">
        <v>18642</v>
      </c>
      <c r="E132" s="237">
        <f t="shared" si="18"/>
        <v>-64182</v>
      </c>
      <c r="F132" s="238">
        <f t="shared" si="19"/>
        <v>-0.77492031295276731</v>
      </c>
    </row>
    <row r="133" spans="1:6" ht="20.25" customHeight="1" x14ac:dyDescent="0.3">
      <c r="A133" s="235">
        <v>3</v>
      </c>
      <c r="B133" s="236" t="s">
        <v>434</v>
      </c>
      <c r="C133" s="237">
        <v>58414</v>
      </c>
      <c r="D133" s="237">
        <v>28067</v>
      </c>
      <c r="E133" s="237">
        <f t="shared" si="18"/>
        <v>-30347</v>
      </c>
      <c r="F133" s="238">
        <f t="shared" si="19"/>
        <v>-0.51951586948334305</v>
      </c>
    </row>
    <row r="134" spans="1:6" ht="20.25" customHeight="1" x14ac:dyDescent="0.3">
      <c r="A134" s="235">
        <v>4</v>
      </c>
      <c r="B134" s="236" t="s">
        <v>435</v>
      </c>
      <c r="C134" s="237">
        <v>19369</v>
      </c>
      <c r="D134" s="237">
        <v>8473</v>
      </c>
      <c r="E134" s="237">
        <f t="shared" si="18"/>
        <v>-10896</v>
      </c>
      <c r="F134" s="238">
        <f t="shared" si="19"/>
        <v>-0.56254840208580725</v>
      </c>
    </row>
    <row r="135" spans="1:6" ht="20.25" customHeight="1" x14ac:dyDescent="0.3">
      <c r="A135" s="235">
        <v>5</v>
      </c>
      <c r="B135" s="236" t="s">
        <v>371</v>
      </c>
      <c r="C135" s="239">
        <v>4</v>
      </c>
      <c r="D135" s="239">
        <v>2</v>
      </c>
      <c r="E135" s="239">
        <f t="shared" si="18"/>
        <v>-2</v>
      </c>
      <c r="F135" s="238">
        <f t="shared" si="19"/>
        <v>-0.5</v>
      </c>
    </row>
    <row r="136" spans="1:6" ht="20.25" customHeight="1" x14ac:dyDescent="0.3">
      <c r="A136" s="235">
        <v>6</v>
      </c>
      <c r="B136" s="236" t="s">
        <v>370</v>
      </c>
      <c r="C136" s="239">
        <v>13</v>
      </c>
      <c r="D136" s="239">
        <v>6</v>
      </c>
      <c r="E136" s="239">
        <f t="shared" si="18"/>
        <v>-7</v>
      </c>
      <c r="F136" s="238">
        <f t="shared" si="19"/>
        <v>-0.53846153846153844</v>
      </c>
    </row>
    <row r="137" spans="1:6" ht="20.25" customHeight="1" x14ac:dyDescent="0.3">
      <c r="A137" s="235">
        <v>7</v>
      </c>
      <c r="B137" s="236" t="s">
        <v>436</v>
      </c>
      <c r="C137" s="239">
        <v>43</v>
      </c>
      <c r="D137" s="239">
        <v>77</v>
      </c>
      <c r="E137" s="239">
        <f t="shared" si="18"/>
        <v>34</v>
      </c>
      <c r="F137" s="238">
        <f t="shared" si="19"/>
        <v>0.79069767441860461</v>
      </c>
    </row>
    <row r="138" spans="1:6" ht="20.25" customHeight="1" x14ac:dyDescent="0.3">
      <c r="A138" s="235">
        <v>8</v>
      </c>
      <c r="B138" s="236" t="s">
        <v>437</v>
      </c>
      <c r="C138" s="239">
        <v>8</v>
      </c>
      <c r="D138" s="239">
        <v>5</v>
      </c>
      <c r="E138" s="239">
        <f t="shared" si="18"/>
        <v>-3</v>
      </c>
      <c r="F138" s="238">
        <f t="shared" si="19"/>
        <v>-0.375</v>
      </c>
    </row>
    <row r="139" spans="1:6" ht="20.25" customHeight="1" x14ac:dyDescent="0.3">
      <c r="A139" s="235">
        <v>9</v>
      </c>
      <c r="B139" s="236" t="s">
        <v>438</v>
      </c>
      <c r="C139" s="239">
        <v>2</v>
      </c>
      <c r="D139" s="239">
        <v>1</v>
      </c>
      <c r="E139" s="239">
        <f t="shared" si="18"/>
        <v>-1</v>
      </c>
      <c r="F139" s="238">
        <f t="shared" si="19"/>
        <v>-0.5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185156</v>
      </c>
      <c r="D140" s="243">
        <f>+D131+D133</f>
        <v>46710</v>
      </c>
      <c r="E140" s="243">
        <f t="shared" si="18"/>
        <v>-138446</v>
      </c>
      <c r="F140" s="244">
        <f t="shared" si="19"/>
        <v>-0.74772624165568491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102193</v>
      </c>
      <c r="D141" s="243">
        <f>+D132+D134</f>
        <v>27115</v>
      </c>
      <c r="E141" s="243">
        <f t="shared" si="18"/>
        <v>-75078</v>
      </c>
      <c r="F141" s="244">
        <f t="shared" si="19"/>
        <v>-0.7346687150783322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1261798</v>
      </c>
      <c r="D183" s="237">
        <v>1300892</v>
      </c>
      <c r="E183" s="237">
        <f t="shared" ref="E183:E193" si="26">D183-C183</f>
        <v>39094</v>
      </c>
      <c r="F183" s="238">
        <f t="shared" ref="F183:F193" si="27">IF(C183=0,0,E183/C183)</f>
        <v>3.0982772202840708E-2</v>
      </c>
    </row>
    <row r="184" spans="1:6" ht="20.25" customHeight="1" x14ac:dyDescent="0.3">
      <c r="A184" s="235">
        <v>2</v>
      </c>
      <c r="B184" s="236" t="s">
        <v>433</v>
      </c>
      <c r="C184" s="237">
        <v>668469</v>
      </c>
      <c r="D184" s="237">
        <v>676025</v>
      </c>
      <c r="E184" s="237">
        <f t="shared" si="26"/>
        <v>7556</v>
      </c>
      <c r="F184" s="238">
        <f t="shared" si="27"/>
        <v>1.1303441146859465E-2</v>
      </c>
    </row>
    <row r="185" spans="1:6" ht="20.25" customHeight="1" x14ac:dyDescent="0.3">
      <c r="A185" s="235">
        <v>3</v>
      </c>
      <c r="B185" s="236" t="s">
        <v>434</v>
      </c>
      <c r="C185" s="237">
        <v>1049973</v>
      </c>
      <c r="D185" s="237">
        <v>1004779</v>
      </c>
      <c r="E185" s="237">
        <f t="shared" si="26"/>
        <v>-45194</v>
      </c>
      <c r="F185" s="238">
        <f t="shared" si="27"/>
        <v>-4.3043011582202591E-2</v>
      </c>
    </row>
    <row r="186" spans="1:6" ht="20.25" customHeight="1" x14ac:dyDescent="0.3">
      <c r="A186" s="235">
        <v>4</v>
      </c>
      <c r="B186" s="236" t="s">
        <v>435</v>
      </c>
      <c r="C186" s="237">
        <v>312895</v>
      </c>
      <c r="D186" s="237">
        <v>299171</v>
      </c>
      <c r="E186" s="237">
        <f t="shared" si="26"/>
        <v>-13724</v>
      </c>
      <c r="F186" s="238">
        <f t="shared" si="27"/>
        <v>-4.3861359241918217E-2</v>
      </c>
    </row>
    <row r="187" spans="1:6" ht="20.25" customHeight="1" x14ac:dyDescent="0.3">
      <c r="A187" s="235">
        <v>5</v>
      </c>
      <c r="B187" s="236" t="s">
        <v>371</v>
      </c>
      <c r="C187" s="239">
        <v>45</v>
      </c>
      <c r="D187" s="239">
        <v>35</v>
      </c>
      <c r="E187" s="239">
        <f t="shared" si="26"/>
        <v>-10</v>
      </c>
      <c r="F187" s="238">
        <f t="shared" si="27"/>
        <v>-0.22222222222222221</v>
      </c>
    </row>
    <row r="188" spans="1:6" ht="20.25" customHeight="1" x14ac:dyDescent="0.3">
      <c r="A188" s="235">
        <v>6</v>
      </c>
      <c r="B188" s="236" t="s">
        <v>370</v>
      </c>
      <c r="C188" s="239">
        <v>226</v>
      </c>
      <c r="D188" s="239">
        <v>214</v>
      </c>
      <c r="E188" s="239">
        <f t="shared" si="26"/>
        <v>-12</v>
      </c>
      <c r="F188" s="238">
        <f t="shared" si="27"/>
        <v>-5.3097345132743362E-2</v>
      </c>
    </row>
    <row r="189" spans="1:6" ht="20.25" customHeight="1" x14ac:dyDescent="0.3">
      <c r="A189" s="235">
        <v>7</v>
      </c>
      <c r="B189" s="236" t="s">
        <v>436</v>
      </c>
      <c r="C189" s="239">
        <v>1068</v>
      </c>
      <c r="D189" s="239">
        <v>780</v>
      </c>
      <c r="E189" s="239">
        <f t="shared" si="26"/>
        <v>-288</v>
      </c>
      <c r="F189" s="238">
        <f t="shared" si="27"/>
        <v>-0.2696629213483146</v>
      </c>
    </row>
    <row r="190" spans="1:6" ht="20.25" customHeight="1" x14ac:dyDescent="0.3">
      <c r="A190" s="235">
        <v>8</v>
      </c>
      <c r="B190" s="236" t="s">
        <v>437</v>
      </c>
      <c r="C190" s="239">
        <v>94</v>
      </c>
      <c r="D190" s="239">
        <v>89</v>
      </c>
      <c r="E190" s="239">
        <f t="shared" si="26"/>
        <v>-5</v>
      </c>
      <c r="F190" s="238">
        <f t="shared" si="27"/>
        <v>-5.3191489361702128E-2</v>
      </c>
    </row>
    <row r="191" spans="1:6" ht="20.25" customHeight="1" x14ac:dyDescent="0.3">
      <c r="A191" s="235">
        <v>9</v>
      </c>
      <c r="B191" s="236" t="s">
        <v>438</v>
      </c>
      <c r="C191" s="239">
        <v>30</v>
      </c>
      <c r="D191" s="239">
        <v>15</v>
      </c>
      <c r="E191" s="239">
        <f t="shared" si="26"/>
        <v>-15</v>
      </c>
      <c r="F191" s="238">
        <f t="shared" si="27"/>
        <v>-0.5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2311771</v>
      </c>
      <c r="D192" s="243">
        <f>+D183+D185</f>
        <v>2305671</v>
      </c>
      <c r="E192" s="243">
        <f t="shared" si="26"/>
        <v>-6100</v>
      </c>
      <c r="F192" s="244">
        <f t="shared" si="27"/>
        <v>-2.6386696606194989E-3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981364</v>
      </c>
      <c r="D193" s="243">
        <f>+D184+D186</f>
        <v>975196</v>
      </c>
      <c r="E193" s="243">
        <f t="shared" si="26"/>
        <v>-6168</v>
      </c>
      <c r="F193" s="244">
        <f t="shared" si="27"/>
        <v>-6.2851296766541264E-3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457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17193417</v>
      </c>
      <c r="D198" s="243">
        <f t="shared" si="28"/>
        <v>17500425</v>
      </c>
      <c r="E198" s="243">
        <f t="shared" ref="E198:E208" si="29">D198-C198</f>
        <v>307008</v>
      </c>
      <c r="F198" s="251">
        <f t="shared" ref="F198:F208" si="30">IF(C198=0,0,E198/C198)</f>
        <v>1.7856136450363533E-2</v>
      </c>
    </row>
    <row r="199" spans="1:9" ht="20.25" customHeight="1" x14ac:dyDescent="0.3">
      <c r="A199" s="249"/>
      <c r="B199" s="250" t="s">
        <v>459</v>
      </c>
      <c r="C199" s="243">
        <f t="shared" si="28"/>
        <v>9182316</v>
      </c>
      <c r="D199" s="243">
        <f t="shared" si="28"/>
        <v>9396837</v>
      </c>
      <c r="E199" s="243">
        <f t="shared" si="29"/>
        <v>214521</v>
      </c>
      <c r="F199" s="251">
        <f t="shared" si="30"/>
        <v>2.336240660852883E-2</v>
      </c>
    </row>
    <row r="200" spans="1:9" ht="20.25" customHeight="1" x14ac:dyDescent="0.3">
      <c r="A200" s="249"/>
      <c r="B200" s="250" t="s">
        <v>460</v>
      </c>
      <c r="C200" s="243">
        <f t="shared" si="28"/>
        <v>13792239</v>
      </c>
      <c r="D200" s="243">
        <f t="shared" si="28"/>
        <v>16696338</v>
      </c>
      <c r="E200" s="243">
        <f t="shared" si="29"/>
        <v>2904099</v>
      </c>
      <c r="F200" s="251">
        <f t="shared" si="30"/>
        <v>0.21056037384502979</v>
      </c>
    </row>
    <row r="201" spans="1:9" ht="20.25" customHeight="1" x14ac:dyDescent="0.3">
      <c r="A201" s="249"/>
      <c r="B201" s="250" t="s">
        <v>461</v>
      </c>
      <c r="C201" s="243">
        <f t="shared" si="28"/>
        <v>4458383</v>
      </c>
      <c r="D201" s="243">
        <f t="shared" si="28"/>
        <v>5229762</v>
      </c>
      <c r="E201" s="243">
        <f t="shared" si="29"/>
        <v>771379</v>
      </c>
      <c r="F201" s="251">
        <f t="shared" si="30"/>
        <v>0.17301766133595969</v>
      </c>
    </row>
    <row r="202" spans="1:9" ht="20.25" customHeight="1" x14ac:dyDescent="0.3">
      <c r="A202" s="249"/>
      <c r="B202" s="250" t="s">
        <v>462</v>
      </c>
      <c r="C202" s="252">
        <f t="shared" si="28"/>
        <v>492</v>
      </c>
      <c r="D202" s="252">
        <f t="shared" si="28"/>
        <v>543</v>
      </c>
      <c r="E202" s="252">
        <f t="shared" si="29"/>
        <v>51</v>
      </c>
      <c r="F202" s="251">
        <f t="shared" si="30"/>
        <v>0.10365853658536585</v>
      </c>
    </row>
    <row r="203" spans="1:9" ht="20.25" customHeight="1" x14ac:dyDescent="0.3">
      <c r="A203" s="249"/>
      <c r="B203" s="250" t="s">
        <v>463</v>
      </c>
      <c r="C203" s="252">
        <f t="shared" si="28"/>
        <v>2322</v>
      </c>
      <c r="D203" s="252">
        <f t="shared" si="28"/>
        <v>2454</v>
      </c>
      <c r="E203" s="252">
        <f t="shared" si="29"/>
        <v>132</v>
      </c>
      <c r="F203" s="251">
        <f t="shared" si="30"/>
        <v>5.6847545219638244E-2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12630</v>
      </c>
      <c r="D204" s="252">
        <f t="shared" si="28"/>
        <v>15290</v>
      </c>
      <c r="E204" s="252">
        <f t="shared" si="29"/>
        <v>2660</v>
      </c>
      <c r="F204" s="251">
        <f t="shared" si="30"/>
        <v>0.21060965954077593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764</v>
      </c>
      <c r="D205" s="252">
        <f t="shared" si="28"/>
        <v>896</v>
      </c>
      <c r="E205" s="252">
        <f t="shared" si="29"/>
        <v>132</v>
      </c>
      <c r="F205" s="251">
        <f t="shared" si="30"/>
        <v>0.17277486910994763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309</v>
      </c>
      <c r="D206" s="252">
        <f t="shared" si="28"/>
        <v>258</v>
      </c>
      <c r="E206" s="252">
        <f t="shared" si="29"/>
        <v>-51</v>
      </c>
      <c r="F206" s="251">
        <f t="shared" si="30"/>
        <v>-0.1650485436893204</v>
      </c>
    </row>
    <row r="207" spans="1:9" ht="20.25" customHeight="1" x14ac:dyDescent="0.3">
      <c r="A207" s="249"/>
      <c r="B207" s="242" t="s">
        <v>467</v>
      </c>
      <c r="C207" s="243">
        <f>+C198+C200</f>
        <v>30985656</v>
      </c>
      <c r="D207" s="243">
        <f>+D198+D200</f>
        <v>34196763</v>
      </c>
      <c r="E207" s="243">
        <f t="shared" si="29"/>
        <v>3211107</v>
      </c>
      <c r="F207" s="251">
        <f t="shared" si="30"/>
        <v>0.1036320483258447</v>
      </c>
    </row>
    <row r="208" spans="1:9" ht="20.25" customHeight="1" x14ac:dyDescent="0.3">
      <c r="A208" s="249"/>
      <c r="B208" s="242" t="s">
        <v>468</v>
      </c>
      <c r="C208" s="243">
        <f>+C199+C201</f>
        <v>13640699</v>
      </c>
      <c r="D208" s="243">
        <f>+D199+D201</f>
        <v>14626599</v>
      </c>
      <c r="E208" s="243">
        <f t="shared" si="29"/>
        <v>985900</v>
      </c>
      <c r="F208" s="251">
        <f t="shared" si="30"/>
        <v>7.2276354752787958E-2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FILING&amp;RJOHN DEMPSEY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469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14024369</v>
      </c>
      <c r="D26" s="237">
        <v>16606388</v>
      </c>
      <c r="E26" s="237">
        <f t="shared" ref="E26:E36" si="2">D26-C26</f>
        <v>2582019</v>
      </c>
      <c r="F26" s="238">
        <f t="shared" ref="F26:F36" si="3">IF(C26=0,0,E26/C26)</f>
        <v>0.18410945975537296</v>
      </c>
    </row>
    <row r="27" spans="1:6" ht="20.25" customHeight="1" x14ac:dyDescent="0.3">
      <c r="A27" s="235">
        <v>2</v>
      </c>
      <c r="B27" s="236" t="s">
        <v>433</v>
      </c>
      <c r="C27" s="237">
        <v>4973707</v>
      </c>
      <c r="D27" s="237">
        <v>5874105</v>
      </c>
      <c r="E27" s="237">
        <f t="shared" si="2"/>
        <v>900398</v>
      </c>
      <c r="F27" s="238">
        <f t="shared" si="3"/>
        <v>0.18103157262782066</v>
      </c>
    </row>
    <row r="28" spans="1:6" ht="20.25" customHeight="1" x14ac:dyDescent="0.3">
      <c r="A28" s="235">
        <v>3</v>
      </c>
      <c r="B28" s="236" t="s">
        <v>434</v>
      </c>
      <c r="C28" s="237">
        <v>10093390</v>
      </c>
      <c r="D28" s="237">
        <v>10121340</v>
      </c>
      <c r="E28" s="237">
        <f t="shared" si="2"/>
        <v>27950</v>
      </c>
      <c r="F28" s="238">
        <f t="shared" si="3"/>
        <v>2.7691390107783412E-3</v>
      </c>
    </row>
    <row r="29" spans="1:6" ht="20.25" customHeight="1" x14ac:dyDescent="0.3">
      <c r="A29" s="235">
        <v>4</v>
      </c>
      <c r="B29" s="236" t="s">
        <v>435</v>
      </c>
      <c r="C29" s="237">
        <v>4315121</v>
      </c>
      <c r="D29" s="237">
        <v>4597944</v>
      </c>
      <c r="E29" s="237">
        <f t="shared" si="2"/>
        <v>282823</v>
      </c>
      <c r="F29" s="238">
        <f t="shared" si="3"/>
        <v>6.5542310401029313E-2</v>
      </c>
    </row>
    <row r="30" spans="1:6" ht="20.25" customHeight="1" x14ac:dyDescent="0.3">
      <c r="A30" s="235">
        <v>5</v>
      </c>
      <c r="B30" s="236" t="s">
        <v>371</v>
      </c>
      <c r="C30" s="239">
        <v>514</v>
      </c>
      <c r="D30" s="239">
        <v>459</v>
      </c>
      <c r="E30" s="239">
        <f t="shared" si="2"/>
        <v>-55</v>
      </c>
      <c r="F30" s="238">
        <f t="shared" si="3"/>
        <v>-0.10700389105058365</v>
      </c>
    </row>
    <row r="31" spans="1:6" ht="20.25" customHeight="1" x14ac:dyDescent="0.3">
      <c r="A31" s="235">
        <v>6</v>
      </c>
      <c r="B31" s="236" t="s">
        <v>370</v>
      </c>
      <c r="C31" s="239">
        <v>3558</v>
      </c>
      <c r="D31" s="239">
        <v>4185</v>
      </c>
      <c r="E31" s="239">
        <f t="shared" si="2"/>
        <v>627</v>
      </c>
      <c r="F31" s="238">
        <f t="shared" si="3"/>
        <v>0.17622259696458684</v>
      </c>
    </row>
    <row r="32" spans="1:6" ht="20.25" customHeight="1" x14ac:dyDescent="0.3">
      <c r="A32" s="235">
        <v>7</v>
      </c>
      <c r="B32" s="236" t="s">
        <v>436</v>
      </c>
      <c r="C32" s="239">
        <v>12420</v>
      </c>
      <c r="D32" s="239">
        <v>13337</v>
      </c>
      <c r="E32" s="239">
        <f t="shared" si="2"/>
        <v>917</v>
      </c>
      <c r="F32" s="238">
        <f t="shared" si="3"/>
        <v>7.3832528180354268E-2</v>
      </c>
    </row>
    <row r="33" spans="1:6" ht="20.25" customHeight="1" x14ac:dyDescent="0.3">
      <c r="A33" s="235">
        <v>8</v>
      </c>
      <c r="B33" s="236" t="s">
        <v>437</v>
      </c>
      <c r="C33" s="239">
        <v>1639</v>
      </c>
      <c r="D33" s="239">
        <v>1716</v>
      </c>
      <c r="E33" s="239">
        <f t="shared" si="2"/>
        <v>77</v>
      </c>
      <c r="F33" s="238">
        <f t="shared" si="3"/>
        <v>4.6979865771812082E-2</v>
      </c>
    </row>
    <row r="34" spans="1:6" ht="20.25" customHeight="1" x14ac:dyDescent="0.3">
      <c r="A34" s="235">
        <v>9</v>
      </c>
      <c r="B34" s="236" t="s">
        <v>438</v>
      </c>
      <c r="C34" s="239">
        <v>67</v>
      </c>
      <c r="D34" s="239">
        <v>52</v>
      </c>
      <c r="E34" s="239">
        <f t="shared" si="2"/>
        <v>-15</v>
      </c>
      <c r="F34" s="238">
        <f t="shared" si="3"/>
        <v>-0.22388059701492538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24117759</v>
      </c>
      <c r="D35" s="243">
        <f>+D26+D28</f>
        <v>26727728</v>
      </c>
      <c r="E35" s="243">
        <f t="shared" si="2"/>
        <v>2609969</v>
      </c>
      <c r="F35" s="244">
        <f t="shared" si="3"/>
        <v>0.10821772454065902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9288828</v>
      </c>
      <c r="D36" s="243">
        <f>+D27+D29</f>
        <v>10472049</v>
      </c>
      <c r="E36" s="243">
        <f t="shared" si="2"/>
        <v>1183221</v>
      </c>
      <c r="F36" s="244">
        <f t="shared" si="3"/>
        <v>0.12738108618223956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433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434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435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371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370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436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437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438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2055065</v>
      </c>
      <c r="D86" s="237">
        <v>3476729</v>
      </c>
      <c r="E86" s="237">
        <f t="shared" ref="E86:E96" si="12">D86-C86</f>
        <v>1421664</v>
      </c>
      <c r="F86" s="238">
        <f t="shared" ref="F86:F96" si="13">IF(C86=0,0,E86/C86)</f>
        <v>0.69178541797948001</v>
      </c>
    </row>
    <row r="87" spans="1:6" ht="20.25" customHeight="1" x14ac:dyDescent="0.3">
      <c r="A87" s="235">
        <v>2</v>
      </c>
      <c r="B87" s="236" t="s">
        <v>433</v>
      </c>
      <c r="C87" s="237">
        <v>764623</v>
      </c>
      <c r="D87" s="237">
        <v>1261118</v>
      </c>
      <c r="E87" s="237">
        <f t="shared" si="12"/>
        <v>496495</v>
      </c>
      <c r="F87" s="238">
        <f t="shared" si="13"/>
        <v>0.64933307002274321</v>
      </c>
    </row>
    <row r="88" spans="1:6" ht="20.25" customHeight="1" x14ac:dyDescent="0.3">
      <c r="A88" s="235">
        <v>3</v>
      </c>
      <c r="B88" s="236" t="s">
        <v>434</v>
      </c>
      <c r="C88" s="237">
        <v>1920528</v>
      </c>
      <c r="D88" s="237">
        <v>2208968</v>
      </c>
      <c r="E88" s="237">
        <f t="shared" si="12"/>
        <v>288440</v>
      </c>
      <c r="F88" s="238">
        <f t="shared" si="13"/>
        <v>0.15018786500379061</v>
      </c>
    </row>
    <row r="89" spans="1:6" ht="20.25" customHeight="1" x14ac:dyDescent="0.3">
      <c r="A89" s="235">
        <v>4</v>
      </c>
      <c r="B89" s="236" t="s">
        <v>435</v>
      </c>
      <c r="C89" s="237">
        <v>716377</v>
      </c>
      <c r="D89" s="237">
        <v>828452</v>
      </c>
      <c r="E89" s="237">
        <f t="shared" si="12"/>
        <v>112075</v>
      </c>
      <c r="F89" s="238">
        <f t="shared" si="13"/>
        <v>0.15644695460630367</v>
      </c>
    </row>
    <row r="90" spans="1:6" ht="20.25" customHeight="1" x14ac:dyDescent="0.3">
      <c r="A90" s="235">
        <v>5</v>
      </c>
      <c r="B90" s="236" t="s">
        <v>371</v>
      </c>
      <c r="C90" s="239">
        <v>88</v>
      </c>
      <c r="D90" s="239">
        <v>103</v>
      </c>
      <c r="E90" s="239">
        <f t="shared" si="12"/>
        <v>15</v>
      </c>
      <c r="F90" s="238">
        <f t="shared" si="13"/>
        <v>0.17045454545454544</v>
      </c>
    </row>
    <row r="91" spans="1:6" ht="20.25" customHeight="1" x14ac:dyDescent="0.3">
      <c r="A91" s="235">
        <v>6</v>
      </c>
      <c r="B91" s="236" t="s">
        <v>370</v>
      </c>
      <c r="C91" s="239">
        <v>563</v>
      </c>
      <c r="D91" s="239">
        <v>916</v>
      </c>
      <c r="E91" s="239">
        <f t="shared" si="12"/>
        <v>353</v>
      </c>
      <c r="F91" s="238">
        <f t="shared" si="13"/>
        <v>0.62699822380106573</v>
      </c>
    </row>
    <row r="92" spans="1:6" ht="20.25" customHeight="1" x14ac:dyDescent="0.3">
      <c r="A92" s="235">
        <v>7</v>
      </c>
      <c r="B92" s="236" t="s">
        <v>436</v>
      </c>
      <c r="C92" s="239">
        <v>1908</v>
      </c>
      <c r="D92" s="239">
        <v>2264</v>
      </c>
      <c r="E92" s="239">
        <f t="shared" si="12"/>
        <v>356</v>
      </c>
      <c r="F92" s="238">
        <f t="shared" si="13"/>
        <v>0.18658280922431866</v>
      </c>
    </row>
    <row r="93" spans="1:6" ht="20.25" customHeight="1" x14ac:dyDescent="0.3">
      <c r="A93" s="235">
        <v>8</v>
      </c>
      <c r="B93" s="236" t="s">
        <v>437</v>
      </c>
      <c r="C93" s="239">
        <v>244</v>
      </c>
      <c r="D93" s="239">
        <v>274</v>
      </c>
      <c r="E93" s="239">
        <f t="shared" si="12"/>
        <v>30</v>
      </c>
      <c r="F93" s="238">
        <f t="shared" si="13"/>
        <v>0.12295081967213115</v>
      </c>
    </row>
    <row r="94" spans="1:6" ht="20.25" customHeight="1" x14ac:dyDescent="0.3">
      <c r="A94" s="235">
        <v>9</v>
      </c>
      <c r="B94" s="236" t="s">
        <v>438</v>
      </c>
      <c r="C94" s="239">
        <v>8</v>
      </c>
      <c r="D94" s="239">
        <v>12</v>
      </c>
      <c r="E94" s="239">
        <f t="shared" si="12"/>
        <v>4</v>
      </c>
      <c r="F94" s="238">
        <f t="shared" si="13"/>
        <v>0.5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3975593</v>
      </c>
      <c r="D95" s="243">
        <f>+D86+D88</f>
        <v>5685697</v>
      </c>
      <c r="E95" s="243">
        <f t="shared" si="12"/>
        <v>1710104</v>
      </c>
      <c r="F95" s="244">
        <f t="shared" si="13"/>
        <v>0.43015067186203415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1481000</v>
      </c>
      <c r="D96" s="243">
        <f>+D87+D89</f>
        <v>2089570</v>
      </c>
      <c r="E96" s="243">
        <f t="shared" si="12"/>
        <v>608570</v>
      </c>
      <c r="F96" s="244">
        <f t="shared" si="13"/>
        <v>0.41091829844699529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5104239</v>
      </c>
      <c r="D98" s="237">
        <v>5973008</v>
      </c>
      <c r="E98" s="237">
        <f t="shared" ref="E98:E108" si="14">D98-C98</f>
        <v>868769</v>
      </c>
      <c r="F98" s="238">
        <f t="shared" ref="F98:F108" si="15">IF(C98=0,0,E98/C98)</f>
        <v>0.17020539202807705</v>
      </c>
    </row>
    <row r="99" spans="1:7" ht="20.25" customHeight="1" x14ac:dyDescent="0.3">
      <c r="A99" s="235">
        <v>2</v>
      </c>
      <c r="B99" s="236" t="s">
        <v>433</v>
      </c>
      <c r="C99" s="237">
        <v>1791170</v>
      </c>
      <c r="D99" s="237">
        <v>2256474</v>
      </c>
      <c r="E99" s="237">
        <f t="shared" si="14"/>
        <v>465304</v>
      </c>
      <c r="F99" s="238">
        <f t="shared" si="15"/>
        <v>0.25977657062143739</v>
      </c>
    </row>
    <row r="100" spans="1:7" ht="20.25" customHeight="1" x14ac:dyDescent="0.3">
      <c r="A100" s="235">
        <v>3</v>
      </c>
      <c r="B100" s="236" t="s">
        <v>434</v>
      </c>
      <c r="C100" s="237">
        <v>3970452</v>
      </c>
      <c r="D100" s="237">
        <v>3988014</v>
      </c>
      <c r="E100" s="237">
        <f t="shared" si="14"/>
        <v>17562</v>
      </c>
      <c r="F100" s="238">
        <f t="shared" si="15"/>
        <v>4.4231739862363277E-3</v>
      </c>
    </row>
    <row r="101" spans="1:7" ht="20.25" customHeight="1" x14ac:dyDescent="0.3">
      <c r="A101" s="235">
        <v>4</v>
      </c>
      <c r="B101" s="236" t="s">
        <v>435</v>
      </c>
      <c r="C101" s="237">
        <v>1710884</v>
      </c>
      <c r="D101" s="237">
        <v>1942272</v>
      </c>
      <c r="E101" s="237">
        <f t="shared" si="14"/>
        <v>231388</v>
      </c>
      <c r="F101" s="238">
        <f t="shared" si="15"/>
        <v>0.13524470390745369</v>
      </c>
    </row>
    <row r="102" spans="1:7" ht="20.25" customHeight="1" x14ac:dyDescent="0.3">
      <c r="A102" s="235">
        <v>5</v>
      </c>
      <c r="B102" s="236" t="s">
        <v>371</v>
      </c>
      <c r="C102" s="239">
        <v>228</v>
      </c>
      <c r="D102" s="239">
        <v>194</v>
      </c>
      <c r="E102" s="239">
        <f t="shared" si="14"/>
        <v>-34</v>
      </c>
      <c r="F102" s="238">
        <f t="shared" si="15"/>
        <v>-0.14912280701754385</v>
      </c>
    </row>
    <row r="103" spans="1:7" ht="20.25" customHeight="1" x14ac:dyDescent="0.3">
      <c r="A103" s="235">
        <v>6</v>
      </c>
      <c r="B103" s="236" t="s">
        <v>370</v>
      </c>
      <c r="C103" s="239">
        <v>1298</v>
      </c>
      <c r="D103" s="239">
        <v>1576</v>
      </c>
      <c r="E103" s="239">
        <f t="shared" si="14"/>
        <v>278</v>
      </c>
      <c r="F103" s="238">
        <f t="shared" si="15"/>
        <v>0.21417565485362094</v>
      </c>
    </row>
    <row r="104" spans="1:7" ht="20.25" customHeight="1" x14ac:dyDescent="0.3">
      <c r="A104" s="235">
        <v>7</v>
      </c>
      <c r="B104" s="236" t="s">
        <v>436</v>
      </c>
      <c r="C104" s="239">
        <v>5292</v>
      </c>
      <c r="D104" s="239">
        <v>5621</v>
      </c>
      <c r="E104" s="239">
        <f t="shared" si="14"/>
        <v>329</v>
      </c>
      <c r="F104" s="238">
        <f t="shared" si="15"/>
        <v>6.2169312169312166E-2</v>
      </c>
    </row>
    <row r="105" spans="1:7" ht="20.25" customHeight="1" x14ac:dyDescent="0.3">
      <c r="A105" s="235">
        <v>8</v>
      </c>
      <c r="B105" s="236" t="s">
        <v>437</v>
      </c>
      <c r="C105" s="239">
        <v>678</v>
      </c>
      <c r="D105" s="239">
        <v>660</v>
      </c>
      <c r="E105" s="239">
        <f t="shared" si="14"/>
        <v>-18</v>
      </c>
      <c r="F105" s="238">
        <f t="shared" si="15"/>
        <v>-2.6548672566371681E-2</v>
      </c>
    </row>
    <row r="106" spans="1:7" ht="20.25" customHeight="1" x14ac:dyDescent="0.3">
      <c r="A106" s="235">
        <v>9</v>
      </c>
      <c r="B106" s="236" t="s">
        <v>438</v>
      </c>
      <c r="C106" s="239">
        <v>26</v>
      </c>
      <c r="D106" s="239">
        <v>22</v>
      </c>
      <c r="E106" s="239">
        <f t="shared" si="14"/>
        <v>-4</v>
      </c>
      <c r="F106" s="238">
        <f t="shared" si="15"/>
        <v>-0.15384615384615385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9074691</v>
      </c>
      <c r="D107" s="243">
        <f>+D98+D100</f>
        <v>9961022</v>
      </c>
      <c r="E107" s="243">
        <f t="shared" si="14"/>
        <v>886331</v>
      </c>
      <c r="F107" s="244">
        <f t="shared" si="15"/>
        <v>9.7670653469082311E-2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3502054</v>
      </c>
      <c r="D108" s="243">
        <f>+D99+D101</f>
        <v>4198746</v>
      </c>
      <c r="E108" s="243">
        <f t="shared" si="14"/>
        <v>696692</v>
      </c>
      <c r="F108" s="244">
        <f t="shared" si="15"/>
        <v>0.198938108892667</v>
      </c>
    </row>
    <row r="109" spans="1:7" s="240" customFormat="1" ht="20.25" customHeight="1" x14ac:dyDescent="0.3">
      <c r="A109" s="682" t="s">
        <v>44</v>
      </c>
      <c r="B109" s="684" t="s">
        <v>476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21183673</v>
      </c>
      <c r="D112" s="243">
        <f t="shared" si="16"/>
        <v>26056125</v>
      </c>
      <c r="E112" s="243">
        <f t="shared" ref="E112:E122" si="17">D112-C112</f>
        <v>4872452</v>
      </c>
      <c r="F112" s="244">
        <f t="shared" ref="F112:F122" si="18">IF(C112=0,0,E112/C112)</f>
        <v>0.23000978158981211</v>
      </c>
    </row>
    <row r="113" spans="1:6" ht="20.25" customHeight="1" x14ac:dyDescent="0.3">
      <c r="A113" s="249"/>
      <c r="B113" s="250" t="s">
        <v>459</v>
      </c>
      <c r="C113" s="243">
        <f t="shared" si="16"/>
        <v>7529500</v>
      </c>
      <c r="D113" s="243">
        <f t="shared" si="16"/>
        <v>9391697</v>
      </c>
      <c r="E113" s="243">
        <f t="shared" si="17"/>
        <v>1862197</v>
      </c>
      <c r="F113" s="244">
        <f t="shared" si="18"/>
        <v>0.24732014077960024</v>
      </c>
    </row>
    <row r="114" spans="1:6" ht="20.25" customHeight="1" x14ac:dyDescent="0.3">
      <c r="A114" s="249"/>
      <c r="B114" s="250" t="s">
        <v>460</v>
      </c>
      <c r="C114" s="243">
        <f t="shared" si="16"/>
        <v>15984370</v>
      </c>
      <c r="D114" s="243">
        <f t="shared" si="16"/>
        <v>16318322</v>
      </c>
      <c r="E114" s="243">
        <f t="shared" si="17"/>
        <v>333952</v>
      </c>
      <c r="F114" s="244">
        <f t="shared" si="18"/>
        <v>2.0892409272307885E-2</v>
      </c>
    </row>
    <row r="115" spans="1:6" ht="20.25" customHeight="1" x14ac:dyDescent="0.3">
      <c r="A115" s="249"/>
      <c r="B115" s="250" t="s">
        <v>461</v>
      </c>
      <c r="C115" s="243">
        <f t="shared" si="16"/>
        <v>6742382</v>
      </c>
      <c r="D115" s="243">
        <f t="shared" si="16"/>
        <v>7368668</v>
      </c>
      <c r="E115" s="243">
        <f t="shared" si="17"/>
        <v>626286</v>
      </c>
      <c r="F115" s="244">
        <f t="shared" si="18"/>
        <v>9.2887943756375713E-2</v>
      </c>
    </row>
    <row r="116" spans="1:6" ht="20.25" customHeight="1" x14ac:dyDescent="0.3">
      <c r="A116" s="249"/>
      <c r="B116" s="250" t="s">
        <v>462</v>
      </c>
      <c r="C116" s="252">
        <f t="shared" si="16"/>
        <v>830</v>
      </c>
      <c r="D116" s="252">
        <f t="shared" si="16"/>
        <v>756</v>
      </c>
      <c r="E116" s="252">
        <f t="shared" si="17"/>
        <v>-74</v>
      </c>
      <c r="F116" s="244">
        <f t="shared" si="18"/>
        <v>-8.91566265060241E-2</v>
      </c>
    </row>
    <row r="117" spans="1:6" ht="20.25" customHeight="1" x14ac:dyDescent="0.3">
      <c r="A117" s="249"/>
      <c r="B117" s="250" t="s">
        <v>463</v>
      </c>
      <c r="C117" s="252">
        <f t="shared" si="16"/>
        <v>5419</v>
      </c>
      <c r="D117" s="252">
        <f t="shared" si="16"/>
        <v>6677</v>
      </c>
      <c r="E117" s="252">
        <f t="shared" si="17"/>
        <v>1258</v>
      </c>
      <c r="F117" s="244">
        <f t="shared" si="18"/>
        <v>0.23214615242664699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19620</v>
      </c>
      <c r="D118" s="252">
        <f t="shared" si="16"/>
        <v>21222</v>
      </c>
      <c r="E118" s="252">
        <f t="shared" si="17"/>
        <v>1602</v>
      </c>
      <c r="F118" s="244">
        <f t="shared" si="18"/>
        <v>8.1651376146788995E-2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2561</v>
      </c>
      <c r="D119" s="252">
        <f t="shared" si="16"/>
        <v>2650</v>
      </c>
      <c r="E119" s="252">
        <f t="shared" si="17"/>
        <v>89</v>
      </c>
      <c r="F119" s="244">
        <f t="shared" si="18"/>
        <v>3.4752049980476374E-2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101</v>
      </c>
      <c r="D120" s="252">
        <f t="shared" si="16"/>
        <v>86</v>
      </c>
      <c r="E120" s="252">
        <f t="shared" si="17"/>
        <v>-15</v>
      </c>
      <c r="F120" s="244">
        <f t="shared" si="18"/>
        <v>-0.14851485148514851</v>
      </c>
    </row>
    <row r="121" spans="1:6" ht="39.950000000000003" customHeight="1" x14ac:dyDescent="0.3">
      <c r="A121" s="249"/>
      <c r="B121" s="242" t="s">
        <v>439</v>
      </c>
      <c r="C121" s="243">
        <f>+C112+C114</f>
        <v>37168043</v>
      </c>
      <c r="D121" s="243">
        <f>+D112+D114</f>
        <v>42374447</v>
      </c>
      <c r="E121" s="243">
        <f t="shared" si="17"/>
        <v>5206404</v>
      </c>
      <c r="F121" s="244">
        <f t="shared" si="18"/>
        <v>0.14007743157206312</v>
      </c>
    </row>
    <row r="122" spans="1:6" ht="39.950000000000003" customHeight="1" x14ac:dyDescent="0.3">
      <c r="A122" s="249"/>
      <c r="B122" s="242" t="s">
        <v>468</v>
      </c>
      <c r="C122" s="243">
        <f>+C113+C115</f>
        <v>14271882</v>
      </c>
      <c r="D122" s="243">
        <f>+D113+D115</f>
        <v>16760365</v>
      </c>
      <c r="E122" s="243">
        <f t="shared" si="17"/>
        <v>2488483</v>
      </c>
      <c r="F122" s="244">
        <f t="shared" si="18"/>
        <v>0.17436263836822641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FILING&amp;RJOHN DEMPSEY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97647270</v>
      </c>
      <c r="D13" s="23">
        <v>96175000</v>
      </c>
      <c r="E13" s="23">
        <f t="shared" ref="E13:E22" si="0">D13-C13</f>
        <v>-1472270</v>
      </c>
      <c r="F13" s="24">
        <f t="shared" ref="F13:F22" si="1">IF(C13=0,0,E13/C13)</f>
        <v>-1.5077431248205915E-2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42279080</v>
      </c>
      <c r="D15" s="23">
        <v>42659000</v>
      </c>
      <c r="E15" s="23">
        <f t="shared" si="0"/>
        <v>379920</v>
      </c>
      <c r="F15" s="24">
        <f t="shared" si="1"/>
        <v>8.9860044258295111E-3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30817478</v>
      </c>
      <c r="D17" s="23">
        <v>6823000</v>
      </c>
      <c r="E17" s="23">
        <f t="shared" si="0"/>
        <v>-23994478</v>
      </c>
      <c r="F17" s="24">
        <f t="shared" si="1"/>
        <v>-0.7785996634766803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9574684</v>
      </c>
      <c r="D19" s="23">
        <v>10050000</v>
      </c>
      <c r="E19" s="23">
        <f t="shared" si="0"/>
        <v>475316</v>
      </c>
      <c r="F19" s="24">
        <f t="shared" si="1"/>
        <v>4.9642996050835726E-2</v>
      </c>
    </row>
    <row r="20" spans="1:11" ht="24" customHeight="1" x14ac:dyDescent="0.2">
      <c r="A20" s="21">
        <v>8</v>
      </c>
      <c r="B20" s="22" t="s">
        <v>23</v>
      </c>
      <c r="C20" s="23">
        <v>6462824</v>
      </c>
      <c r="D20" s="23">
        <v>8682000</v>
      </c>
      <c r="E20" s="23">
        <f t="shared" si="0"/>
        <v>2219176</v>
      </c>
      <c r="F20" s="24">
        <f t="shared" si="1"/>
        <v>0.34337558937083851</v>
      </c>
    </row>
    <row r="21" spans="1:11" ht="24" customHeight="1" x14ac:dyDescent="0.2">
      <c r="A21" s="21">
        <v>9</v>
      </c>
      <c r="B21" s="22" t="s">
        <v>24</v>
      </c>
      <c r="C21" s="23">
        <v>43679551</v>
      </c>
      <c r="D21" s="23">
        <v>43232000</v>
      </c>
      <c r="E21" s="23">
        <f t="shared" si="0"/>
        <v>-447551</v>
      </c>
      <c r="F21" s="24">
        <f t="shared" si="1"/>
        <v>-1.0246236276558796E-2</v>
      </c>
    </row>
    <row r="22" spans="1:11" ht="24" customHeight="1" x14ac:dyDescent="0.25">
      <c r="A22" s="25"/>
      <c r="B22" s="26" t="s">
        <v>25</v>
      </c>
      <c r="C22" s="27">
        <f>SUM(C13:C21)</f>
        <v>230460887</v>
      </c>
      <c r="D22" s="27">
        <f>SUM(D13:D21)</f>
        <v>207621000</v>
      </c>
      <c r="E22" s="27">
        <f t="shared" si="0"/>
        <v>-22839887</v>
      </c>
      <c r="F22" s="28">
        <f t="shared" si="1"/>
        <v>-9.9105263792549747E-2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5258103</v>
      </c>
      <c r="D28" s="23">
        <v>4370000</v>
      </c>
      <c r="E28" s="23">
        <f>D28-C28</f>
        <v>-888103</v>
      </c>
      <c r="F28" s="24">
        <f>IF(C28=0,0,E28/C28)</f>
        <v>-0.16890178834457978</v>
      </c>
    </row>
    <row r="29" spans="1:11" ht="35.1" customHeight="1" x14ac:dyDescent="0.25">
      <c r="A29" s="25"/>
      <c r="B29" s="26" t="s">
        <v>32</v>
      </c>
      <c r="C29" s="27">
        <f>SUM(C25:C28)</f>
        <v>5258103</v>
      </c>
      <c r="D29" s="27">
        <f>SUM(D25:D28)</f>
        <v>4370000</v>
      </c>
      <c r="E29" s="27">
        <f>D29-C29</f>
        <v>-888103</v>
      </c>
      <c r="F29" s="28">
        <f>IF(C29=0,0,E29/C29)</f>
        <v>-0.16890178834457978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7175371</v>
      </c>
      <c r="D33" s="23">
        <v>4340000</v>
      </c>
      <c r="E33" s="23">
        <f>D33-C33</f>
        <v>-2835371</v>
      </c>
      <c r="F33" s="24">
        <f>IF(C33=0,0,E33/C33)</f>
        <v>-0.39515322622342453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605499201</v>
      </c>
      <c r="D36" s="23">
        <v>670458000</v>
      </c>
      <c r="E36" s="23">
        <f>D36-C36</f>
        <v>64958799</v>
      </c>
      <c r="F36" s="24">
        <f>IF(C36=0,0,E36/C36)</f>
        <v>0.10728139507487146</v>
      </c>
    </row>
    <row r="37" spans="1:8" ht="24" customHeight="1" x14ac:dyDescent="0.2">
      <c r="A37" s="21">
        <v>2</v>
      </c>
      <c r="B37" s="22" t="s">
        <v>39</v>
      </c>
      <c r="C37" s="23">
        <v>402364047</v>
      </c>
      <c r="D37" s="23">
        <v>421284000</v>
      </c>
      <c r="E37" s="23">
        <f>D37-C37</f>
        <v>18919953</v>
      </c>
      <c r="F37" s="23">
        <f>IF(C37=0,0,E37/C37)</f>
        <v>4.7021977090313936E-2</v>
      </c>
    </row>
    <row r="38" spans="1:8" ht="24" customHeight="1" x14ac:dyDescent="0.25">
      <c r="A38" s="25"/>
      <c r="B38" s="26" t="s">
        <v>40</v>
      </c>
      <c r="C38" s="27">
        <f>C36-C37</f>
        <v>203135154</v>
      </c>
      <c r="D38" s="27">
        <f>D36-D37</f>
        <v>249174000</v>
      </c>
      <c r="E38" s="27">
        <f>D38-C38</f>
        <v>46038846</v>
      </c>
      <c r="F38" s="28">
        <f>IF(C38=0,0,E38/C38)</f>
        <v>0.22664145074564493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73977330</v>
      </c>
      <c r="D40" s="23">
        <v>49120000</v>
      </c>
      <c r="E40" s="23">
        <f>D40-C40</f>
        <v>-24857330</v>
      </c>
      <c r="F40" s="24">
        <f>IF(C40=0,0,E40/C40)</f>
        <v>-0.33601280284108659</v>
      </c>
    </row>
    <row r="41" spans="1:8" ht="24" customHeight="1" x14ac:dyDescent="0.25">
      <c r="A41" s="25"/>
      <c r="B41" s="26" t="s">
        <v>42</v>
      </c>
      <c r="C41" s="27">
        <f>+C38+C40</f>
        <v>277112484</v>
      </c>
      <c r="D41" s="27">
        <f>+D38+D40</f>
        <v>298294000</v>
      </c>
      <c r="E41" s="27">
        <f>D41-C41</f>
        <v>21181516</v>
      </c>
      <c r="F41" s="28">
        <f>IF(C41=0,0,E41/C41)</f>
        <v>7.643652748607313E-2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520006845</v>
      </c>
      <c r="D43" s="27">
        <f>D22+D29+D31+D32+D33+D41</f>
        <v>514625000</v>
      </c>
      <c r="E43" s="27">
        <f>D43-C43</f>
        <v>-5381845</v>
      </c>
      <c r="F43" s="28">
        <f>IF(C43=0,0,E43/C43)</f>
        <v>-1.0349565686967063E-2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34376669</v>
      </c>
      <c r="D49" s="23">
        <v>30557000</v>
      </c>
      <c r="E49" s="23">
        <f t="shared" ref="E49:E56" si="2">D49-C49</f>
        <v>-3819669</v>
      </c>
      <c r="F49" s="24">
        <f t="shared" ref="F49:F56" si="3">IF(C49=0,0,E49/C49)</f>
        <v>-0.11111224883364935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29157065</v>
      </c>
      <c r="D50" s="23">
        <v>32828000</v>
      </c>
      <c r="E50" s="23">
        <f t="shared" si="2"/>
        <v>3670935</v>
      </c>
      <c r="F50" s="24">
        <f t="shared" si="3"/>
        <v>0.1259020755346946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2833399</v>
      </c>
      <c r="D51" s="23">
        <v>9416000</v>
      </c>
      <c r="E51" s="23">
        <f t="shared" si="2"/>
        <v>6582601</v>
      </c>
      <c r="F51" s="24">
        <f t="shared" si="3"/>
        <v>2.3232170972037474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13523336</v>
      </c>
      <c r="D53" s="23">
        <v>2261000</v>
      </c>
      <c r="E53" s="23">
        <f t="shared" si="2"/>
        <v>-11262336</v>
      </c>
      <c r="F53" s="24">
        <f t="shared" si="3"/>
        <v>-0.8328075261902832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37159735</v>
      </c>
      <c r="D55" s="23">
        <v>38451000</v>
      </c>
      <c r="E55" s="23">
        <f t="shared" si="2"/>
        <v>1291265</v>
      </c>
      <c r="F55" s="24">
        <f t="shared" si="3"/>
        <v>3.4749036827092551E-2</v>
      </c>
    </row>
    <row r="56" spans="1:6" ht="24" customHeight="1" x14ac:dyDescent="0.25">
      <c r="A56" s="25"/>
      <c r="B56" s="26" t="s">
        <v>54</v>
      </c>
      <c r="C56" s="27">
        <f>SUM(C49:C55)</f>
        <v>117050204</v>
      </c>
      <c r="D56" s="27">
        <f>SUM(D49:D55)</f>
        <v>113513000</v>
      </c>
      <c r="E56" s="27">
        <f t="shared" si="2"/>
        <v>-3537204</v>
      </c>
      <c r="F56" s="28">
        <f t="shared" si="3"/>
        <v>-3.0219545794213223E-2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20500910</v>
      </c>
      <c r="D60" s="23">
        <v>18168000</v>
      </c>
      <c r="E60" s="23">
        <f>D60-C60</f>
        <v>-2332910</v>
      </c>
      <c r="F60" s="24">
        <f>IF(C60=0,0,E60/C60)</f>
        <v>-0.11379543639770137</v>
      </c>
    </row>
    <row r="61" spans="1:6" ht="24" customHeight="1" x14ac:dyDescent="0.25">
      <c r="A61" s="25"/>
      <c r="B61" s="26" t="s">
        <v>58</v>
      </c>
      <c r="C61" s="27">
        <f>SUM(C59:C60)</f>
        <v>20500910</v>
      </c>
      <c r="D61" s="27">
        <f>SUM(D59:D60)</f>
        <v>18168000</v>
      </c>
      <c r="E61" s="27">
        <f>D61-C61</f>
        <v>-2332910</v>
      </c>
      <c r="F61" s="28">
        <f>IF(C61=0,0,E61/C61)</f>
        <v>-0.11379543639770137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36615176</v>
      </c>
      <c r="D64" s="23">
        <v>43334000</v>
      </c>
      <c r="E64" s="23">
        <f>D64-C64</f>
        <v>6718824</v>
      </c>
      <c r="F64" s="24">
        <f>IF(C64=0,0,E64/C64)</f>
        <v>0.1834983395955819</v>
      </c>
    </row>
    <row r="65" spans="1:6" ht="24" customHeight="1" x14ac:dyDescent="0.25">
      <c r="A65" s="25"/>
      <c r="B65" s="26" t="s">
        <v>61</v>
      </c>
      <c r="C65" s="27">
        <f>SUM(C61:C64)</f>
        <v>57116086</v>
      </c>
      <c r="D65" s="27">
        <f>SUM(D61:D64)</f>
        <v>61502000</v>
      </c>
      <c r="E65" s="27">
        <f>D65-C65</f>
        <v>4385914</v>
      </c>
      <c r="F65" s="28">
        <f>IF(C65=0,0,E65/C65)</f>
        <v>7.6789470482973923E-2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243088238</v>
      </c>
      <c r="D67" s="23">
        <v>277864000</v>
      </c>
      <c r="E67" s="23">
        <f>D67-C67</f>
        <v>34775762</v>
      </c>
      <c r="F67" s="46">
        <f>IF(C67=0,0,E67/C67)</f>
        <v>0.1430581844934842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65819357</v>
      </c>
      <c r="D70" s="23">
        <v>51005000</v>
      </c>
      <c r="E70" s="23">
        <f>D70-C70</f>
        <v>-14814357</v>
      </c>
      <c r="F70" s="24">
        <f>IF(C70=0,0,E70/C70)</f>
        <v>-0.22507599094290756</v>
      </c>
    </row>
    <row r="71" spans="1:6" ht="24" customHeight="1" x14ac:dyDescent="0.2">
      <c r="A71" s="21">
        <v>2</v>
      </c>
      <c r="B71" s="22" t="s">
        <v>65</v>
      </c>
      <c r="C71" s="23">
        <v>36871509</v>
      </c>
      <c r="D71" s="23">
        <v>10680000</v>
      </c>
      <c r="E71" s="23">
        <f>D71-C71</f>
        <v>-26191509</v>
      </c>
      <c r="F71" s="24">
        <f>IF(C71=0,0,E71/C71)</f>
        <v>-0.71034545941691729</v>
      </c>
    </row>
    <row r="72" spans="1:6" ht="24" customHeight="1" x14ac:dyDescent="0.2">
      <c r="A72" s="21">
        <v>3</v>
      </c>
      <c r="B72" s="22" t="s">
        <v>66</v>
      </c>
      <c r="C72" s="23">
        <v>61451</v>
      </c>
      <c r="D72" s="23">
        <v>61000</v>
      </c>
      <c r="E72" s="23">
        <f>D72-C72</f>
        <v>-451</v>
      </c>
      <c r="F72" s="24">
        <f>IF(C72=0,0,E72/C72)</f>
        <v>-7.3391808107272465E-3</v>
      </c>
    </row>
    <row r="73" spans="1:6" ht="24" customHeight="1" x14ac:dyDescent="0.25">
      <c r="A73" s="21"/>
      <c r="B73" s="26" t="s">
        <v>67</v>
      </c>
      <c r="C73" s="27">
        <f>SUM(C70:C72)</f>
        <v>102752317</v>
      </c>
      <c r="D73" s="27">
        <f>SUM(D70:D72)</f>
        <v>61746000</v>
      </c>
      <c r="E73" s="27">
        <f>D73-C73</f>
        <v>-41006317</v>
      </c>
      <c r="F73" s="28">
        <f>IF(C73=0,0,E73/C73)</f>
        <v>-0.39907924412059731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520006845</v>
      </c>
      <c r="D75" s="27">
        <f>D56+D65+D67+D73</f>
        <v>514625000</v>
      </c>
      <c r="E75" s="27">
        <f>D75-C75</f>
        <v>-5381845</v>
      </c>
      <c r="F75" s="28">
        <f>IF(C75=0,0,E75/C75)</f>
        <v>-1.0349565686967063E-2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FILING&amp;RUNIVERSITY OF CONNECTICUT HEALTH CENTER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477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479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804743365</v>
      </c>
      <c r="D12" s="51">
        <v>831698113</v>
      </c>
      <c r="E12" s="51">
        <f t="shared" ref="E12:E19" si="0">D12-C12</f>
        <v>26954748</v>
      </c>
      <c r="F12" s="70">
        <f t="shared" ref="F12:F19" si="1">IF(C12=0,0,E12/C12)</f>
        <v>3.3494837201919647E-2</v>
      </c>
    </row>
    <row r="13" spans="1:8" ht="23.1" customHeight="1" x14ac:dyDescent="0.2">
      <c r="A13" s="25">
        <v>2</v>
      </c>
      <c r="B13" s="48" t="s">
        <v>72</v>
      </c>
      <c r="C13" s="51">
        <v>376688254</v>
      </c>
      <c r="D13" s="51">
        <v>391977027</v>
      </c>
      <c r="E13" s="51">
        <f t="shared" si="0"/>
        <v>15288773</v>
      </c>
      <c r="F13" s="70">
        <f t="shared" si="1"/>
        <v>4.0587336710530934E-2</v>
      </c>
    </row>
    <row r="14" spans="1:8" ht="23.1" customHeight="1" x14ac:dyDescent="0.2">
      <c r="A14" s="25">
        <v>3</v>
      </c>
      <c r="B14" s="48" t="s">
        <v>73</v>
      </c>
      <c r="C14" s="51">
        <v>1013714</v>
      </c>
      <c r="D14" s="51">
        <v>912282</v>
      </c>
      <c r="E14" s="51">
        <f t="shared" si="0"/>
        <v>-101432</v>
      </c>
      <c r="F14" s="70">
        <f t="shared" si="1"/>
        <v>-0.10005978017468438</v>
      </c>
    </row>
    <row r="15" spans="1:8" ht="23.1" customHeight="1" x14ac:dyDescent="0.2">
      <c r="A15" s="25">
        <v>4</v>
      </c>
      <c r="B15" s="48" t="s">
        <v>74</v>
      </c>
      <c r="C15" s="51">
        <v>11996458</v>
      </c>
      <c r="D15" s="51">
        <v>11497670</v>
      </c>
      <c r="E15" s="51">
        <f t="shared" si="0"/>
        <v>-498788</v>
      </c>
      <c r="F15" s="70">
        <f t="shared" si="1"/>
        <v>-4.1577939088354249E-2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415044939</v>
      </c>
      <c r="D16" s="27">
        <f>D12-D13-D14-D15</f>
        <v>427311134</v>
      </c>
      <c r="E16" s="27">
        <f t="shared" si="0"/>
        <v>12266195</v>
      </c>
      <c r="F16" s="28">
        <f t="shared" si="1"/>
        <v>2.9553896090273733E-2</v>
      </c>
    </row>
    <row r="17" spans="1:7" ht="23.1" customHeight="1" x14ac:dyDescent="0.2">
      <c r="A17" s="25">
        <v>5</v>
      </c>
      <c r="B17" s="48" t="s">
        <v>76</v>
      </c>
      <c r="C17" s="51">
        <v>158984528</v>
      </c>
      <c r="D17" s="51">
        <v>170801000</v>
      </c>
      <c r="E17" s="51">
        <f t="shared" si="0"/>
        <v>11816472</v>
      </c>
      <c r="F17" s="70">
        <f t="shared" si="1"/>
        <v>7.4324666359986927E-2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574029467</v>
      </c>
      <c r="D19" s="27">
        <f>SUM(D16:D18)</f>
        <v>598112134</v>
      </c>
      <c r="E19" s="27">
        <f t="shared" si="0"/>
        <v>24082667</v>
      </c>
      <c r="F19" s="28">
        <f t="shared" si="1"/>
        <v>4.1953712107953511E-2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325018200</v>
      </c>
      <c r="D22" s="51">
        <v>335608086</v>
      </c>
      <c r="E22" s="51">
        <f t="shared" ref="E22:E31" si="2">D22-C22</f>
        <v>10589886</v>
      </c>
      <c r="F22" s="70">
        <f t="shared" ref="F22:F31" si="3">IF(C22=0,0,E22/C22)</f>
        <v>3.2582439998744689E-2</v>
      </c>
    </row>
    <row r="23" spans="1:7" ht="23.1" customHeight="1" x14ac:dyDescent="0.2">
      <c r="A23" s="25">
        <v>2</v>
      </c>
      <c r="B23" s="48" t="s">
        <v>81</v>
      </c>
      <c r="C23" s="51">
        <v>144699459</v>
      </c>
      <c r="D23" s="51">
        <v>155951437</v>
      </c>
      <c r="E23" s="51">
        <f t="shared" si="2"/>
        <v>11251978</v>
      </c>
      <c r="F23" s="70">
        <f t="shared" si="3"/>
        <v>7.7761023280674468E-2</v>
      </c>
    </row>
    <row r="24" spans="1:7" ht="23.1" customHeight="1" x14ac:dyDescent="0.2">
      <c r="A24" s="25">
        <v>3</v>
      </c>
      <c r="B24" s="48" t="s">
        <v>82</v>
      </c>
      <c r="C24" s="51">
        <v>45507306</v>
      </c>
      <c r="D24" s="51">
        <v>49345498</v>
      </c>
      <c r="E24" s="51">
        <f t="shared" si="2"/>
        <v>3838192</v>
      </c>
      <c r="F24" s="70">
        <f t="shared" si="3"/>
        <v>8.4342325164227475E-2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77183617</v>
      </c>
      <c r="D25" s="51">
        <v>76075655</v>
      </c>
      <c r="E25" s="51">
        <f t="shared" si="2"/>
        <v>-1107962</v>
      </c>
      <c r="F25" s="70">
        <f t="shared" si="3"/>
        <v>-1.43548857006792E-2</v>
      </c>
    </row>
    <row r="26" spans="1:7" ht="23.1" customHeight="1" x14ac:dyDescent="0.2">
      <c r="A26" s="25">
        <v>5</v>
      </c>
      <c r="B26" s="48" t="s">
        <v>84</v>
      </c>
      <c r="C26" s="51">
        <v>29671773</v>
      </c>
      <c r="D26" s="51">
        <v>29804473</v>
      </c>
      <c r="E26" s="51">
        <f t="shared" si="2"/>
        <v>132700</v>
      </c>
      <c r="F26" s="70">
        <f t="shared" si="3"/>
        <v>4.4722639257182241E-3</v>
      </c>
    </row>
    <row r="27" spans="1:7" ht="23.1" customHeight="1" x14ac:dyDescent="0.2">
      <c r="A27" s="25">
        <v>6</v>
      </c>
      <c r="B27" s="48" t="s">
        <v>85</v>
      </c>
      <c r="C27" s="51">
        <v>9384552</v>
      </c>
      <c r="D27" s="51">
        <v>5217537</v>
      </c>
      <c r="E27" s="51">
        <f t="shared" si="2"/>
        <v>-4167015</v>
      </c>
      <c r="F27" s="70">
        <f t="shared" si="3"/>
        <v>-0.44402918754139781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0</v>
      </c>
      <c r="E28" s="51">
        <f t="shared" si="2"/>
        <v>0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7977273</v>
      </c>
      <c r="D29" s="51">
        <v>4145244</v>
      </c>
      <c r="E29" s="51">
        <f t="shared" si="2"/>
        <v>-3832029</v>
      </c>
      <c r="F29" s="70">
        <f t="shared" si="3"/>
        <v>-0.48036829126946012</v>
      </c>
    </row>
    <row r="30" spans="1:7" ht="23.1" customHeight="1" x14ac:dyDescent="0.2">
      <c r="A30" s="25">
        <v>9</v>
      </c>
      <c r="B30" s="48" t="s">
        <v>88</v>
      </c>
      <c r="C30" s="51">
        <v>145589220</v>
      </c>
      <c r="D30" s="51">
        <v>163944607</v>
      </c>
      <c r="E30" s="51">
        <f t="shared" si="2"/>
        <v>18355387</v>
      </c>
      <c r="F30" s="70">
        <f t="shared" si="3"/>
        <v>0.12607655292060771</v>
      </c>
    </row>
    <row r="31" spans="1:7" ht="23.1" customHeight="1" x14ac:dyDescent="0.25">
      <c r="A31" s="29"/>
      <c r="B31" s="71" t="s">
        <v>89</v>
      </c>
      <c r="C31" s="27">
        <f>SUM(C22:C30)</f>
        <v>785031400</v>
      </c>
      <c r="D31" s="27">
        <f>SUM(D22:D30)</f>
        <v>820092537</v>
      </c>
      <c r="E31" s="27">
        <f t="shared" si="2"/>
        <v>35061137</v>
      </c>
      <c r="F31" s="28">
        <f t="shared" si="3"/>
        <v>4.4662082306516658E-2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-211001933</v>
      </c>
      <c r="D33" s="27">
        <f>+D19-D31</f>
        <v>-221980403</v>
      </c>
      <c r="E33" s="27">
        <f>D33-C33</f>
        <v>-10978470</v>
      </c>
      <c r="F33" s="28">
        <f>IF(C33=0,0,E33/C33)</f>
        <v>5.2030186851416194E-2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2506113</v>
      </c>
      <c r="D36" s="51">
        <v>134000</v>
      </c>
      <c r="E36" s="51">
        <f>D36-C36</f>
        <v>-2372113</v>
      </c>
      <c r="F36" s="70">
        <f>IF(C36=0,0,E36/C36)</f>
        <v>-0.94653074302715001</v>
      </c>
    </row>
    <row r="37" spans="1:6" ht="23.1" customHeight="1" x14ac:dyDescent="0.2">
      <c r="A37" s="44">
        <v>2</v>
      </c>
      <c r="B37" s="48" t="s">
        <v>93</v>
      </c>
      <c r="C37" s="51">
        <v>1602111</v>
      </c>
      <c r="D37" s="51">
        <v>2554000</v>
      </c>
      <c r="E37" s="51">
        <f>D37-C37</f>
        <v>951889</v>
      </c>
      <c r="F37" s="70">
        <f>IF(C37=0,0,E37/C37)</f>
        <v>0.59414672266778024</v>
      </c>
    </row>
    <row r="38" spans="1:6" ht="23.1" customHeight="1" x14ac:dyDescent="0.2">
      <c r="A38" s="44">
        <v>3</v>
      </c>
      <c r="B38" s="48" t="s">
        <v>94</v>
      </c>
      <c r="C38" s="51">
        <v>241729520</v>
      </c>
      <c r="D38" s="51">
        <v>213061000</v>
      </c>
      <c r="E38" s="51">
        <f>D38-C38</f>
        <v>-28668520</v>
      </c>
      <c r="F38" s="70">
        <f>IF(C38=0,0,E38/C38)</f>
        <v>-0.11859751345222544</v>
      </c>
    </row>
    <row r="39" spans="1:6" ht="23.1" customHeight="1" x14ac:dyDescent="0.25">
      <c r="A39" s="20"/>
      <c r="B39" s="71" t="s">
        <v>95</v>
      </c>
      <c r="C39" s="27">
        <f>SUM(C36:C38)</f>
        <v>245837744</v>
      </c>
      <c r="D39" s="27">
        <f>SUM(D36:D38)</f>
        <v>215749000</v>
      </c>
      <c r="E39" s="27">
        <f>D39-C39</f>
        <v>-30088744</v>
      </c>
      <c r="F39" s="28">
        <f>IF(C39=0,0,E39/C39)</f>
        <v>-0.1223926949150656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34835811</v>
      </c>
      <c r="D41" s="27">
        <f>D33+D39</f>
        <v>-6231403</v>
      </c>
      <c r="E41" s="27">
        <f>D41-C41</f>
        <v>-41067214</v>
      </c>
      <c r="F41" s="28">
        <f>IF(C41=0,0,E41/C41)</f>
        <v>-1.1788792286190781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34835811</v>
      </c>
      <c r="D48" s="27">
        <f>D41+D46</f>
        <v>-6231403</v>
      </c>
      <c r="E48" s="27">
        <f>D48-C48</f>
        <v>-41067214</v>
      </c>
      <c r="F48" s="28">
        <f>IF(C48=0,0,E48/C48)</f>
        <v>-1.1788792286190781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FILING&amp;R&amp;8UNIVERSITY OF CONNECTICUT HEALTH CENTER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2012-06-28T12:07:48Z</cp:lastPrinted>
  <dcterms:created xsi:type="dcterms:W3CDTF">2006-08-03T13:49:12Z</dcterms:created>
  <dcterms:modified xsi:type="dcterms:W3CDTF">2012-06-28T12:08:07Z</dcterms:modified>
</cp:coreProperties>
</file>