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/>
  <c r="D91" i="22"/>
  <c r="D93" i="22"/>
  <c r="C91" i="22"/>
  <c r="C93" i="22" s="1"/>
  <c r="E87" i="22"/>
  <c r="D87" i="22"/>
  <c r="C87" i="22"/>
  <c r="E86" i="22"/>
  <c r="E88" i="22"/>
  <c r="D86" i="22"/>
  <c r="D88" i="22" s="1"/>
  <c r="C86" i="22"/>
  <c r="C88" i="22"/>
  <c r="E83" i="22"/>
  <c r="E101" i="22"/>
  <c r="E103" i="22" s="1"/>
  <c r="D83" i="22"/>
  <c r="C83" i="22"/>
  <c r="C101" i="22" s="1"/>
  <c r="E76" i="22"/>
  <c r="D76" i="22"/>
  <c r="C76" i="22"/>
  <c r="E75" i="22"/>
  <c r="E77" i="22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/>
  <c r="D21" i="21"/>
  <c r="E21" i="21"/>
  <c r="C21" i="21"/>
  <c r="D19" i="21"/>
  <c r="C19" i="21"/>
  <c r="F17" i="21"/>
  <c r="E17" i="21"/>
  <c r="E15" i="21"/>
  <c r="F15" i="21" s="1"/>
  <c r="D45" i="20"/>
  <c r="C45" i="20"/>
  <c r="D44" i="20"/>
  <c r="C44" i="20"/>
  <c r="D43" i="20"/>
  <c r="C43" i="20"/>
  <c r="D36" i="20"/>
  <c r="D40" i="20" s="1"/>
  <c r="C36" i="20"/>
  <c r="E35" i="20"/>
  <c r="F35" i="20" s="1"/>
  <c r="F34" i="20"/>
  <c r="E34" i="20"/>
  <c r="F33" i="20"/>
  <c r="E33" i="20"/>
  <c r="F30" i="20"/>
  <c r="E30" i="20"/>
  <c r="F29" i="20"/>
  <c r="E29" i="20"/>
  <c r="E28" i="20"/>
  <c r="F28" i="20" s="1"/>
  <c r="E27" i="20"/>
  <c r="F27" i="20" s="1"/>
  <c r="D25" i="20"/>
  <c r="D39" i="20"/>
  <c r="C25" i="20"/>
  <c r="E24" i="20"/>
  <c r="F24" i="20" s="1"/>
  <c r="F23" i="20"/>
  <c r="E23" i="20"/>
  <c r="E22" i="20"/>
  <c r="D19" i="20"/>
  <c r="D20" i="20"/>
  <c r="C19" i="20"/>
  <c r="C20" i="20" s="1"/>
  <c r="F18" i="20"/>
  <c r="E18" i="20"/>
  <c r="D16" i="20"/>
  <c r="C16" i="20"/>
  <c r="F15" i="20"/>
  <c r="E15" i="20"/>
  <c r="E13" i="20"/>
  <c r="F13" i="20" s="1"/>
  <c r="E12" i="20"/>
  <c r="F12" i="20" s="1"/>
  <c r="C143" i="19"/>
  <c r="C115" i="19"/>
  <c r="C105" i="19"/>
  <c r="C137" i="19" s="1"/>
  <c r="C139" i="19" s="1"/>
  <c r="C96" i="19"/>
  <c r="C95" i="19"/>
  <c r="C89" i="19"/>
  <c r="C88" i="19"/>
  <c r="C83" i="19"/>
  <c r="C77" i="19"/>
  <c r="C78" i="19" s="1"/>
  <c r="C64" i="19"/>
  <c r="C63" i="19"/>
  <c r="C60" i="19"/>
  <c r="C59" i="19"/>
  <c r="C49" i="19"/>
  <c r="C48" i="19"/>
  <c r="C36" i="19"/>
  <c r="C32" i="19"/>
  <c r="C21" i="19"/>
  <c r="E328" i="18"/>
  <c r="E325" i="18"/>
  <c r="D324" i="18"/>
  <c r="D326" i="18" s="1"/>
  <c r="C324" i="18"/>
  <c r="E318" i="18"/>
  <c r="E315" i="18"/>
  <c r="D314" i="18"/>
  <c r="C314" i="18"/>
  <c r="E314" i="18" s="1"/>
  <c r="C316" i="18"/>
  <c r="C320" i="18" s="1"/>
  <c r="E308" i="18"/>
  <c r="E305" i="18"/>
  <c r="D301" i="18"/>
  <c r="C301" i="18"/>
  <c r="C306" i="18"/>
  <c r="C310" i="18" s="1"/>
  <c r="D293" i="18"/>
  <c r="C293" i="18"/>
  <c r="E293" i="18" s="1"/>
  <c r="D292" i="18"/>
  <c r="C292" i="18"/>
  <c r="E292" i="18"/>
  <c r="D291" i="18"/>
  <c r="E291" i="18" s="1"/>
  <c r="C291" i="18"/>
  <c r="D290" i="18"/>
  <c r="C290" i="18"/>
  <c r="D288" i="18"/>
  <c r="C288" i="18"/>
  <c r="E288" i="18" s="1"/>
  <c r="D287" i="18"/>
  <c r="E287" i="18" s="1"/>
  <c r="C287" i="18"/>
  <c r="D282" i="18"/>
  <c r="E282" i="18" s="1"/>
  <c r="C282" i="18"/>
  <c r="D281" i="18"/>
  <c r="E281" i="18" s="1"/>
  <c r="C281" i="18"/>
  <c r="D280" i="18"/>
  <c r="E280" i="18" s="1"/>
  <c r="C280" i="18"/>
  <c r="D279" i="18"/>
  <c r="C279" i="18"/>
  <c r="D278" i="18"/>
  <c r="C278" i="18"/>
  <c r="D277" i="18"/>
  <c r="E277" i="18" s="1"/>
  <c r="C277" i="18"/>
  <c r="D276" i="18"/>
  <c r="C276" i="18"/>
  <c r="E276" i="18"/>
  <c r="E270" i="18"/>
  <c r="D265" i="18"/>
  <c r="E265" i="18"/>
  <c r="C265" i="18"/>
  <c r="C302" i="18" s="1"/>
  <c r="C303" i="18" s="1"/>
  <c r="D262" i="18"/>
  <c r="C262" i="18"/>
  <c r="E262" i="18" s="1"/>
  <c r="D261" i="18"/>
  <c r="D251" i="18"/>
  <c r="C251" i="18"/>
  <c r="E251" i="18" s="1"/>
  <c r="D233" i="18"/>
  <c r="C233" i="18"/>
  <c r="E233" i="18"/>
  <c r="D232" i="18"/>
  <c r="C232" i="18"/>
  <c r="E232" i="18" s="1"/>
  <c r="D231" i="18"/>
  <c r="C231" i="18"/>
  <c r="D230" i="18"/>
  <c r="C230" i="18"/>
  <c r="D228" i="18"/>
  <c r="C228" i="18"/>
  <c r="D227" i="18"/>
  <c r="C227" i="18"/>
  <c r="E227" i="18"/>
  <c r="D221" i="18"/>
  <c r="E221" i="18"/>
  <c r="C221" i="18"/>
  <c r="C245" i="18" s="1"/>
  <c r="D220" i="18"/>
  <c r="C220" i="18"/>
  <c r="D219" i="18"/>
  <c r="C219" i="18"/>
  <c r="C243" i="18"/>
  <c r="D218" i="18"/>
  <c r="C218" i="18"/>
  <c r="D216" i="18"/>
  <c r="D240" i="18"/>
  <c r="C216" i="18"/>
  <c r="C240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E194" i="18"/>
  <c r="E193" i="18"/>
  <c r="E192" i="18"/>
  <c r="E191" i="18"/>
  <c r="E190" i="18"/>
  <c r="D189" i="18"/>
  <c r="D188" i="18"/>
  <c r="C188" i="18"/>
  <c r="E186" i="18"/>
  <c r="E185" i="18"/>
  <c r="D179" i="18"/>
  <c r="C179" i="18"/>
  <c r="E179" i="18"/>
  <c r="D178" i="18"/>
  <c r="C178" i="18"/>
  <c r="D177" i="18"/>
  <c r="E177" i="18" s="1"/>
  <c r="C177" i="18"/>
  <c r="D176" i="18"/>
  <c r="E176" i="18"/>
  <c r="C176" i="18"/>
  <c r="D174" i="18"/>
  <c r="C174" i="18"/>
  <c r="E174" i="18" s="1"/>
  <c r="D173" i="18"/>
  <c r="C173" i="18"/>
  <c r="E173" i="18"/>
  <c r="D167" i="18"/>
  <c r="E167" i="18"/>
  <c r="C167" i="18"/>
  <c r="D166" i="18"/>
  <c r="C166" i="18"/>
  <c r="D165" i="18"/>
  <c r="C165" i="18"/>
  <c r="E165" i="18" s="1"/>
  <c r="D164" i="18"/>
  <c r="C164" i="18"/>
  <c r="D162" i="18"/>
  <c r="E162" i="18" s="1"/>
  <c r="C162" i="18"/>
  <c r="D161" i="18"/>
  <c r="C161" i="18"/>
  <c r="E161" i="18" s="1"/>
  <c r="D156" i="18"/>
  <c r="E156" i="18" s="1"/>
  <c r="D157" i="18"/>
  <c r="E157" i="18" s="1"/>
  <c r="E155" i="18"/>
  <c r="E154" i="18"/>
  <c r="E153" i="18"/>
  <c r="E152" i="18"/>
  <c r="D151" i="18"/>
  <c r="C151" i="18"/>
  <c r="C156" i="18" s="1"/>
  <c r="C157" i="18" s="1"/>
  <c r="C169" i="18" s="1"/>
  <c r="E151" i="18"/>
  <c r="E150" i="18"/>
  <c r="E149" i="18"/>
  <c r="E143" i="18"/>
  <c r="E142" i="18"/>
  <c r="E141" i="18"/>
  <c r="E140" i="18"/>
  <c r="D139" i="18"/>
  <c r="D163" i="18"/>
  <c r="C139" i="18"/>
  <c r="C144" i="18" s="1"/>
  <c r="E138" i="18"/>
  <c r="E137" i="18"/>
  <c r="D75" i="18"/>
  <c r="C75" i="18"/>
  <c r="E75" i="18"/>
  <c r="D74" i="18"/>
  <c r="E74" i="18" s="1"/>
  <c r="C74" i="18"/>
  <c r="D73" i="18"/>
  <c r="C73" i="18"/>
  <c r="E73" i="18"/>
  <c r="D72" i="18"/>
  <c r="C72" i="18"/>
  <c r="E72" i="18" s="1"/>
  <c r="D70" i="18"/>
  <c r="E70" i="18"/>
  <c r="C70" i="18"/>
  <c r="D69" i="18"/>
  <c r="C69" i="18"/>
  <c r="E64" i="18"/>
  <c r="E63" i="18"/>
  <c r="E62" i="18"/>
  <c r="E61" i="18"/>
  <c r="D60" i="18"/>
  <c r="C60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C42" i="18"/>
  <c r="D41" i="18"/>
  <c r="C41" i="18"/>
  <c r="E41" i="18"/>
  <c r="D40" i="18"/>
  <c r="E40" i="18"/>
  <c r="C40" i="18"/>
  <c r="D39" i="18"/>
  <c r="C39" i="18"/>
  <c r="D38" i="18"/>
  <c r="C38" i="18"/>
  <c r="D37" i="18"/>
  <c r="C37" i="18"/>
  <c r="E37" i="18"/>
  <c r="D36" i="18"/>
  <c r="E36" i="18" s="1"/>
  <c r="C36" i="18"/>
  <c r="D32" i="18"/>
  <c r="C32" i="18"/>
  <c r="E32" i="18" s="1"/>
  <c r="E31" i="18"/>
  <c r="E30" i="18"/>
  <c r="E29" i="18"/>
  <c r="E28" i="18"/>
  <c r="E27" i="18"/>
  <c r="E26" i="18"/>
  <c r="E25" i="18"/>
  <c r="D22" i="18"/>
  <c r="D21" i="18"/>
  <c r="C21" i="18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D311" i="17"/>
  <c r="E311" i="17"/>
  <c r="C311" i="17"/>
  <c r="F311" i="17" s="1"/>
  <c r="E308" i="17"/>
  <c r="F308" i="17"/>
  <c r="D307" i="17"/>
  <c r="C307" i="17"/>
  <c r="D299" i="17"/>
  <c r="E299" i="17" s="1"/>
  <c r="F299" i="17" s="1"/>
  <c r="C299" i="17"/>
  <c r="D298" i="17"/>
  <c r="E298" i="17" s="1"/>
  <c r="C298" i="17"/>
  <c r="D297" i="17"/>
  <c r="C297" i="17"/>
  <c r="D296" i="17"/>
  <c r="C296" i="17"/>
  <c r="D295" i="17"/>
  <c r="E295" i="17" s="1"/>
  <c r="F295" i="17" s="1"/>
  <c r="C295" i="17"/>
  <c r="D294" i="17"/>
  <c r="E294" i="17" s="1"/>
  <c r="F294" i="17" s="1"/>
  <c r="C294" i="17"/>
  <c r="D250" i="17"/>
  <c r="D306" i="17" s="1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E238" i="17"/>
  <c r="F238" i="17" s="1"/>
  <c r="C238" i="17"/>
  <c r="D237" i="17"/>
  <c r="C237" i="17"/>
  <c r="E234" i="17"/>
  <c r="F234" i="17" s="1"/>
  <c r="F233" i="17"/>
  <c r="E233" i="17"/>
  <c r="D230" i="17"/>
  <c r="C230" i="17"/>
  <c r="E230" i="17" s="1"/>
  <c r="D229" i="17"/>
  <c r="C229" i="17"/>
  <c r="E228" i="17"/>
  <c r="F228" i="17" s="1"/>
  <c r="D226" i="17"/>
  <c r="C226" i="17"/>
  <c r="E226" i="17" s="1"/>
  <c r="C227" i="17"/>
  <c r="F225" i="17"/>
  <c r="E225" i="17"/>
  <c r="E224" i="17"/>
  <c r="F224" i="17" s="1"/>
  <c r="D223" i="17"/>
  <c r="F223" i="17"/>
  <c r="C223" i="17"/>
  <c r="E223" i="17" s="1"/>
  <c r="E222" i="17"/>
  <c r="F222" i="17" s="1"/>
  <c r="E221" i="17"/>
  <c r="F221" i="17"/>
  <c r="D204" i="17"/>
  <c r="C204" i="17"/>
  <c r="C285" i="17"/>
  <c r="D203" i="17"/>
  <c r="C203" i="17"/>
  <c r="D198" i="17"/>
  <c r="C198" i="17"/>
  <c r="D191" i="17"/>
  <c r="D280" i="17"/>
  <c r="C191" i="17"/>
  <c r="D189" i="17"/>
  <c r="C189" i="17"/>
  <c r="D188" i="17"/>
  <c r="C188" i="17"/>
  <c r="C277" i="17"/>
  <c r="D180" i="17"/>
  <c r="C180" i="17"/>
  <c r="D179" i="17"/>
  <c r="C179" i="17"/>
  <c r="C181" i="17"/>
  <c r="F181" i="17" s="1"/>
  <c r="D171" i="17"/>
  <c r="D172" i="17"/>
  <c r="C171" i="17"/>
  <c r="D170" i="17"/>
  <c r="C170" i="17"/>
  <c r="F170" i="17" s="1"/>
  <c r="F169" i="17"/>
  <c r="E169" i="17"/>
  <c r="F168" i="17"/>
  <c r="E168" i="17"/>
  <c r="D165" i="17"/>
  <c r="E165" i="17" s="1"/>
  <c r="C165" i="17"/>
  <c r="D164" i="17"/>
  <c r="C164" i="17"/>
  <c r="E164" i="17" s="1"/>
  <c r="F163" i="17"/>
  <c r="E163" i="17"/>
  <c r="D158" i="17"/>
  <c r="D159" i="17"/>
  <c r="C158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 s="1"/>
  <c r="C144" i="17"/>
  <c r="C146" i="17"/>
  <c r="D136" i="17"/>
  <c r="D137" i="17" s="1"/>
  <c r="C136" i="17"/>
  <c r="C137" i="17"/>
  <c r="D135" i="17"/>
  <c r="C135" i="17"/>
  <c r="E134" i="17"/>
  <c r="F134" i="17"/>
  <c r="E133" i="17"/>
  <c r="F133" i="17" s="1"/>
  <c r="D130" i="17"/>
  <c r="C130" i="17"/>
  <c r="D129" i="17"/>
  <c r="C129" i="17"/>
  <c r="E129" i="17" s="1"/>
  <c r="E128" i="17"/>
  <c r="F128" i="17"/>
  <c r="D123" i="17"/>
  <c r="C123" i="17"/>
  <c r="E122" i="17"/>
  <c r="F122" i="17" s="1"/>
  <c r="E121" i="17"/>
  <c r="F121" i="17" s="1"/>
  <c r="D120" i="17"/>
  <c r="E120" i="17" s="1"/>
  <c r="F120" i="17" s="1"/>
  <c r="C120" i="17"/>
  <c r="E119" i="17"/>
  <c r="F119" i="17"/>
  <c r="E118" i="17"/>
  <c r="F118" i="17"/>
  <c r="D110" i="17"/>
  <c r="E110" i="17" s="1"/>
  <c r="F110" i="17" s="1"/>
  <c r="C110" i="17"/>
  <c r="D109" i="17"/>
  <c r="C109" i="17"/>
  <c r="C111" i="17" s="1"/>
  <c r="D101" i="17"/>
  <c r="D102" i="17"/>
  <c r="C101" i="17"/>
  <c r="C102" i="17"/>
  <c r="C103" i="17" s="1"/>
  <c r="D100" i="17"/>
  <c r="C100" i="17"/>
  <c r="E99" i="17"/>
  <c r="F99" i="17" s="1"/>
  <c r="E98" i="17"/>
  <c r="F98" i="17"/>
  <c r="D95" i="17"/>
  <c r="C95" i="17"/>
  <c r="D94" i="17"/>
  <c r="E94" i="17" s="1"/>
  <c r="F94" i="17" s="1"/>
  <c r="C94" i="17"/>
  <c r="E93" i="17"/>
  <c r="F93" i="17" s="1"/>
  <c r="D88" i="17"/>
  <c r="D89" i="17"/>
  <c r="C88" i="17"/>
  <c r="C89" i="17"/>
  <c r="E89" i="17" s="1"/>
  <c r="E87" i="17"/>
  <c r="F87" i="17"/>
  <c r="E86" i="17"/>
  <c r="F86" i="17" s="1"/>
  <c r="D85" i="17"/>
  <c r="C85" i="17"/>
  <c r="E84" i="17"/>
  <c r="F84" i="17" s="1"/>
  <c r="E83" i="17"/>
  <c r="F83" i="17" s="1"/>
  <c r="D76" i="17"/>
  <c r="C76" i="17"/>
  <c r="C77" i="17"/>
  <c r="E74" i="17"/>
  <c r="F74" i="17" s="1"/>
  <c r="E73" i="17"/>
  <c r="F73" i="17" s="1"/>
  <c r="D67" i="17"/>
  <c r="E67" i="17" s="1"/>
  <c r="C67" i="17"/>
  <c r="D66" i="17"/>
  <c r="C66" i="17"/>
  <c r="D59" i="17"/>
  <c r="D60" i="17" s="1"/>
  <c r="C59" i="17"/>
  <c r="C60" i="17"/>
  <c r="D58" i="17"/>
  <c r="E58" i="17"/>
  <c r="C58" i="17"/>
  <c r="E57" i="17"/>
  <c r="F57" i="17" s="1"/>
  <c r="E56" i="17"/>
  <c r="F56" i="17"/>
  <c r="D53" i="17"/>
  <c r="E53" i="17" s="1"/>
  <c r="F53" i="17"/>
  <c r="C53" i="17"/>
  <c r="D52" i="17"/>
  <c r="E52" i="17" s="1"/>
  <c r="C52" i="17"/>
  <c r="E51" i="17"/>
  <c r="F51" i="17"/>
  <c r="D47" i="17"/>
  <c r="D48" i="17" s="1"/>
  <c r="D90" i="17" s="1"/>
  <c r="C47" i="17"/>
  <c r="E46" i="17"/>
  <c r="F46" i="17"/>
  <c r="E45" i="17"/>
  <c r="F45" i="17" s="1"/>
  <c r="D44" i="17"/>
  <c r="E44" i="17"/>
  <c r="F44" i="17"/>
  <c r="C44" i="17"/>
  <c r="E43" i="17"/>
  <c r="F43" i="17"/>
  <c r="E42" i="17"/>
  <c r="F42" i="17" s="1"/>
  <c r="D36" i="17"/>
  <c r="C36" i="17"/>
  <c r="D35" i="17"/>
  <c r="C35" i="17"/>
  <c r="D30" i="17"/>
  <c r="D31" i="17"/>
  <c r="C30" i="17"/>
  <c r="C31" i="17"/>
  <c r="D29" i="17"/>
  <c r="C29" i="17"/>
  <c r="E28" i="17"/>
  <c r="F28" i="17" s="1"/>
  <c r="E27" i="17"/>
  <c r="F27" i="17"/>
  <c r="D24" i="17"/>
  <c r="E24" i="17" s="1"/>
  <c r="F24" i="17" s="1"/>
  <c r="C24" i="17"/>
  <c r="D23" i="17"/>
  <c r="C23" i="17"/>
  <c r="E22" i="17"/>
  <c r="F22" i="17" s="1"/>
  <c r="D20" i="17"/>
  <c r="E20" i="17"/>
  <c r="C20" i="17"/>
  <c r="E19" i="17"/>
  <c r="F19" i="17" s="1"/>
  <c r="E18" i="17"/>
  <c r="F18" i="17" s="1"/>
  <c r="D17" i="17"/>
  <c r="E17" i="17"/>
  <c r="F17" i="17" s="1"/>
  <c r="C17" i="17"/>
  <c r="E16" i="17"/>
  <c r="F16" i="17" s="1"/>
  <c r="E15" i="17"/>
  <c r="F15" i="17" s="1"/>
  <c r="D21" i="16"/>
  <c r="E21" i="16" s="1"/>
  <c r="F21" i="16"/>
  <c r="C21" i="16"/>
  <c r="E20" i="16"/>
  <c r="F20" i="16" s="1"/>
  <c r="D17" i="16"/>
  <c r="E17" i="16" s="1"/>
  <c r="C17" i="16"/>
  <c r="E16" i="16"/>
  <c r="F16" i="16" s="1"/>
  <c r="D13" i="16"/>
  <c r="E13" i="16" s="1"/>
  <c r="F13" i="16" s="1"/>
  <c r="C13" i="16"/>
  <c r="F12" i="16"/>
  <c r="E12" i="16"/>
  <c r="D107" i="15"/>
  <c r="C107" i="15"/>
  <c r="F106" i="15"/>
  <c r="E106" i="15"/>
  <c r="F105" i="15"/>
  <c r="E105" i="15"/>
  <c r="F104" i="15"/>
  <c r="E104" i="15"/>
  <c r="D100" i="15"/>
  <c r="E100" i="15"/>
  <c r="C100" i="15"/>
  <c r="F99" i="15"/>
  <c r="E99" i="15"/>
  <c r="E98" i="15"/>
  <c r="F98" i="15" s="1"/>
  <c r="F97" i="15"/>
  <c r="E97" i="15"/>
  <c r="E96" i="15"/>
  <c r="F96" i="15" s="1"/>
  <c r="E95" i="15"/>
  <c r="F95" i="15" s="1"/>
  <c r="D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E70" i="15"/>
  <c r="F70" i="15" s="1"/>
  <c r="C70" i="15"/>
  <c r="E69" i="15"/>
  <c r="F69" i="15" s="1"/>
  <c r="F68" i="15"/>
  <c r="E68" i="15"/>
  <c r="D65" i="15"/>
  <c r="E65" i="15" s="1"/>
  <c r="F65" i="15" s="1"/>
  <c r="C65" i="15"/>
  <c r="E64" i="15"/>
  <c r="F64" i="15" s="1"/>
  <c r="F63" i="15"/>
  <c r="E63" i="15"/>
  <c r="F60" i="15"/>
  <c r="D60" i="15"/>
  <c r="C60" i="15"/>
  <c r="F59" i="15"/>
  <c r="E59" i="15"/>
  <c r="F58" i="15"/>
  <c r="E58" i="15"/>
  <c r="D55" i="15"/>
  <c r="C55" i="15"/>
  <c r="F55" i="15" s="1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E45" i="15"/>
  <c r="C45" i="15"/>
  <c r="F45" i="15" s="1"/>
  <c r="F44" i="15"/>
  <c r="E44" i="15"/>
  <c r="F43" i="15"/>
  <c r="E43" i="15"/>
  <c r="D37" i="15"/>
  <c r="C37" i="15"/>
  <c r="F36" i="15"/>
  <c r="E36" i="15"/>
  <c r="F35" i="15"/>
  <c r="E35" i="15"/>
  <c r="F34" i="15"/>
  <c r="E34" i="15"/>
  <c r="F33" i="15"/>
  <c r="E33" i="15"/>
  <c r="D30" i="15"/>
  <c r="E30" i="15"/>
  <c r="C30" i="15"/>
  <c r="F30" i="15" s="1"/>
  <c r="F29" i="15"/>
  <c r="E29" i="15"/>
  <c r="F28" i="15"/>
  <c r="E28" i="15"/>
  <c r="F27" i="15"/>
  <c r="E27" i="15"/>
  <c r="E26" i="15"/>
  <c r="F26" i="15" s="1"/>
  <c r="D23" i="15"/>
  <c r="E23" i="15" s="1"/>
  <c r="F23" i="15"/>
  <c r="C23" i="15"/>
  <c r="F22" i="15"/>
  <c r="E22" i="15"/>
  <c r="E21" i="15"/>
  <c r="F21" i="15" s="1"/>
  <c r="F20" i="15"/>
  <c r="E20" i="15"/>
  <c r="E19" i="15"/>
  <c r="F19" i="15" s="1"/>
  <c r="D16" i="15"/>
  <c r="E16" i="15" s="1"/>
  <c r="C16" i="15"/>
  <c r="F15" i="15"/>
  <c r="E15" i="15"/>
  <c r="F14" i="15"/>
  <c r="E14" i="15"/>
  <c r="E13" i="15"/>
  <c r="F13" i="15" s="1"/>
  <c r="E12" i="15"/>
  <c r="F12" i="15" s="1"/>
  <c r="I37" i="14"/>
  <c r="H37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I17" i="14" s="1"/>
  <c r="G33" i="14"/>
  <c r="F17" i="14"/>
  <c r="F33" i="14"/>
  <c r="F36" i="14" s="1"/>
  <c r="E17" i="14"/>
  <c r="E33" i="14" s="1"/>
  <c r="E36" i="14" s="1"/>
  <c r="E38" i="14"/>
  <c r="E40" i="14" s="1"/>
  <c r="D17" i="14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C80" i="13" s="1"/>
  <c r="C77" i="13" s="1"/>
  <c r="E75" i="13"/>
  <c r="C75" i="13"/>
  <c r="E73" i="13"/>
  <c r="D73" i="13"/>
  <c r="D75" i="13" s="1"/>
  <c r="C73" i="13"/>
  <c r="E71" i="13"/>
  <c r="D71" i="13"/>
  <c r="C71" i="13"/>
  <c r="E66" i="13"/>
  <c r="E65" i="13"/>
  <c r="D66" i="13"/>
  <c r="D65" i="13" s="1"/>
  <c r="C66" i="13"/>
  <c r="C65" i="13" s="1"/>
  <c r="E60" i="13"/>
  <c r="D60" i="13"/>
  <c r="C60" i="13"/>
  <c r="E57" i="13"/>
  <c r="E58" i="13"/>
  <c r="D58" i="13"/>
  <c r="C58" i="13"/>
  <c r="E55" i="13"/>
  <c r="D55" i="13"/>
  <c r="D50" i="13" s="1"/>
  <c r="C55" i="13"/>
  <c r="E54" i="13"/>
  <c r="E50" i="13"/>
  <c r="D54" i="13"/>
  <c r="C54" i="13"/>
  <c r="C50" i="13"/>
  <c r="E48" i="13"/>
  <c r="E42" i="13" s="1"/>
  <c r="C48" i="13"/>
  <c r="E46" i="13"/>
  <c r="E59" i="13" s="1"/>
  <c r="E61" i="13" s="1"/>
  <c r="D46" i="13"/>
  <c r="D59" i="13"/>
  <c r="C46" i="13"/>
  <c r="C59" i="13" s="1"/>
  <c r="C61" i="13" s="1"/>
  <c r="C57" i="13" s="1"/>
  <c r="E45" i="13"/>
  <c r="D45" i="13"/>
  <c r="C45" i="13"/>
  <c r="C42" i="13" s="1"/>
  <c r="E38" i="13"/>
  <c r="D38" i="13"/>
  <c r="C38" i="13"/>
  <c r="E33" i="13"/>
  <c r="E34" i="13" s="1"/>
  <c r="D33" i="13"/>
  <c r="D34" i="13"/>
  <c r="E26" i="13"/>
  <c r="D26" i="13"/>
  <c r="C26" i="13"/>
  <c r="E25" i="13"/>
  <c r="E27" i="13"/>
  <c r="C15" i="13"/>
  <c r="C17" i="13" s="1"/>
  <c r="C24" i="13"/>
  <c r="E13" i="13"/>
  <c r="E15" i="13" s="1"/>
  <c r="E24" i="13" s="1"/>
  <c r="D13" i="13"/>
  <c r="D25" i="13" s="1"/>
  <c r="C13" i="13"/>
  <c r="C25" i="13" s="1"/>
  <c r="C27" i="13" s="1"/>
  <c r="D47" i="12"/>
  <c r="C47" i="12"/>
  <c r="F46" i="12"/>
  <c r="E46" i="12"/>
  <c r="F45" i="12"/>
  <c r="E45" i="12"/>
  <c r="D40" i="12"/>
  <c r="E40" i="12" s="1"/>
  <c r="F40" i="12" s="1"/>
  <c r="C40" i="12"/>
  <c r="F39" i="12"/>
  <c r="E39" i="12"/>
  <c r="F38" i="12"/>
  <c r="E38" i="12"/>
  <c r="F37" i="12"/>
  <c r="E37" i="12"/>
  <c r="D32" i="12"/>
  <c r="E32" i="12" s="1"/>
  <c r="F32" i="12"/>
  <c r="C32" i="12"/>
  <c r="E31" i="12"/>
  <c r="F31" i="12" s="1"/>
  <c r="F30" i="12"/>
  <c r="E30" i="12"/>
  <c r="E29" i="12"/>
  <c r="F29" i="12" s="1"/>
  <c r="F28" i="12"/>
  <c r="E28" i="12"/>
  <c r="E27" i="12"/>
  <c r="F27" i="12" s="1"/>
  <c r="E26" i="12"/>
  <c r="F26" i="12" s="1"/>
  <c r="F25" i="12"/>
  <c r="E25" i="12"/>
  <c r="F24" i="12"/>
  <c r="E24" i="12"/>
  <c r="E23" i="12"/>
  <c r="F23" i="12" s="1"/>
  <c r="F19" i="12"/>
  <c r="E19" i="12"/>
  <c r="F18" i="12"/>
  <c r="E18" i="12"/>
  <c r="F16" i="12"/>
  <c r="E16" i="12"/>
  <c r="D15" i="12"/>
  <c r="D17" i="12"/>
  <c r="C15" i="12"/>
  <c r="C17" i="12" s="1"/>
  <c r="F14" i="12"/>
  <c r="E14" i="12"/>
  <c r="F13" i="12"/>
  <c r="E13" i="12"/>
  <c r="E12" i="12"/>
  <c r="F12" i="12" s="1"/>
  <c r="F11" i="12"/>
  <c r="E11" i="12"/>
  <c r="D73" i="11"/>
  <c r="C73" i="11"/>
  <c r="E73" i="11" s="1"/>
  <c r="E72" i="11"/>
  <c r="F72" i="11" s="1"/>
  <c r="F71" i="11"/>
  <c r="E71" i="11"/>
  <c r="F70" i="11"/>
  <c r="E70" i="11"/>
  <c r="F67" i="11"/>
  <c r="E67" i="11"/>
  <c r="F64" i="11"/>
  <c r="E64" i="11"/>
  <c r="E63" i="11"/>
  <c r="F63" i="11" s="1"/>
  <c r="D61" i="11"/>
  <c r="E61" i="11" s="1"/>
  <c r="F61" i="11" s="1"/>
  <c r="D65" i="11"/>
  <c r="D75" i="11" s="1"/>
  <c r="C61" i="11"/>
  <c r="F60" i="11"/>
  <c r="E60" i="11"/>
  <c r="E59" i="11"/>
  <c r="F59" i="11"/>
  <c r="D56" i="11"/>
  <c r="C56" i="11"/>
  <c r="E55" i="11"/>
  <c r="F55" i="11"/>
  <c r="F54" i="11"/>
  <c r="E54" i="11"/>
  <c r="E53" i="11"/>
  <c r="F53" i="11" s="1"/>
  <c r="F52" i="11"/>
  <c r="E52" i="11"/>
  <c r="E51" i="11"/>
  <c r="F51" i="11"/>
  <c r="E50" i="11"/>
  <c r="F50" i="11" s="1"/>
  <c r="A50" i="11"/>
  <c r="A51" i="11"/>
  <c r="A52" i="11" s="1"/>
  <c r="A53" i="11" s="1"/>
  <c r="A54" i="11" s="1"/>
  <c r="A55" i="11" s="1"/>
  <c r="E49" i="11"/>
  <c r="F49" i="11" s="1"/>
  <c r="E40" i="11"/>
  <c r="F40" i="11" s="1"/>
  <c r="D38" i="11"/>
  <c r="C38" i="11"/>
  <c r="E37" i="11"/>
  <c r="F37" i="11" s="1"/>
  <c r="E36" i="11"/>
  <c r="F36" i="11"/>
  <c r="E33" i="11"/>
  <c r="F33" i="11" s="1"/>
  <c r="E32" i="11"/>
  <c r="F32" i="11"/>
  <c r="F31" i="11"/>
  <c r="E31" i="11"/>
  <c r="D29" i="11"/>
  <c r="C29" i="11"/>
  <c r="E28" i="11"/>
  <c r="F28" i="11" s="1"/>
  <c r="E27" i="11"/>
  <c r="F27" i="11"/>
  <c r="F26" i="11"/>
  <c r="E26" i="11"/>
  <c r="E25" i="11"/>
  <c r="F25" i="11"/>
  <c r="D22" i="11"/>
  <c r="C22" i="11"/>
  <c r="E21" i="11"/>
  <c r="F21" i="11"/>
  <c r="E20" i="11"/>
  <c r="F20" i="11" s="1"/>
  <c r="E19" i="11"/>
  <c r="F19" i="11"/>
  <c r="F18" i="11"/>
  <c r="E18" i="11"/>
  <c r="F17" i="11"/>
  <c r="E17" i="11"/>
  <c r="E16" i="11"/>
  <c r="F16" i="11" s="1"/>
  <c r="E15" i="11"/>
  <c r="F15" i="11" s="1"/>
  <c r="E14" i="11"/>
  <c r="F14" i="11"/>
  <c r="E13" i="11"/>
  <c r="F13" i="11"/>
  <c r="D120" i="10"/>
  <c r="C120" i="10"/>
  <c r="D119" i="10"/>
  <c r="E119" i="10"/>
  <c r="F119" i="10"/>
  <c r="C119" i="10"/>
  <c r="D118" i="10"/>
  <c r="E118" i="10" s="1"/>
  <c r="F118" i="10" s="1"/>
  <c r="C118" i="10"/>
  <c r="D117" i="10"/>
  <c r="E117" i="10" s="1"/>
  <c r="F117" i="10" s="1"/>
  <c r="C117" i="10"/>
  <c r="D116" i="10"/>
  <c r="C116" i="10"/>
  <c r="D115" i="10"/>
  <c r="C115" i="10"/>
  <c r="D114" i="10"/>
  <c r="E114" i="10" s="1"/>
  <c r="C114" i="10"/>
  <c r="D113" i="10"/>
  <c r="D122" i="10"/>
  <c r="C113" i="10"/>
  <c r="D112" i="10"/>
  <c r="D121" i="10"/>
  <c r="C112" i="10"/>
  <c r="F108" i="10"/>
  <c r="D108" i="10"/>
  <c r="E108" i="10" s="1"/>
  <c r="C108" i="10"/>
  <c r="F107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5" i="10"/>
  <c r="D95" i="10"/>
  <c r="C95" i="10"/>
  <c r="E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E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F60" i="10" s="1"/>
  <c r="D59" i="10"/>
  <c r="E59" i="10" s="1"/>
  <c r="F59" i="10"/>
  <c r="C59" i="10"/>
  <c r="E58" i="10"/>
  <c r="F58" i="10" s="1"/>
  <c r="E57" i="10"/>
  <c r="F57" i="10" s="1"/>
  <c r="F56" i="10"/>
  <c r="E56" i="10"/>
  <c r="E55" i="10"/>
  <c r="F55" i="10" s="1"/>
  <c r="E54" i="10"/>
  <c r="F54" i="10" s="1"/>
  <c r="E53" i="10"/>
  <c r="F53" i="10" s="1"/>
  <c r="E52" i="10"/>
  <c r="F52" i="10" s="1"/>
  <c r="E51" i="10"/>
  <c r="F51" i="10" s="1"/>
  <c r="F50" i="10"/>
  <c r="E50" i="10"/>
  <c r="D48" i="10"/>
  <c r="E48" i="10"/>
  <c r="C48" i="10"/>
  <c r="F48" i="10" s="1"/>
  <c r="F47" i="10"/>
  <c r="D47" i="10"/>
  <c r="C47" i="10"/>
  <c r="E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 s="1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 s="1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D200" i="9"/>
  <c r="C200" i="9"/>
  <c r="E200" i="9" s="1"/>
  <c r="F200" i="9" s="1"/>
  <c r="D199" i="9"/>
  <c r="D208" i="9" s="1"/>
  <c r="C199" i="9"/>
  <c r="D198" i="9"/>
  <c r="D207" i="9" s="1"/>
  <c r="C198" i="9"/>
  <c r="D193" i="9"/>
  <c r="E193" i="9" s="1"/>
  <c r="C193" i="9"/>
  <c r="D192" i="9"/>
  <c r="C192" i="9"/>
  <c r="F191" i="9"/>
  <c r="E191" i="9"/>
  <c r="F190" i="9"/>
  <c r="E190" i="9"/>
  <c r="E189" i="9"/>
  <c r="F189" i="9" s="1"/>
  <c r="F188" i="9"/>
  <c r="E188" i="9"/>
  <c r="F187" i="9"/>
  <c r="E187" i="9"/>
  <c r="E186" i="9"/>
  <c r="F186" i="9"/>
  <c r="E185" i="9"/>
  <c r="F185" i="9" s="1"/>
  <c r="F184" i="9"/>
  <c r="E184" i="9"/>
  <c r="F183" i="9"/>
  <c r="E183" i="9"/>
  <c r="D180" i="9"/>
  <c r="C180" i="9"/>
  <c r="F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 s="1"/>
  <c r="F140" i="9" s="1"/>
  <c r="C140" i="9"/>
  <c r="E139" i="9"/>
  <c r="F139" i="9" s="1"/>
  <c r="E138" i="9"/>
  <c r="F138" i="9"/>
  <c r="E137" i="9"/>
  <c r="F137" i="9" s="1"/>
  <c r="E136" i="9"/>
  <c r="F136" i="9" s="1"/>
  <c r="E135" i="9"/>
  <c r="F135" i="9"/>
  <c r="E134" i="9"/>
  <c r="F134" i="9" s="1"/>
  <c r="E133" i="9"/>
  <c r="F133" i="9" s="1"/>
  <c r="E132" i="9"/>
  <c r="F132" i="9" s="1"/>
  <c r="E131" i="9"/>
  <c r="F131" i="9" s="1"/>
  <c r="D128" i="9"/>
  <c r="E128" i="9" s="1"/>
  <c r="C128" i="9"/>
  <c r="D127" i="9"/>
  <c r="C127" i="9"/>
  <c r="E126" i="9"/>
  <c r="F126" i="9"/>
  <c r="E125" i="9"/>
  <c r="F125" i="9" s="1"/>
  <c r="E124" i="9"/>
  <c r="F124" i="9"/>
  <c r="E123" i="9"/>
  <c r="F123" i="9"/>
  <c r="E122" i="9"/>
  <c r="F122" i="9" s="1"/>
  <c r="E121" i="9"/>
  <c r="F121" i="9" s="1"/>
  <c r="E120" i="9"/>
  <c r="F120" i="9"/>
  <c r="E119" i="9"/>
  <c r="F119" i="9"/>
  <c r="E118" i="9"/>
  <c r="F118" i="9"/>
  <c r="D115" i="9"/>
  <c r="C115" i="9"/>
  <c r="F115" i="9"/>
  <c r="D114" i="9"/>
  <c r="C114" i="9"/>
  <c r="F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D101" i="9"/>
  <c r="C101" i="9"/>
  <c r="E100" i="9"/>
  <c r="F100" i="9" s="1"/>
  <c r="E99" i="9"/>
  <c r="F99" i="9"/>
  <c r="E98" i="9"/>
  <c r="F98" i="9" s="1"/>
  <c r="E97" i="9"/>
  <c r="F97" i="9"/>
  <c r="E96" i="9"/>
  <c r="F96" i="9"/>
  <c r="E95" i="9"/>
  <c r="F95" i="9"/>
  <c r="E94" i="9"/>
  <c r="F94" i="9" s="1"/>
  <c r="E93" i="9"/>
  <c r="F93" i="9"/>
  <c r="E92" i="9"/>
  <c r="F92" i="9"/>
  <c r="D89" i="9"/>
  <c r="C89" i="9"/>
  <c r="F89" i="9"/>
  <c r="D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E74" i="9"/>
  <c r="F74" i="9"/>
  <c r="E73" i="9"/>
  <c r="F73" i="9" s="1"/>
  <c r="E72" i="9"/>
  <c r="F72" i="9"/>
  <c r="E71" i="9"/>
  <c r="F71" i="9"/>
  <c r="E70" i="9"/>
  <c r="F70" i="9" s="1"/>
  <c r="E69" i="9"/>
  <c r="F69" i="9"/>
  <c r="E68" i="9"/>
  <c r="F68" i="9"/>
  <c r="E67" i="9"/>
  <c r="F67" i="9"/>
  <c r="E66" i="9"/>
  <c r="F66" i="9" s="1"/>
  <c r="D63" i="9"/>
  <c r="C63" i="9"/>
  <c r="F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/>
  <c r="E42" i="9"/>
  <c r="F42" i="9" s="1"/>
  <c r="E41" i="9"/>
  <c r="F41" i="9"/>
  <c r="E40" i="9"/>
  <c r="F40" i="9"/>
  <c r="D37" i="9"/>
  <c r="E37" i="9"/>
  <c r="C37" i="9"/>
  <c r="F37" i="9" s="1"/>
  <c r="D36" i="9"/>
  <c r="E36" i="9"/>
  <c r="F36" i="9"/>
  <c r="C36" i="9"/>
  <c r="F35" i="9"/>
  <c r="E35" i="9"/>
  <c r="F34" i="9"/>
  <c r="E34" i="9"/>
  <c r="E33" i="9"/>
  <c r="F33" i="9" s="1"/>
  <c r="F32" i="9"/>
  <c r="E32" i="9"/>
  <c r="F31" i="9"/>
  <c r="E31" i="9"/>
  <c r="F30" i="9"/>
  <c r="E30" i="9"/>
  <c r="E29" i="9"/>
  <c r="F29" i="9" s="1"/>
  <c r="F28" i="9"/>
  <c r="E28" i="9"/>
  <c r="F27" i="9"/>
  <c r="E27" i="9"/>
  <c r="D24" i="9"/>
  <c r="E24" i="9" s="1"/>
  <c r="F24" i="9" s="1"/>
  <c r="C24" i="9"/>
  <c r="D23" i="9"/>
  <c r="C23" i="9"/>
  <c r="F22" i="9"/>
  <c r="E22" i="9"/>
  <c r="F21" i="9"/>
  <c r="E21" i="9"/>
  <c r="E20" i="9"/>
  <c r="F20" i="9" s="1"/>
  <c r="E19" i="9"/>
  <c r="F19" i="9" s="1"/>
  <c r="F18" i="9"/>
  <c r="E18" i="9"/>
  <c r="F17" i="9"/>
  <c r="E17" i="9"/>
  <c r="E16" i="9"/>
  <c r="F16" i="9" s="1"/>
  <c r="E15" i="9"/>
  <c r="F15" i="9" s="1"/>
  <c r="F14" i="9"/>
  <c r="E14" i="9"/>
  <c r="E191" i="8"/>
  <c r="D191" i="8"/>
  <c r="C191" i="8"/>
  <c r="E176" i="8"/>
  <c r="D176" i="8"/>
  <c r="C176" i="8"/>
  <c r="E164" i="8"/>
  <c r="D164" i="8"/>
  <c r="D160" i="8"/>
  <c r="D166" i="8" s="1"/>
  <c r="C164" i="8"/>
  <c r="C160" i="8" s="1"/>
  <c r="C166" i="8" s="1"/>
  <c r="E162" i="8"/>
  <c r="D162" i="8"/>
  <c r="C162" i="8"/>
  <c r="E161" i="8"/>
  <c r="D161" i="8"/>
  <c r="C161" i="8"/>
  <c r="E160" i="8"/>
  <c r="E166" i="8"/>
  <c r="E147" i="8"/>
  <c r="D147" i="8"/>
  <c r="D143" i="8"/>
  <c r="C147" i="8"/>
  <c r="E145" i="8"/>
  <c r="D145" i="8"/>
  <c r="D149" i="8" s="1"/>
  <c r="C145" i="8"/>
  <c r="E144" i="8"/>
  <c r="D144" i="8"/>
  <c r="C144" i="8"/>
  <c r="E143" i="8"/>
  <c r="C143" i="8"/>
  <c r="C149" i="8" s="1"/>
  <c r="E126" i="8"/>
  <c r="D126" i="8"/>
  <c r="C126" i="8"/>
  <c r="E119" i="8"/>
  <c r="D119" i="8"/>
  <c r="C119" i="8"/>
  <c r="E108" i="8"/>
  <c r="D108" i="8"/>
  <c r="C108" i="8"/>
  <c r="E107" i="8"/>
  <c r="D107" i="8"/>
  <c r="D109" i="8"/>
  <c r="D106" i="8"/>
  <c r="C107" i="8"/>
  <c r="C109" i="8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/>
  <c r="E89" i="8"/>
  <c r="D89" i="8"/>
  <c r="C89" i="8"/>
  <c r="E88" i="8"/>
  <c r="E90" i="8"/>
  <c r="E86" i="8" s="1"/>
  <c r="C88" i="8"/>
  <c r="C90" i="8" s="1"/>
  <c r="C86" i="8" s="1"/>
  <c r="E87" i="8"/>
  <c r="D87" i="8"/>
  <c r="C87" i="8"/>
  <c r="E84" i="8"/>
  <c r="E79" i="8" s="1"/>
  <c r="D84" i="8"/>
  <c r="C84" i="8"/>
  <c r="C79" i="8" s="1"/>
  <c r="E83" i="8"/>
  <c r="D83" i="8"/>
  <c r="C83" i="8"/>
  <c r="D79" i="8"/>
  <c r="E77" i="8"/>
  <c r="E71" i="8"/>
  <c r="E75" i="8"/>
  <c r="D75" i="8"/>
  <c r="D88" i="8"/>
  <c r="D90" i="8"/>
  <c r="D86" i="8"/>
  <c r="C75" i="8"/>
  <c r="C77" i="8" s="1"/>
  <c r="C71" i="8" s="1"/>
  <c r="E74" i="8"/>
  <c r="D74" i="8"/>
  <c r="C74" i="8"/>
  <c r="E67" i="8"/>
  <c r="D67" i="8"/>
  <c r="C67" i="8"/>
  <c r="D53" i="8"/>
  <c r="D43" i="8"/>
  <c r="E38" i="8"/>
  <c r="D38" i="8"/>
  <c r="D57" i="8"/>
  <c r="D62" i="8" s="1"/>
  <c r="C38" i="8"/>
  <c r="C57" i="8" s="1"/>
  <c r="C62" i="8" s="1"/>
  <c r="E33" i="8"/>
  <c r="E34" i="8" s="1"/>
  <c r="D33" i="8"/>
  <c r="D34" i="8"/>
  <c r="E26" i="8"/>
  <c r="D26" i="8"/>
  <c r="C26" i="8"/>
  <c r="E25" i="8"/>
  <c r="E15" i="8"/>
  <c r="E24" i="8" s="1"/>
  <c r="C15" i="8"/>
  <c r="C17" i="8" s="1"/>
  <c r="C112" i="8" s="1"/>
  <c r="C111" i="8" s="1"/>
  <c r="C24" i="8"/>
  <c r="E13" i="8"/>
  <c r="D13" i="8"/>
  <c r="D25" i="8" s="1"/>
  <c r="D27" i="8" s="1"/>
  <c r="C13" i="8"/>
  <c r="C25" i="8" s="1"/>
  <c r="F186" i="7"/>
  <c r="E186" i="7"/>
  <c r="D183" i="7"/>
  <c r="C183" i="7"/>
  <c r="F182" i="7"/>
  <c r="E182" i="7"/>
  <c r="F181" i="7"/>
  <c r="E181" i="7"/>
  <c r="E180" i="7"/>
  <c r="F180" i="7" s="1"/>
  <c r="F179" i="7"/>
  <c r="E179" i="7"/>
  <c r="F178" i="7"/>
  <c r="E178" i="7"/>
  <c r="F177" i="7"/>
  <c r="E177" i="7"/>
  <c r="E176" i="7"/>
  <c r="F176" i="7" s="1"/>
  <c r="F175" i="7"/>
  <c r="E175" i="7"/>
  <c r="F174" i="7"/>
  <c r="E174" i="7"/>
  <c r="E173" i="7"/>
  <c r="F173" i="7" s="1"/>
  <c r="F172" i="7"/>
  <c r="E172" i="7"/>
  <c r="E171" i="7"/>
  <c r="F171" i="7" s="1"/>
  <c r="E170" i="7"/>
  <c r="F170" i="7" s="1"/>
  <c r="D167" i="7"/>
  <c r="D188" i="7" s="1"/>
  <c r="E167" i="7"/>
  <c r="F167" i="7" s="1"/>
  <c r="C167" i="7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E158" i="7"/>
  <c r="F158" i="7" s="1"/>
  <c r="F157" i="7"/>
  <c r="E157" i="7"/>
  <c r="E156" i="7"/>
  <c r="F156" i="7" s="1"/>
  <c r="F155" i="7"/>
  <c r="E155" i="7"/>
  <c r="F154" i="7"/>
  <c r="E154" i="7"/>
  <c r="F153" i="7"/>
  <c r="E153" i="7"/>
  <c r="E152" i="7"/>
  <c r="F152" i="7" s="1"/>
  <c r="F151" i="7"/>
  <c r="E151" i="7"/>
  <c r="F150" i="7"/>
  <c r="E150" i="7"/>
  <c r="F149" i="7"/>
  <c r="E149" i="7"/>
  <c r="F148" i="7"/>
  <c r="E148" i="7"/>
  <c r="F147" i="7"/>
  <c r="E147" i="7"/>
  <c r="E146" i="7"/>
  <c r="F146" i="7" s="1"/>
  <c r="E145" i="7"/>
  <c r="F145" i="7" s="1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E130" i="7" s="1"/>
  <c r="F130" i="7" s="1"/>
  <c r="C130" i="7"/>
  <c r="F129" i="7"/>
  <c r="E129" i="7"/>
  <c r="F128" i="7"/>
  <c r="E128" i="7"/>
  <c r="F127" i="7"/>
  <c r="E127" i="7"/>
  <c r="F126" i="7"/>
  <c r="E126" i="7"/>
  <c r="F125" i="7"/>
  <c r="E125" i="7"/>
  <c r="E124" i="7"/>
  <c r="F124" i="7" s="1"/>
  <c r="D121" i="7"/>
  <c r="C121" i="7"/>
  <c r="E120" i="7"/>
  <c r="F120" i="7" s="1"/>
  <c r="F119" i="7"/>
  <c r="E119" i="7"/>
  <c r="E118" i="7"/>
  <c r="F118" i="7" s="1"/>
  <c r="E117" i="7"/>
  <c r="F117" i="7" s="1"/>
  <c r="E116" i="7"/>
  <c r="F116" i="7" s="1"/>
  <c r="E115" i="7"/>
  <c r="F115" i="7" s="1"/>
  <c r="F114" i="7"/>
  <c r="E114" i="7"/>
  <c r="F113" i="7"/>
  <c r="E113" i="7"/>
  <c r="E112" i="7"/>
  <c r="F112" i="7" s="1"/>
  <c r="F111" i="7"/>
  <c r="E111" i="7"/>
  <c r="F110" i="7"/>
  <c r="E110" i="7"/>
  <c r="F109" i="7"/>
  <c r="E109" i="7"/>
  <c r="F108" i="7"/>
  <c r="E108" i="7"/>
  <c r="F107" i="7"/>
  <c r="E107" i="7"/>
  <c r="F106" i="7"/>
  <c r="E106" i="7"/>
  <c r="E105" i="7"/>
  <c r="F105" i="7" s="1"/>
  <c r="E104" i="7"/>
  <c r="F104" i="7" s="1"/>
  <c r="E103" i="7"/>
  <c r="F103" i="7" s="1"/>
  <c r="F93" i="7"/>
  <c r="E93" i="7"/>
  <c r="D90" i="7"/>
  <c r="C90" i="7"/>
  <c r="F89" i="7"/>
  <c r="E89" i="7"/>
  <c r="F88" i="7"/>
  <c r="E88" i="7"/>
  <c r="F87" i="7"/>
  <c r="E87" i="7"/>
  <c r="E86" i="7"/>
  <c r="F86" i="7" s="1"/>
  <c r="F85" i="7"/>
  <c r="E85" i="7"/>
  <c r="F84" i="7"/>
  <c r="E84" i="7"/>
  <c r="F83" i="7"/>
  <c r="E83" i="7"/>
  <c r="E82" i="7"/>
  <c r="F82" i="7" s="1"/>
  <c r="F81" i="7"/>
  <c r="E81" i="7"/>
  <c r="F80" i="7"/>
  <c r="E80" i="7"/>
  <c r="F79" i="7"/>
  <c r="E79" i="7"/>
  <c r="E78" i="7"/>
  <c r="F78" i="7" s="1"/>
  <c r="F77" i="7"/>
  <c r="E77" i="7"/>
  <c r="F76" i="7"/>
  <c r="E76" i="7"/>
  <c r="E75" i="7"/>
  <c r="F75" i="7" s="1"/>
  <c r="E74" i="7"/>
  <c r="F74" i="7" s="1"/>
  <c r="E73" i="7"/>
  <c r="F73" i="7" s="1"/>
  <c r="F72" i="7"/>
  <c r="E72" i="7"/>
  <c r="E71" i="7"/>
  <c r="F71" i="7" s="1"/>
  <c r="E70" i="7"/>
  <c r="F70" i="7" s="1"/>
  <c r="F69" i="7"/>
  <c r="E69" i="7"/>
  <c r="F68" i="7"/>
  <c r="E68" i="7"/>
  <c r="F67" i="7"/>
  <c r="E67" i="7"/>
  <c r="E66" i="7"/>
  <c r="F66" i="7" s="1"/>
  <c r="E65" i="7"/>
  <c r="F65" i="7" s="1"/>
  <c r="E64" i="7"/>
  <c r="F64" i="7" s="1"/>
  <c r="F63" i="7"/>
  <c r="E63" i="7"/>
  <c r="E62" i="7"/>
  <c r="F62" i="7" s="1"/>
  <c r="D59" i="7"/>
  <c r="E59" i="7"/>
  <c r="F59" i="7"/>
  <c r="C59" i="7"/>
  <c r="F58" i="7"/>
  <c r="E58" i="7"/>
  <c r="E57" i="7"/>
  <c r="F57" i="7" s="1"/>
  <c r="F56" i="7"/>
  <c r="E56" i="7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E40" i="7"/>
  <c r="F40" i="7" s="1"/>
  <c r="F39" i="7"/>
  <c r="E39" i="7"/>
  <c r="E38" i="7"/>
  <c r="F38" i="7" s="1"/>
  <c r="D35" i="7"/>
  <c r="C35" i="7"/>
  <c r="E34" i="7"/>
  <c r="F34" i="7" s="1"/>
  <c r="E33" i="7"/>
  <c r="F33" i="7" s="1"/>
  <c r="D30" i="7"/>
  <c r="C30" i="7"/>
  <c r="E30" i="7" s="1"/>
  <c r="E29" i="7"/>
  <c r="F29" i="7" s="1"/>
  <c r="E28" i="7"/>
  <c r="F28" i="7" s="1"/>
  <c r="F27" i="7"/>
  <c r="E27" i="7"/>
  <c r="D24" i="7"/>
  <c r="C24" i="7"/>
  <c r="E23" i="7"/>
  <c r="F23" i="7" s="1"/>
  <c r="F22" i="7"/>
  <c r="E22" i="7"/>
  <c r="F21" i="7"/>
  <c r="E21" i="7"/>
  <c r="D18" i="7"/>
  <c r="E18" i="7"/>
  <c r="F18" i="7"/>
  <c r="C18" i="7"/>
  <c r="F17" i="7"/>
  <c r="E17" i="7"/>
  <c r="F16" i="7"/>
  <c r="E16" i="7"/>
  <c r="E15" i="7"/>
  <c r="F15" i="7" s="1"/>
  <c r="D179" i="6"/>
  <c r="E179" i="6"/>
  <c r="F179" i="6" s="1"/>
  <c r="C179" i="6"/>
  <c r="E178" i="6"/>
  <c r="F178" i="6" s="1"/>
  <c r="F177" i="6"/>
  <c r="E177" i="6"/>
  <c r="E176" i="6"/>
  <c r="F176" i="6" s="1"/>
  <c r="F175" i="6"/>
  <c r="E175" i="6"/>
  <c r="F174" i="6"/>
  <c r="E174" i="6"/>
  <c r="E173" i="6"/>
  <c r="F173" i="6" s="1"/>
  <c r="E172" i="6"/>
  <c r="F172" i="6" s="1"/>
  <c r="F171" i="6"/>
  <c r="E171" i="6"/>
  <c r="F170" i="6"/>
  <c r="E170" i="6"/>
  <c r="E169" i="6"/>
  <c r="F169" i="6" s="1"/>
  <c r="F168" i="6"/>
  <c r="E168" i="6"/>
  <c r="D166" i="6"/>
  <c r="C166" i="6"/>
  <c r="F165" i="6"/>
  <c r="E165" i="6"/>
  <c r="F164" i="6"/>
  <c r="E164" i="6"/>
  <c r="F163" i="6"/>
  <c r="E163" i="6"/>
  <c r="E162" i="6"/>
  <c r="F162" i="6" s="1"/>
  <c r="F161" i="6"/>
  <c r="E161" i="6"/>
  <c r="E160" i="6"/>
  <c r="F160" i="6" s="1"/>
  <c r="F159" i="6"/>
  <c r="E159" i="6"/>
  <c r="E158" i="6"/>
  <c r="F158" i="6" s="1"/>
  <c r="E157" i="6"/>
  <c r="F157" i="6" s="1"/>
  <c r="E156" i="6"/>
  <c r="F156" i="6" s="1"/>
  <c r="F155" i="6"/>
  <c r="E155" i="6"/>
  <c r="D153" i="6"/>
  <c r="E153" i="6" s="1"/>
  <c r="C153" i="6"/>
  <c r="F152" i="6"/>
  <c r="E152" i="6"/>
  <c r="F151" i="6"/>
  <c r="E151" i="6"/>
  <c r="E150" i="6"/>
  <c r="F150" i="6" s="1"/>
  <c r="E149" i="6"/>
  <c r="F149" i="6" s="1"/>
  <c r="F148" i="6"/>
  <c r="E148" i="6"/>
  <c r="F147" i="6"/>
  <c r="E147" i="6"/>
  <c r="F146" i="6"/>
  <c r="E146" i="6"/>
  <c r="E145" i="6"/>
  <c r="F145" i="6" s="1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E134" i="6"/>
  <c r="F134" i="6" s="1"/>
  <c r="E133" i="6"/>
  <c r="F133" i="6" s="1"/>
  <c r="F132" i="6"/>
  <c r="E132" i="6"/>
  <c r="E131" i="6"/>
  <c r="F131" i="6" s="1"/>
  <c r="E130" i="6"/>
  <c r="F130" i="6" s="1"/>
  <c r="E129" i="6"/>
  <c r="F129" i="6" s="1"/>
  <c r="F128" i="6"/>
  <c r="E128" i="6"/>
  <c r="F127" i="6"/>
  <c r="E127" i="6"/>
  <c r="E126" i="6"/>
  <c r="F126" i="6" s="1"/>
  <c r="D124" i="6"/>
  <c r="E124" i="6" s="1"/>
  <c r="F124" i="6"/>
  <c r="C124" i="6"/>
  <c r="F123" i="6"/>
  <c r="E123" i="6"/>
  <c r="F122" i="6"/>
  <c r="E122" i="6"/>
  <c r="F121" i="6"/>
  <c r="E121" i="6"/>
  <c r="F120" i="6"/>
  <c r="E120" i="6"/>
  <c r="F119" i="6"/>
  <c r="E119" i="6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F108" i="6"/>
  <c r="E108" i="6"/>
  <c r="E107" i="6"/>
  <c r="F107" i="6" s="1"/>
  <c r="F106" i="6"/>
  <c r="E106" i="6"/>
  <c r="F105" i="6"/>
  <c r="E105" i="6"/>
  <c r="F104" i="6"/>
  <c r="E104" i="6"/>
  <c r="E103" i="6"/>
  <c r="F103" i="6" s="1"/>
  <c r="E102" i="6"/>
  <c r="F102" i="6" s="1"/>
  <c r="E101" i="6"/>
  <c r="F101" i="6" s="1"/>
  <c r="F100" i="6"/>
  <c r="E100" i="6"/>
  <c r="D94" i="6"/>
  <c r="C94" i="6"/>
  <c r="F94" i="6" s="1"/>
  <c r="F93" i="6"/>
  <c r="D93" i="6"/>
  <c r="E93" i="6"/>
  <c r="C93" i="6"/>
  <c r="D92" i="6"/>
  <c r="E92" i="6"/>
  <c r="C92" i="6"/>
  <c r="D91" i="6"/>
  <c r="E91" i="6" s="1"/>
  <c r="F91" i="6" s="1"/>
  <c r="C91" i="6"/>
  <c r="D90" i="6"/>
  <c r="E90" i="6" s="1"/>
  <c r="C90" i="6"/>
  <c r="F90" i="6" s="1"/>
  <c r="D89" i="6"/>
  <c r="E89" i="6"/>
  <c r="F89" i="6"/>
  <c r="C89" i="6"/>
  <c r="D88" i="6"/>
  <c r="C88" i="6"/>
  <c r="D87" i="6"/>
  <c r="E87" i="6" s="1"/>
  <c r="F87" i="6" s="1"/>
  <c r="C87" i="6"/>
  <c r="D86" i="6"/>
  <c r="E86" i="6"/>
  <c r="C86" i="6"/>
  <c r="D85" i="6"/>
  <c r="C85" i="6"/>
  <c r="D84" i="6"/>
  <c r="E84" i="6" s="1"/>
  <c r="C84" i="6"/>
  <c r="D81" i="6"/>
  <c r="E81" i="6" s="1"/>
  <c r="F81" i="6" s="1"/>
  <c r="C81" i="6"/>
  <c r="F80" i="6"/>
  <c r="E80" i="6"/>
  <c r="F79" i="6"/>
  <c r="E79" i="6"/>
  <c r="E78" i="6"/>
  <c r="F78" i="6" s="1"/>
  <c r="F77" i="6"/>
  <c r="E77" i="6"/>
  <c r="F76" i="6"/>
  <c r="E76" i="6"/>
  <c r="E75" i="6"/>
  <c r="F75" i="6" s="1"/>
  <c r="E74" i="6"/>
  <c r="F74" i="6" s="1"/>
  <c r="F73" i="6"/>
  <c r="E73" i="6"/>
  <c r="E72" i="6"/>
  <c r="F72" i="6" s="1"/>
  <c r="E71" i="6"/>
  <c r="F71" i="6" s="1"/>
  <c r="F70" i="6"/>
  <c r="E70" i="6"/>
  <c r="D68" i="6"/>
  <c r="E68" i="6" s="1"/>
  <c r="F68" i="6"/>
  <c r="C68" i="6"/>
  <c r="F67" i="6"/>
  <c r="E67" i="6"/>
  <c r="F66" i="6"/>
  <c r="E66" i="6"/>
  <c r="F65" i="6"/>
  <c r="E65" i="6"/>
  <c r="F64" i="6"/>
  <c r="E64" i="6"/>
  <c r="F63" i="6"/>
  <c r="E63" i="6"/>
  <c r="E62" i="6"/>
  <c r="F62" i="6" s="1"/>
  <c r="F61" i="6"/>
  <c r="E61" i="6"/>
  <c r="F60" i="6"/>
  <c r="E60" i="6"/>
  <c r="E59" i="6"/>
  <c r="F59" i="6" s="1"/>
  <c r="E58" i="6"/>
  <c r="F58" i="6" s="1"/>
  <c r="F57" i="6"/>
  <c r="E57" i="6"/>
  <c r="F51" i="6"/>
  <c r="D51" i="6"/>
  <c r="E51" i="6" s="1"/>
  <c r="C51" i="6"/>
  <c r="F50" i="6"/>
  <c r="D50" i="6"/>
  <c r="E50" i="6"/>
  <c r="C50" i="6"/>
  <c r="D49" i="6"/>
  <c r="C49" i="6"/>
  <c r="D48" i="6"/>
  <c r="E48" i="6"/>
  <c r="F48" i="6"/>
  <c r="C48" i="6"/>
  <c r="F47" i="6"/>
  <c r="D47" i="6"/>
  <c r="C47" i="6"/>
  <c r="D46" i="6"/>
  <c r="E46" i="6" s="1"/>
  <c r="F46" i="6"/>
  <c r="C46" i="6"/>
  <c r="D45" i="6"/>
  <c r="E45" i="6" s="1"/>
  <c r="C45" i="6"/>
  <c r="D44" i="6"/>
  <c r="E44" i="6"/>
  <c r="F44" i="6" s="1"/>
  <c r="C44" i="6"/>
  <c r="D43" i="6"/>
  <c r="C43" i="6"/>
  <c r="C52" i="6" s="1"/>
  <c r="D42" i="6"/>
  <c r="E42" i="6"/>
  <c r="F42" i="6" s="1"/>
  <c r="C42" i="6"/>
  <c r="D41" i="6"/>
  <c r="D52" i="6" s="1"/>
  <c r="E41" i="6"/>
  <c r="C41" i="6"/>
  <c r="D38" i="6"/>
  <c r="E38" i="6"/>
  <c r="C38" i="6"/>
  <c r="F37" i="6"/>
  <c r="E37" i="6"/>
  <c r="F36" i="6"/>
  <c r="E36" i="6"/>
  <c r="F35" i="6"/>
  <c r="E35" i="6"/>
  <c r="E34" i="6"/>
  <c r="F34" i="6" s="1"/>
  <c r="F33" i="6"/>
  <c r="E33" i="6"/>
  <c r="E32" i="6"/>
  <c r="F32" i="6" s="1"/>
  <c r="E31" i="6"/>
  <c r="F31" i="6" s="1"/>
  <c r="E30" i="6"/>
  <c r="F30" i="6" s="1"/>
  <c r="F29" i="6"/>
  <c r="E29" i="6"/>
  <c r="E28" i="6"/>
  <c r="F28" i="6" s="1"/>
  <c r="E27" i="6"/>
  <c r="F27" i="6" s="1"/>
  <c r="D25" i="6"/>
  <c r="E25" i="6"/>
  <c r="F25" i="6"/>
  <c r="C25" i="6"/>
  <c r="F24" i="6"/>
  <c r="E24" i="6"/>
  <c r="F23" i="6"/>
  <c r="E23" i="6"/>
  <c r="E22" i="6"/>
  <c r="F22" i="6" s="1"/>
  <c r="F21" i="6"/>
  <c r="E21" i="6"/>
  <c r="F20" i="6"/>
  <c r="E20" i="6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E48" i="5"/>
  <c r="C48" i="5"/>
  <c r="F48" i="5" s="1"/>
  <c r="F47" i="5"/>
  <c r="E47" i="5"/>
  <c r="F46" i="5"/>
  <c r="E46" i="5"/>
  <c r="D41" i="5"/>
  <c r="E41" i="5"/>
  <c r="F41" i="5"/>
  <c r="C41" i="5"/>
  <c r="E40" i="5"/>
  <c r="F40" i="5" s="1"/>
  <c r="F39" i="5"/>
  <c r="E39" i="5"/>
  <c r="F38" i="5"/>
  <c r="E38" i="5"/>
  <c r="D33" i="5"/>
  <c r="E33" i="5"/>
  <c r="C33" i="5"/>
  <c r="F32" i="5"/>
  <c r="E32" i="5"/>
  <c r="E31" i="5"/>
  <c r="F31" i="5" s="1"/>
  <c r="E30" i="5"/>
  <c r="F30" i="5" s="1"/>
  <c r="F29" i="5"/>
  <c r="E29" i="5"/>
  <c r="F28" i="5"/>
  <c r="E28" i="5"/>
  <c r="E27" i="5"/>
  <c r="F27" i="5" s="1"/>
  <c r="E26" i="5"/>
  <c r="F26" i="5" s="1"/>
  <c r="E25" i="5"/>
  <c r="F25" i="5" s="1"/>
  <c r="F24" i="5"/>
  <c r="E24" i="5"/>
  <c r="E20" i="5"/>
  <c r="F20" i="5" s="1"/>
  <c r="F19" i="5"/>
  <c r="E19" i="5"/>
  <c r="E17" i="5"/>
  <c r="F17" i="5" s="1"/>
  <c r="D16" i="5"/>
  <c r="D18" i="5" s="1"/>
  <c r="E18" i="5" s="1"/>
  <c r="C16" i="5"/>
  <c r="C18" i="5"/>
  <c r="F15" i="5"/>
  <c r="E15" i="5"/>
  <c r="E14" i="5"/>
  <c r="F14" i="5" s="1"/>
  <c r="F13" i="5"/>
  <c r="E13" i="5"/>
  <c r="F12" i="5"/>
  <c r="E12" i="5"/>
  <c r="D73" i="4"/>
  <c r="C73" i="4"/>
  <c r="E72" i="4"/>
  <c r="F72" i="4"/>
  <c r="E71" i="4"/>
  <c r="F71" i="4" s="1"/>
  <c r="E70" i="4"/>
  <c r="F70" i="4"/>
  <c r="F67" i="4"/>
  <c r="E67" i="4"/>
  <c r="F64" i="4"/>
  <c r="E64" i="4"/>
  <c r="E63" i="4"/>
  <c r="F63" i="4" s="1"/>
  <c r="D61" i="4"/>
  <c r="D65" i="4"/>
  <c r="C61" i="4"/>
  <c r="F60" i="4"/>
  <c r="E60" i="4"/>
  <c r="E59" i="4"/>
  <c r="F59" i="4"/>
  <c r="D56" i="4"/>
  <c r="C56" i="4"/>
  <c r="E55" i="4"/>
  <c r="F55" i="4" s="1"/>
  <c r="F54" i="4"/>
  <c r="E54" i="4"/>
  <c r="E53" i="4"/>
  <c r="F53" i="4" s="1"/>
  <c r="F52" i="4"/>
  <c r="E52" i="4"/>
  <c r="E51" i="4"/>
  <c r="F51" i="4"/>
  <c r="E50" i="4"/>
  <c r="F50" i="4" s="1"/>
  <c r="A50" i="4"/>
  <c r="A51" i="4" s="1"/>
  <c r="A52" i="4" s="1"/>
  <c r="A53" i="4" s="1"/>
  <c r="A54" i="4" s="1"/>
  <c r="A55" i="4" s="1"/>
  <c r="E49" i="4"/>
  <c r="F49" i="4"/>
  <c r="E40" i="4"/>
  <c r="F40" i="4" s="1"/>
  <c r="D38" i="4"/>
  <c r="D41" i="4"/>
  <c r="C38" i="4"/>
  <c r="E37" i="4"/>
  <c r="F37" i="4" s="1"/>
  <c r="E36" i="4"/>
  <c r="F36" i="4"/>
  <c r="E33" i="4"/>
  <c r="F33" i="4"/>
  <c r="E32" i="4"/>
  <c r="F32" i="4"/>
  <c r="F31" i="4"/>
  <c r="E31" i="4"/>
  <c r="D29" i="4"/>
  <c r="C29" i="4"/>
  <c r="E28" i="4"/>
  <c r="F28" i="4"/>
  <c r="E27" i="4"/>
  <c r="F27" i="4"/>
  <c r="F26" i="4"/>
  <c r="E26" i="4"/>
  <c r="E25" i="4"/>
  <c r="F25" i="4"/>
  <c r="D22" i="4"/>
  <c r="C22" i="4"/>
  <c r="E21" i="4"/>
  <c r="F21" i="4"/>
  <c r="E20" i="4"/>
  <c r="F20" i="4" s="1"/>
  <c r="E19" i="4"/>
  <c r="F19" i="4" s="1"/>
  <c r="F18" i="4"/>
  <c r="E18" i="4"/>
  <c r="E17" i="4"/>
  <c r="F17" i="4"/>
  <c r="E16" i="4"/>
  <c r="F16" i="4" s="1"/>
  <c r="E15" i="4"/>
  <c r="F15" i="4" s="1"/>
  <c r="E14" i="4"/>
  <c r="F14" i="4"/>
  <c r="E13" i="4"/>
  <c r="F13" i="4" s="1"/>
  <c r="E109" i="22"/>
  <c r="E108" i="22"/>
  <c r="D22" i="22"/>
  <c r="D35" i="22" s="1"/>
  <c r="C23" i="22"/>
  <c r="E23" i="22"/>
  <c r="C34" i="22"/>
  <c r="E34" i="22"/>
  <c r="C102" i="22"/>
  <c r="C103" i="22" s="1"/>
  <c r="E102" i="22"/>
  <c r="C22" i="22"/>
  <c r="C53" i="22" s="1"/>
  <c r="E22" i="22"/>
  <c r="D41" i="20"/>
  <c r="E19" i="20"/>
  <c r="F19" i="20"/>
  <c r="C40" i="20"/>
  <c r="E43" i="20"/>
  <c r="E85" i="17"/>
  <c r="D192" i="17"/>
  <c r="E130" i="17"/>
  <c r="F130" i="17" s="1"/>
  <c r="E145" i="17"/>
  <c r="E155" i="17"/>
  <c r="E180" i="17"/>
  <c r="C22" i="19"/>
  <c r="E100" i="17"/>
  <c r="C283" i="18"/>
  <c r="C22" i="18"/>
  <c r="E21" i="18"/>
  <c r="D33" i="18"/>
  <c r="D43" i="18"/>
  <c r="D44" i="18"/>
  <c r="D55" i="18"/>
  <c r="E54" i="18"/>
  <c r="D289" i="18"/>
  <c r="D71" i="18"/>
  <c r="D65" i="18"/>
  <c r="E69" i="18"/>
  <c r="D234" i="18"/>
  <c r="F230" i="17"/>
  <c r="E296" i="17"/>
  <c r="E297" i="17"/>
  <c r="F297" i="17"/>
  <c r="D144" i="18"/>
  <c r="D145" i="18" s="1"/>
  <c r="C145" i="18"/>
  <c r="E216" i="18"/>
  <c r="C222" i="18"/>
  <c r="C223" i="18" s="1"/>
  <c r="C252" i="18"/>
  <c r="C254" i="18" s="1"/>
  <c r="E231" i="18"/>
  <c r="C244" i="18"/>
  <c r="D245" i="18"/>
  <c r="C253" i="18"/>
  <c r="D303" i="18"/>
  <c r="D306" i="18" s="1"/>
  <c r="E306" i="18" s="1"/>
  <c r="D302" i="18"/>
  <c r="E302" i="18" s="1"/>
  <c r="D316" i="18"/>
  <c r="D260" i="18"/>
  <c r="D211" i="18"/>
  <c r="E301" i="18"/>
  <c r="D222" i="18"/>
  <c r="D32" i="17"/>
  <c r="E31" i="17"/>
  <c r="F31" i="17" s="1"/>
  <c r="D160" i="17"/>
  <c r="D61" i="17"/>
  <c r="E60" i="17"/>
  <c r="F60" i="17"/>
  <c r="F89" i="17"/>
  <c r="E146" i="17"/>
  <c r="C32" i="17"/>
  <c r="C61" i="17"/>
  <c r="D103" i="17"/>
  <c r="C138" i="17"/>
  <c r="C21" i="17"/>
  <c r="E30" i="17"/>
  <c r="F30" i="17"/>
  <c r="E47" i="17"/>
  <c r="E59" i="17"/>
  <c r="F59" i="17"/>
  <c r="F100" i="17"/>
  <c r="D124" i="17"/>
  <c r="F129" i="17"/>
  <c r="F145" i="17"/>
  <c r="F155" i="17"/>
  <c r="F164" i="17"/>
  <c r="F165" i="17"/>
  <c r="F179" i="17"/>
  <c r="F180" i="17"/>
  <c r="E188" i="17"/>
  <c r="F188" i="17" s="1"/>
  <c r="D261" i="17"/>
  <c r="D214" i="17"/>
  <c r="D190" i="17"/>
  <c r="E190" i="17" s="1"/>
  <c r="F190" i="17" s="1"/>
  <c r="D21" i="17"/>
  <c r="D161" i="17" s="1"/>
  <c r="E88" i="17"/>
  <c r="F88" i="17"/>
  <c r="E101" i="17"/>
  <c r="E123" i="17"/>
  <c r="F123" i="17"/>
  <c r="C124" i="17"/>
  <c r="E144" i="17"/>
  <c r="F144" i="17" s="1"/>
  <c r="E171" i="17"/>
  <c r="D278" i="17"/>
  <c r="E189" i="17"/>
  <c r="D262" i="17"/>
  <c r="D215" i="17"/>
  <c r="D290" i="17"/>
  <c r="D274" i="17"/>
  <c r="D199" i="17"/>
  <c r="D200" i="17"/>
  <c r="D283" i="17"/>
  <c r="D267" i="17"/>
  <c r="D285" i="17"/>
  <c r="D269" i="17"/>
  <c r="E269" i="17" s="1"/>
  <c r="F269" i="17" s="1"/>
  <c r="D205" i="17"/>
  <c r="E205" i="17" s="1"/>
  <c r="F226" i="17"/>
  <c r="D227" i="17"/>
  <c r="D239" i="17"/>
  <c r="E306" i="17"/>
  <c r="D264" i="17"/>
  <c r="C190" i="17"/>
  <c r="E191" i="17"/>
  <c r="E203" i="17"/>
  <c r="E204" i="17"/>
  <c r="F204" i="17" s="1"/>
  <c r="C205" i="17"/>
  <c r="C206" i="17"/>
  <c r="E250" i="17"/>
  <c r="F250" i="17" s="1"/>
  <c r="C254" i="17"/>
  <c r="C255" i="17"/>
  <c r="C261" i="17"/>
  <c r="C267" i="17"/>
  <c r="C269" i="17"/>
  <c r="F298" i="17"/>
  <c r="F38" i="14"/>
  <c r="F40" i="14" s="1"/>
  <c r="F31" i="14"/>
  <c r="H31" i="14"/>
  <c r="C20" i="13"/>
  <c r="E21" i="13"/>
  <c r="E20" i="13"/>
  <c r="D15" i="13"/>
  <c r="D17" i="13" s="1"/>
  <c r="C28" i="13"/>
  <c r="C70" i="13" s="1"/>
  <c r="C72" i="13" s="1"/>
  <c r="E17" i="13"/>
  <c r="E28" i="13" s="1"/>
  <c r="E70" i="13"/>
  <c r="E72" i="13" s="1"/>
  <c r="E69" i="13"/>
  <c r="D48" i="13"/>
  <c r="D42" i="13" s="1"/>
  <c r="D20" i="12"/>
  <c r="D34" i="12" s="1"/>
  <c r="E17" i="12"/>
  <c r="F17" i="12" s="1"/>
  <c r="C20" i="12"/>
  <c r="E20" i="12" s="1"/>
  <c r="E15" i="12"/>
  <c r="F15" i="12"/>
  <c r="E65" i="11"/>
  <c r="E29" i="11"/>
  <c r="F29" i="11" s="1"/>
  <c r="E56" i="11"/>
  <c r="C65" i="11"/>
  <c r="E112" i="10"/>
  <c r="E113" i="10"/>
  <c r="F113" i="10" s="1"/>
  <c r="E50" i="9"/>
  <c r="F50" i="9"/>
  <c r="E63" i="9"/>
  <c r="F75" i="9"/>
  <c r="E88" i="9"/>
  <c r="F49" i="9"/>
  <c r="E62" i="9"/>
  <c r="E89" i="9"/>
  <c r="E101" i="9"/>
  <c r="F101" i="9" s="1"/>
  <c r="E102" i="9"/>
  <c r="F102" i="9" s="1"/>
  <c r="E114" i="9"/>
  <c r="E115" i="9"/>
  <c r="E127" i="9"/>
  <c r="F127" i="9"/>
  <c r="F128" i="9"/>
  <c r="E141" i="9"/>
  <c r="F141" i="9" s="1"/>
  <c r="E154" i="9"/>
  <c r="E166" i="9"/>
  <c r="E167" i="9"/>
  <c r="E180" i="9"/>
  <c r="F193" i="9"/>
  <c r="E198" i="9"/>
  <c r="F198" i="9" s="1"/>
  <c r="E201" i="9"/>
  <c r="F201" i="9"/>
  <c r="E202" i="9"/>
  <c r="F202" i="9"/>
  <c r="E203" i="9"/>
  <c r="F203" i="9" s="1"/>
  <c r="E205" i="9"/>
  <c r="F205" i="9"/>
  <c r="E206" i="9"/>
  <c r="F206" i="9" s="1"/>
  <c r="C207" i="9"/>
  <c r="D21" i="8"/>
  <c r="C140" i="8"/>
  <c r="C136" i="8"/>
  <c r="C137" i="8"/>
  <c r="E156" i="8"/>
  <c r="E154" i="8"/>
  <c r="D157" i="8"/>
  <c r="D155" i="8"/>
  <c r="D153" i="8"/>
  <c r="D139" i="8"/>
  <c r="D135" i="8"/>
  <c r="D138" i="8"/>
  <c r="D136" i="8"/>
  <c r="C156" i="8"/>
  <c r="C154" i="8"/>
  <c r="D15" i="8"/>
  <c r="D24" i="8" s="1"/>
  <c r="D20" i="8" s="1"/>
  <c r="E17" i="8"/>
  <c r="E28" i="8" s="1"/>
  <c r="C43" i="8"/>
  <c r="D49" i="8"/>
  <c r="C53" i="8"/>
  <c r="D77" i="8"/>
  <c r="D71" i="8"/>
  <c r="C49" i="8"/>
  <c r="E90" i="7"/>
  <c r="F90" i="7" s="1"/>
  <c r="E183" i="7"/>
  <c r="F183" i="7"/>
  <c r="F84" i="6"/>
  <c r="D21" i="5"/>
  <c r="D43" i="4"/>
  <c r="E22" i="4"/>
  <c r="F22" i="4"/>
  <c r="E38" i="4"/>
  <c r="E56" i="4"/>
  <c r="E61" i="4"/>
  <c r="C29" i="22"/>
  <c r="C46" i="22"/>
  <c r="C40" i="22"/>
  <c r="C30" i="22"/>
  <c r="C48" i="22" s="1"/>
  <c r="E45" i="22"/>
  <c r="E39" i="22"/>
  <c r="E110" i="22"/>
  <c r="E111" i="22"/>
  <c r="E54" i="22"/>
  <c r="E46" i="22"/>
  <c r="E40" i="22"/>
  <c r="E36" i="22"/>
  <c r="E30" i="22"/>
  <c r="D53" i="22"/>
  <c r="D29" i="22"/>
  <c r="F43" i="20"/>
  <c r="D258" i="18"/>
  <c r="D99" i="18"/>
  <c r="D97" i="18"/>
  <c r="D86" i="18"/>
  <c r="D98" i="18"/>
  <c r="D87" i="18"/>
  <c r="D96" i="18"/>
  <c r="D89" i="18"/>
  <c r="E222" i="18"/>
  <c r="E316" i="18"/>
  <c r="D320" i="18"/>
  <c r="E320" i="18"/>
  <c r="E303" i="18"/>
  <c r="E144" i="18"/>
  <c r="C168" i="18"/>
  <c r="C271" i="17"/>
  <c r="C270" i="17"/>
  <c r="D272" i="17"/>
  <c r="D288" i="17"/>
  <c r="D216" i="17"/>
  <c r="D125" i="17"/>
  <c r="D286" i="17"/>
  <c r="D255" i="17"/>
  <c r="E255" i="17" s="1"/>
  <c r="F255" i="17" s="1"/>
  <c r="D49" i="17"/>
  <c r="D126" i="17"/>
  <c r="D91" i="17"/>
  <c r="D271" i="17"/>
  <c r="D263" i="17"/>
  <c r="C126" i="17"/>
  <c r="C127" i="17" s="1"/>
  <c r="C91" i="17"/>
  <c r="C92" i="17" s="1"/>
  <c r="C62" i="17"/>
  <c r="D24" i="13"/>
  <c r="D28" i="13"/>
  <c r="F65" i="11"/>
  <c r="D17" i="8"/>
  <c r="D28" i="8" s="1"/>
  <c r="C28" i="8"/>
  <c r="E112" i="8"/>
  <c r="E111" i="8" s="1"/>
  <c r="D55" i="22"/>
  <c r="D47" i="22"/>
  <c r="E113" i="22"/>
  <c r="E56" i="22"/>
  <c r="E48" i="22"/>
  <c r="E38" i="22"/>
  <c r="C55" i="22"/>
  <c r="D50" i="17"/>
  <c r="D304" i="17"/>
  <c r="D92" i="17"/>
  <c r="D162" i="17"/>
  <c r="D70" i="13"/>
  <c r="D72" i="13"/>
  <c r="D42" i="12"/>
  <c r="E99" i="8"/>
  <c r="E101" i="8"/>
  <c r="E98" i="8" s="1"/>
  <c r="C99" i="8"/>
  <c r="C101" i="8" s="1"/>
  <c r="C98" i="8"/>
  <c r="D49" i="12"/>
  <c r="D169" i="18" l="1"/>
  <c r="E169" i="18" s="1"/>
  <c r="D181" i="18"/>
  <c r="E145" i="18"/>
  <c r="D330" i="18"/>
  <c r="E330" i="18" s="1"/>
  <c r="E326" i="18"/>
  <c r="C210" i="18"/>
  <c r="E205" i="18"/>
  <c r="C229" i="18"/>
  <c r="E229" i="18" s="1"/>
  <c r="C175" i="18"/>
  <c r="C63" i="17"/>
  <c r="E199" i="9"/>
  <c r="F199" i="9" s="1"/>
  <c r="C208" i="9"/>
  <c r="F37" i="15"/>
  <c r="E37" i="15"/>
  <c r="F92" i="17"/>
  <c r="F270" i="17"/>
  <c r="E52" i="6"/>
  <c r="F95" i="17"/>
  <c r="F101" i="17"/>
  <c r="E38" i="18"/>
  <c r="C43" i="18"/>
  <c r="C71" i="18"/>
  <c r="C76" i="18" s="1"/>
  <c r="C77" i="18" s="1"/>
  <c r="C65" i="18"/>
  <c r="C289" i="18"/>
  <c r="E289" i="18" s="1"/>
  <c r="E60" i="18"/>
  <c r="D95" i="6"/>
  <c r="E85" i="6"/>
  <c r="F85" i="6" s="1"/>
  <c r="F52" i="6"/>
  <c r="F73" i="4"/>
  <c r="E25" i="20"/>
  <c r="F22" i="20"/>
  <c r="E126" i="17"/>
  <c r="F126" i="17" s="1"/>
  <c r="D127" i="17"/>
  <c r="F115" i="10"/>
  <c r="D35" i="5"/>
  <c r="E260" i="18"/>
  <c r="D99" i="8"/>
  <c r="D101" i="8" s="1"/>
  <c r="D98" i="8" s="1"/>
  <c r="D22" i="8"/>
  <c r="C95" i="7"/>
  <c r="E41" i="7"/>
  <c r="F41" i="7" s="1"/>
  <c r="G36" i="14"/>
  <c r="G38" i="14" s="1"/>
  <c r="G40" i="14" s="1"/>
  <c r="E285" i="17"/>
  <c r="F285" i="17" s="1"/>
  <c r="F229" i="17"/>
  <c r="C294" i="18"/>
  <c r="C33" i="18"/>
  <c r="C105" i="17"/>
  <c r="F32" i="17"/>
  <c r="C140" i="17"/>
  <c r="E65" i="18"/>
  <c r="D66" i="18"/>
  <c r="D294" i="18"/>
  <c r="E294" i="18" s="1"/>
  <c r="F38" i="11"/>
  <c r="F56" i="11"/>
  <c r="C75" i="11"/>
  <c r="C69" i="13"/>
  <c r="G31" i="14"/>
  <c r="I31" i="14" s="1"/>
  <c r="E36" i="17"/>
  <c r="F36" i="17" s="1"/>
  <c r="D37" i="17"/>
  <c r="F85" i="17"/>
  <c r="E135" i="17"/>
  <c r="F135" i="17" s="1"/>
  <c r="D181" i="17"/>
  <c r="E181" i="17" s="1"/>
  <c r="E179" i="17"/>
  <c r="C280" i="17"/>
  <c r="C200" i="17"/>
  <c r="C264" i="17"/>
  <c r="F191" i="17"/>
  <c r="D242" i="18"/>
  <c r="E242" i="18" s="1"/>
  <c r="E218" i="18"/>
  <c r="E16" i="20"/>
  <c r="F16" i="20" s="1"/>
  <c r="D37" i="22"/>
  <c r="C112" i="22"/>
  <c r="E136" i="17"/>
  <c r="F136" i="17" s="1"/>
  <c r="E21" i="17"/>
  <c r="F21" i="17" s="1"/>
  <c r="E73" i="4"/>
  <c r="C21" i="5"/>
  <c r="E21" i="5" s="1"/>
  <c r="F18" i="5"/>
  <c r="F35" i="7"/>
  <c r="E57" i="8"/>
  <c r="E62" i="8" s="1"/>
  <c r="E43" i="8"/>
  <c r="E53" i="8"/>
  <c r="E49" i="8"/>
  <c r="E152" i="8"/>
  <c r="E157" i="8"/>
  <c r="E153" i="8"/>
  <c r="C153" i="8"/>
  <c r="C152" i="8"/>
  <c r="C157" i="8"/>
  <c r="C155" i="8"/>
  <c r="E204" i="9"/>
  <c r="F204" i="9"/>
  <c r="F23" i="10"/>
  <c r="E23" i="10"/>
  <c r="D61" i="13"/>
  <c r="D57" i="13" s="1"/>
  <c r="D111" i="17"/>
  <c r="E111" i="17" s="1"/>
  <c r="F111" i="17" s="1"/>
  <c r="E109" i="17"/>
  <c r="F109" i="17" s="1"/>
  <c r="D175" i="18"/>
  <c r="E175" i="18" s="1"/>
  <c r="E139" i="18"/>
  <c r="C261" i="18"/>
  <c r="E261" i="18" s="1"/>
  <c r="C189" i="18"/>
  <c r="E189" i="18" s="1"/>
  <c r="E188" i="18"/>
  <c r="E195" i="18"/>
  <c r="C260" i="18"/>
  <c r="E215" i="18"/>
  <c r="D239" i="18"/>
  <c r="E239" i="18" s="1"/>
  <c r="D223" i="18"/>
  <c r="E92" i="17"/>
  <c r="D310" i="18"/>
  <c r="E310" i="18" s="1"/>
  <c r="D102" i="18"/>
  <c r="E179" i="9"/>
  <c r="D62" i="17"/>
  <c r="D105" i="17"/>
  <c r="E32" i="17"/>
  <c r="C284" i="18"/>
  <c r="E22" i="18"/>
  <c r="F153" i="6"/>
  <c r="F121" i="7"/>
  <c r="D152" i="8"/>
  <c r="D156" i="8"/>
  <c r="D154" i="8"/>
  <c r="D273" i="17"/>
  <c r="F207" i="9"/>
  <c r="D300" i="17"/>
  <c r="E264" i="17"/>
  <c r="D246" i="18"/>
  <c r="D207" i="17"/>
  <c r="E137" i="17"/>
  <c r="F137" i="17" s="1"/>
  <c r="D138" i="17"/>
  <c r="D243" i="18"/>
  <c r="E219" i="18"/>
  <c r="D75" i="4"/>
  <c r="E55" i="15"/>
  <c r="F146" i="17"/>
  <c r="D173" i="17"/>
  <c r="F296" i="17"/>
  <c r="C38" i="22"/>
  <c r="C56" i="22"/>
  <c r="F56" i="4"/>
  <c r="E43" i="6"/>
  <c r="C95" i="6"/>
  <c r="C139" i="8"/>
  <c r="C138" i="8"/>
  <c r="C135" i="8"/>
  <c r="E76" i="9"/>
  <c r="F76" i="9" s="1"/>
  <c r="C22" i="13"/>
  <c r="C21" i="13"/>
  <c r="E35" i="17"/>
  <c r="F35" i="17" s="1"/>
  <c r="C37" i="17"/>
  <c r="C68" i="17"/>
  <c r="E66" i="17"/>
  <c r="F66" i="17" s="1"/>
  <c r="E19" i="21"/>
  <c r="F19" i="21" s="1"/>
  <c r="E71" i="18"/>
  <c r="D76" i="18"/>
  <c r="C34" i="12"/>
  <c r="F20" i="12"/>
  <c r="E55" i="18"/>
  <c r="D284" i="18"/>
  <c r="E284" i="18" s="1"/>
  <c r="F61" i="4"/>
  <c r="C65" i="4"/>
  <c r="E102" i="17"/>
  <c r="F102" i="17" s="1"/>
  <c r="C172" i="17"/>
  <c r="E172" i="17" s="1"/>
  <c r="F171" i="17"/>
  <c r="C290" i="17"/>
  <c r="C199" i="17"/>
  <c r="C33" i="19"/>
  <c r="C37" i="19"/>
  <c r="C38" i="19" s="1"/>
  <c r="C127" i="19" s="1"/>
  <c r="C129" i="19" s="1"/>
  <c r="C133" i="19" s="1"/>
  <c r="C268" i="17"/>
  <c r="E261" i="17"/>
  <c r="F261" i="17" s="1"/>
  <c r="E214" i="17"/>
  <c r="D254" i="17"/>
  <c r="D168" i="18"/>
  <c r="E168" i="18" s="1"/>
  <c r="D45" i="22"/>
  <c r="D39" i="22"/>
  <c r="F43" i="6"/>
  <c r="F111" i="6"/>
  <c r="F30" i="7"/>
  <c r="F73" i="11"/>
  <c r="C159" i="17"/>
  <c r="C161" i="17" s="1"/>
  <c r="C192" i="17"/>
  <c r="E158" i="17"/>
  <c r="F158" i="17"/>
  <c r="C193" i="17"/>
  <c r="F307" i="17"/>
  <c r="E240" i="18"/>
  <c r="D253" i="18"/>
  <c r="E253" i="18" s="1"/>
  <c r="F20" i="20"/>
  <c r="D34" i="22"/>
  <c r="D23" i="22"/>
  <c r="D33" i="22"/>
  <c r="C77" i="22"/>
  <c r="D102" i="22"/>
  <c r="D101" i="22"/>
  <c r="D103" i="22" s="1"/>
  <c r="D112" i="8"/>
  <c r="D111" i="8" s="1"/>
  <c r="F271" i="17"/>
  <c r="C37" i="22"/>
  <c r="E155" i="8"/>
  <c r="C41" i="11"/>
  <c r="C43" i="11" s="1"/>
  <c r="E198" i="17"/>
  <c r="F198" i="17" s="1"/>
  <c r="E267" i="17"/>
  <c r="F267" i="17" s="1"/>
  <c r="D270" i="17"/>
  <c r="E270" i="17" s="1"/>
  <c r="C139" i="17"/>
  <c r="C104" i="17"/>
  <c r="E61" i="17"/>
  <c r="F61" i="17" s="1"/>
  <c r="C39" i="22"/>
  <c r="C45" i="22"/>
  <c r="C35" i="22"/>
  <c r="E271" i="17"/>
  <c r="C47" i="22"/>
  <c r="D180" i="18"/>
  <c r="E16" i="5"/>
  <c r="F16" i="5" s="1"/>
  <c r="C274" i="17"/>
  <c r="D235" i="18"/>
  <c r="E49" i="6"/>
  <c r="F49" i="6" s="1"/>
  <c r="E88" i="6"/>
  <c r="F88" i="6" s="1"/>
  <c r="C121" i="10"/>
  <c r="F112" i="10"/>
  <c r="D69" i="13"/>
  <c r="D217" i="18"/>
  <c r="E91" i="17"/>
  <c r="F91" i="17" s="1"/>
  <c r="F205" i="17"/>
  <c r="E227" i="17"/>
  <c r="F227" i="17" s="1"/>
  <c r="E245" i="18"/>
  <c r="E33" i="18"/>
  <c r="D193" i="17"/>
  <c r="C41" i="4"/>
  <c r="C43" i="4" s="1"/>
  <c r="F38" i="4"/>
  <c r="F41" i="6"/>
  <c r="E111" i="6"/>
  <c r="E166" i="6"/>
  <c r="F166" i="6" s="1"/>
  <c r="E109" i="8"/>
  <c r="E106" i="8" s="1"/>
  <c r="D137" i="8"/>
  <c r="D141" i="8" s="1"/>
  <c r="D140" i="8"/>
  <c r="E192" i="9"/>
  <c r="F192" i="9" s="1"/>
  <c r="E38" i="11"/>
  <c r="D41" i="11"/>
  <c r="E50" i="15"/>
  <c r="C48" i="17"/>
  <c r="F47" i="17"/>
  <c r="E42" i="18"/>
  <c r="E324" i="18"/>
  <c r="C326" i="18"/>
  <c r="C330" i="18" s="1"/>
  <c r="E20" i="20"/>
  <c r="E40" i="20"/>
  <c r="F40" i="20" s="1"/>
  <c r="E103" i="17"/>
  <c r="F103" i="17" s="1"/>
  <c r="D104" i="17"/>
  <c r="E104" i="17" s="1"/>
  <c r="F96" i="10"/>
  <c r="E96" i="10"/>
  <c r="E22" i="13"/>
  <c r="C33" i="14"/>
  <c r="H17" i="14"/>
  <c r="F107" i="15"/>
  <c r="D68" i="17"/>
  <c r="E68" i="17" s="1"/>
  <c r="D77" i="17"/>
  <c r="E77" i="17" s="1"/>
  <c r="E76" i="17"/>
  <c r="F76" i="17" s="1"/>
  <c r="C214" i="17"/>
  <c r="F203" i="17"/>
  <c r="C283" i="17"/>
  <c r="C46" i="20"/>
  <c r="D77" i="22"/>
  <c r="D110" i="22" s="1"/>
  <c r="D95" i="18"/>
  <c r="D100" i="18"/>
  <c r="D84" i="18"/>
  <c r="D85" i="18"/>
  <c r="D101" i="18"/>
  <c r="D83" i="18"/>
  <c r="D88" i="18"/>
  <c r="E35" i="22"/>
  <c r="E53" i="22"/>
  <c r="E29" i="22"/>
  <c r="F38" i="6"/>
  <c r="E35" i="7"/>
  <c r="E27" i="8"/>
  <c r="E153" i="9"/>
  <c r="F153" i="9"/>
  <c r="E207" i="9"/>
  <c r="E72" i="10"/>
  <c r="E120" i="10"/>
  <c r="F120" i="10" s="1"/>
  <c r="E22" i="11"/>
  <c r="F22" i="11" s="1"/>
  <c r="E47" i="12"/>
  <c r="F47" i="12"/>
  <c r="D33" i="14"/>
  <c r="D36" i="14" s="1"/>
  <c r="D38" i="14" s="1"/>
  <c r="D40" i="14" s="1"/>
  <c r="D31" i="14"/>
  <c r="F16" i="15"/>
  <c r="E107" i="15"/>
  <c r="C278" i="17"/>
  <c r="F189" i="17"/>
  <c r="C262" i="17"/>
  <c r="C263" i="17" s="1"/>
  <c r="C215" i="17"/>
  <c r="E237" i="17"/>
  <c r="F237" i="17" s="1"/>
  <c r="C239" i="17"/>
  <c r="D244" i="18"/>
  <c r="E244" i="18" s="1"/>
  <c r="E220" i="18"/>
  <c r="E228" i="18"/>
  <c r="E278" i="17"/>
  <c r="E124" i="17"/>
  <c r="F124" i="17" s="1"/>
  <c r="C54" i="22"/>
  <c r="C36" i="22"/>
  <c r="F33" i="5"/>
  <c r="F92" i="6"/>
  <c r="E94" i="6"/>
  <c r="E24" i="7"/>
  <c r="F24" i="7" s="1"/>
  <c r="D95" i="7"/>
  <c r="E95" i="7" s="1"/>
  <c r="E170" i="17"/>
  <c r="E166" i="18"/>
  <c r="E278" i="18"/>
  <c r="E290" i="18"/>
  <c r="E36" i="20"/>
  <c r="F36" i="20" s="1"/>
  <c r="D268" i="17"/>
  <c r="E268" i="17" s="1"/>
  <c r="E29" i="4"/>
  <c r="F29" i="4" s="1"/>
  <c r="F45" i="6"/>
  <c r="E47" i="6"/>
  <c r="F86" i="6"/>
  <c r="C27" i="8"/>
  <c r="E23" i="9"/>
  <c r="F23" i="9" s="1"/>
  <c r="E115" i="10"/>
  <c r="D43" i="11"/>
  <c r="E23" i="17"/>
  <c r="F23" i="17" s="1"/>
  <c r="F52" i="17"/>
  <c r="F58" i="17"/>
  <c r="F67" i="17"/>
  <c r="E95" i="17"/>
  <c r="D206" i="17"/>
  <c r="E206" i="17" s="1"/>
  <c r="F206" i="17" s="1"/>
  <c r="D277" i="17"/>
  <c r="E164" i="18"/>
  <c r="E44" i="20"/>
  <c r="F44" i="20" s="1"/>
  <c r="E121" i="7"/>
  <c r="E149" i="8"/>
  <c r="F114" i="10"/>
  <c r="E75" i="15"/>
  <c r="F73" i="15"/>
  <c r="E92" i="15"/>
  <c r="F92" i="15" s="1"/>
  <c r="E29" i="17"/>
  <c r="F29" i="17"/>
  <c r="E229" i="17"/>
  <c r="D283" i="18"/>
  <c r="E283" i="18" s="1"/>
  <c r="C242" i="18"/>
  <c r="C217" i="18"/>
  <c r="C241" i="18" s="1"/>
  <c r="E279" i="18"/>
  <c r="E107" i="10"/>
  <c r="F17" i="16"/>
  <c r="F20" i="17"/>
  <c r="E178" i="18"/>
  <c r="E230" i="18"/>
  <c r="C39" i="20"/>
  <c r="E39" i="20" s="1"/>
  <c r="E41" i="20" s="1"/>
  <c r="F25" i="20"/>
  <c r="E45" i="20"/>
  <c r="F45" i="20" s="1"/>
  <c r="F21" i="21"/>
  <c r="C188" i="7"/>
  <c r="E116" i="10"/>
  <c r="F116" i="10" s="1"/>
  <c r="E60" i="15"/>
  <c r="E307" i="17"/>
  <c r="C122" i="10"/>
  <c r="E122" i="10" s="1"/>
  <c r="D27" i="13"/>
  <c r="F75" i="15"/>
  <c r="F100" i="15"/>
  <c r="E39" i="18"/>
  <c r="C65" i="19"/>
  <c r="C114" i="19" s="1"/>
  <c r="C116" i="19" s="1"/>
  <c r="C119" i="19" s="1"/>
  <c r="C123" i="19" s="1"/>
  <c r="D46" i="20"/>
  <c r="C163" i="18"/>
  <c r="E163" i="18" s="1"/>
  <c r="E43" i="4" l="1"/>
  <c r="F43" i="4" s="1"/>
  <c r="F263" i="17"/>
  <c r="E263" i="17"/>
  <c r="E161" i="17"/>
  <c r="F161" i="17"/>
  <c r="C162" i="17"/>
  <c r="E46" i="20"/>
  <c r="E215" i="17"/>
  <c r="F215" i="17" s="1"/>
  <c r="D106" i="17"/>
  <c r="E105" i="17"/>
  <c r="F105" i="17" s="1"/>
  <c r="F75" i="11"/>
  <c r="E43" i="11"/>
  <c r="F43" i="11" s="1"/>
  <c r="F48" i="17"/>
  <c r="C160" i="17"/>
  <c r="E48" i="17"/>
  <c r="C90" i="17"/>
  <c r="C125" i="17"/>
  <c r="D63" i="17"/>
  <c r="E62" i="17"/>
  <c r="F62" i="17" s="1"/>
  <c r="C141" i="17"/>
  <c r="D91" i="18"/>
  <c r="C109" i="22"/>
  <c r="C108" i="22"/>
  <c r="C113" i="22"/>
  <c r="C111" i="22"/>
  <c r="E199" i="17"/>
  <c r="F199" i="17" s="1"/>
  <c r="E300" i="17"/>
  <c r="F278" i="17"/>
  <c r="C279" i="17"/>
  <c r="C288" i="17"/>
  <c r="C287" i="17"/>
  <c r="C284" i="17"/>
  <c r="C286" i="17"/>
  <c r="E283" i="17"/>
  <c r="F283" i="17" s="1"/>
  <c r="H33" i="14"/>
  <c r="H36" i="14" s="1"/>
  <c r="H38" i="14" s="1"/>
  <c r="H40" i="14" s="1"/>
  <c r="C36" i="14"/>
  <c r="C38" i="14" s="1"/>
  <c r="C40" i="14" s="1"/>
  <c r="E41" i="11"/>
  <c r="F104" i="17"/>
  <c r="F268" i="17"/>
  <c r="E290" i="17"/>
  <c r="F290" i="17" s="1"/>
  <c r="E158" i="8"/>
  <c r="E37" i="17"/>
  <c r="C106" i="17"/>
  <c r="E127" i="17"/>
  <c r="F127" i="17" s="1"/>
  <c r="E75" i="11"/>
  <c r="D21" i="13"/>
  <c r="D22" i="13"/>
  <c r="D20" i="13"/>
  <c r="C20" i="8"/>
  <c r="C22" i="8"/>
  <c r="C21" i="8"/>
  <c r="D111" i="22"/>
  <c r="D54" i="22"/>
  <c r="D46" i="22"/>
  <c r="D40" i="22"/>
  <c r="D30" i="22"/>
  <c r="D36" i="22"/>
  <c r="E243" i="18"/>
  <c r="D252" i="18"/>
  <c r="E223" i="18"/>
  <c r="D247" i="18"/>
  <c r="E247" i="18" s="1"/>
  <c r="F264" i="17"/>
  <c r="C300" i="17"/>
  <c r="I33" i="14"/>
  <c r="I36" i="14" s="1"/>
  <c r="I38" i="14" s="1"/>
  <c r="I40" i="14" s="1"/>
  <c r="F65" i="4"/>
  <c r="C75" i="4"/>
  <c r="F95" i="7"/>
  <c r="C234" i="18"/>
  <c r="E234" i="18" s="1"/>
  <c r="C211" i="18"/>
  <c r="E210" i="18"/>
  <c r="C180" i="18"/>
  <c r="D158" i="8"/>
  <c r="F46" i="20"/>
  <c r="E180" i="18"/>
  <c r="C194" i="17"/>
  <c r="C282" i="17"/>
  <c r="C266" i="17"/>
  <c r="F39" i="20"/>
  <c r="C41" i="20"/>
  <c r="F41" i="20" s="1"/>
  <c r="E37" i="22"/>
  <c r="E112" i="22"/>
  <c r="E47" i="22"/>
  <c r="E55" i="22"/>
  <c r="F192" i="17"/>
  <c r="C42" i="12"/>
  <c r="E34" i="12"/>
  <c r="F34" i="12"/>
  <c r="E173" i="17"/>
  <c r="D174" i="17"/>
  <c r="D175" i="17"/>
  <c r="F239" i="17"/>
  <c r="D282" i="17"/>
  <c r="D194" i="17"/>
  <c r="E193" i="17"/>
  <c r="F193" i="17" s="1"/>
  <c r="D266" i="17"/>
  <c r="E217" i="18"/>
  <c r="D241" i="18"/>
  <c r="E241" i="18" s="1"/>
  <c r="F159" i="17"/>
  <c r="E159" i="17"/>
  <c r="F68" i="17"/>
  <c r="E280" i="17"/>
  <c r="F280" i="17" s="1"/>
  <c r="C281" i="17"/>
  <c r="D295" i="18"/>
  <c r="C295" i="18"/>
  <c r="E95" i="6"/>
  <c r="F95" i="6" s="1"/>
  <c r="C66" i="18"/>
  <c r="C247" i="18" s="1"/>
  <c r="C246" i="18"/>
  <c r="E246" i="18" s="1"/>
  <c r="F37" i="17"/>
  <c r="E65" i="4"/>
  <c r="C44" i="18"/>
  <c r="E43" i="18"/>
  <c r="C259" i="18"/>
  <c r="C263" i="18" s="1"/>
  <c r="E208" i="9"/>
  <c r="F208" i="9"/>
  <c r="C272" i="17"/>
  <c r="F262" i="17"/>
  <c r="D109" i="22"/>
  <c r="D108" i="22"/>
  <c r="D112" i="22"/>
  <c r="D287" i="17"/>
  <c r="D279" i="17"/>
  <c r="E277" i="17"/>
  <c r="F277" i="17" s="1"/>
  <c r="D284" i="17"/>
  <c r="E284" i="17" s="1"/>
  <c r="E21" i="8"/>
  <c r="E20" i="8"/>
  <c r="E22" i="8"/>
  <c r="F41" i="11"/>
  <c r="E262" i="17"/>
  <c r="F21" i="5"/>
  <c r="C35" i="5"/>
  <c r="F122" i="10"/>
  <c r="D90" i="18"/>
  <c r="F214" i="17"/>
  <c r="C216" i="17"/>
  <c r="E41" i="4"/>
  <c r="F41" i="4" s="1"/>
  <c r="F139" i="17"/>
  <c r="F172" i="17"/>
  <c r="C173" i="17"/>
  <c r="C207" i="17"/>
  <c r="E138" i="17"/>
  <c r="F138" i="17" s="1"/>
  <c r="D140" i="17"/>
  <c r="E200" i="17"/>
  <c r="F200" i="17" s="1"/>
  <c r="E188" i="7"/>
  <c r="F188" i="7" s="1"/>
  <c r="E136" i="8"/>
  <c r="E139" i="8"/>
  <c r="E140" i="8"/>
  <c r="E137" i="8"/>
  <c r="E135" i="8"/>
  <c r="E138" i="8"/>
  <c r="D139" i="17"/>
  <c r="E139" i="17" s="1"/>
  <c r="D103" i="18"/>
  <c r="E192" i="17"/>
  <c r="E274" i="17"/>
  <c r="F274" i="17" s="1"/>
  <c r="C110" i="22"/>
  <c r="E254" i="17"/>
  <c r="F254" i="17" s="1"/>
  <c r="D77" i="18"/>
  <c r="D259" i="18"/>
  <c r="E76" i="18"/>
  <c r="C304" i="17"/>
  <c r="C141" i="8"/>
  <c r="E239" i="17"/>
  <c r="D208" i="17"/>
  <c r="E207" i="17"/>
  <c r="C49" i="17"/>
  <c r="C158" i="8"/>
  <c r="D43" i="5"/>
  <c r="C111" i="18"/>
  <c r="C126" i="18"/>
  <c r="C123" i="18"/>
  <c r="C115" i="18"/>
  <c r="C109" i="18"/>
  <c r="C125" i="18"/>
  <c r="C121" i="18"/>
  <c r="C114" i="18"/>
  <c r="C124" i="18"/>
  <c r="C112" i="18"/>
  <c r="C122" i="18"/>
  <c r="C128" i="18" s="1"/>
  <c r="C113" i="18"/>
  <c r="C127" i="18"/>
  <c r="C110" i="18"/>
  <c r="E121" i="10"/>
  <c r="F121" i="10" s="1"/>
  <c r="C196" i="17" l="1"/>
  <c r="D105" i="18"/>
  <c r="F162" i="17"/>
  <c r="C197" i="17"/>
  <c r="E162" i="17"/>
  <c r="F35" i="5"/>
  <c r="C43" i="5"/>
  <c r="E90" i="17"/>
  <c r="F90" i="17" s="1"/>
  <c r="E208" i="17"/>
  <c r="D210" i="17"/>
  <c r="D209" i="17"/>
  <c r="E279" i="17"/>
  <c r="E194" i="17"/>
  <c r="F194" i="17" s="1"/>
  <c r="D195" i="17"/>
  <c r="D196" i="17"/>
  <c r="E286" i="17"/>
  <c r="F286" i="17" s="1"/>
  <c r="C322" i="17"/>
  <c r="C148" i="17"/>
  <c r="C195" i="17"/>
  <c r="E141" i="8"/>
  <c r="E140" i="17"/>
  <c r="F140" i="17" s="1"/>
  <c r="D141" i="17"/>
  <c r="D291" i="17"/>
  <c r="E287" i="17"/>
  <c r="D289" i="17"/>
  <c r="E282" i="17"/>
  <c r="D281" i="17"/>
  <c r="E281" i="17" s="1"/>
  <c r="F281" i="17" s="1"/>
  <c r="C49" i="12"/>
  <c r="E42" i="12"/>
  <c r="F42" i="12" s="1"/>
  <c r="E106" i="17"/>
  <c r="D113" i="17"/>
  <c r="D324" i="17"/>
  <c r="E49" i="17"/>
  <c r="F49" i="17" s="1"/>
  <c r="C50" i="17"/>
  <c r="E266" i="17"/>
  <c r="F266" i="17" s="1"/>
  <c r="D265" i="17"/>
  <c r="E265" i="17" s="1"/>
  <c r="E252" i="18"/>
  <c r="D254" i="18"/>
  <c r="E254" i="18" s="1"/>
  <c r="D50" i="5"/>
  <c r="E43" i="5"/>
  <c r="C289" i="17"/>
  <c r="C291" i="17"/>
  <c r="F287" i="17"/>
  <c r="D176" i="17"/>
  <c r="C235" i="18"/>
  <c r="E235" i="18" s="1"/>
  <c r="E211" i="18"/>
  <c r="C181" i="18"/>
  <c r="E181" i="18" s="1"/>
  <c r="F300" i="17"/>
  <c r="D121" i="18"/>
  <c r="D124" i="18"/>
  <c r="E124" i="18" s="1"/>
  <c r="D112" i="18"/>
  <c r="E112" i="18" s="1"/>
  <c r="D115" i="18"/>
  <c r="E115" i="18" s="1"/>
  <c r="D123" i="18"/>
  <c r="E123" i="18" s="1"/>
  <c r="D122" i="18"/>
  <c r="D113" i="18"/>
  <c r="E113" i="18" s="1"/>
  <c r="D111" i="18"/>
  <c r="E111" i="18" s="1"/>
  <c r="D114" i="18"/>
  <c r="E114" i="18" s="1"/>
  <c r="D110" i="18"/>
  <c r="D109" i="18"/>
  <c r="D126" i="18"/>
  <c r="E126" i="18" s="1"/>
  <c r="E77" i="18"/>
  <c r="D127" i="18"/>
  <c r="E127" i="18" s="1"/>
  <c r="D125" i="18"/>
  <c r="E125" i="18" s="1"/>
  <c r="F279" i="17"/>
  <c r="E125" i="17"/>
  <c r="F125" i="17" s="1"/>
  <c r="C273" i="17"/>
  <c r="E272" i="17"/>
  <c r="F272" i="17" s="1"/>
  <c r="E35" i="5"/>
  <c r="E216" i="17"/>
  <c r="F216" i="17" s="1"/>
  <c r="F284" i="17"/>
  <c r="E160" i="17"/>
  <c r="F160" i="17" s="1"/>
  <c r="C129" i="18"/>
  <c r="E304" i="17"/>
  <c r="F304" i="17" s="1"/>
  <c r="F207" i="17"/>
  <c r="C208" i="17"/>
  <c r="E75" i="4"/>
  <c r="F75" i="4" s="1"/>
  <c r="E63" i="17"/>
  <c r="F63" i="17" s="1"/>
  <c r="D70" i="17"/>
  <c r="C116" i="18"/>
  <c r="F173" i="17"/>
  <c r="C174" i="17"/>
  <c r="C175" i="17"/>
  <c r="C87" i="18"/>
  <c r="E87" i="18" s="1"/>
  <c r="C86" i="18"/>
  <c r="E86" i="18" s="1"/>
  <c r="C98" i="18"/>
  <c r="E98" i="18" s="1"/>
  <c r="C83" i="18"/>
  <c r="C95" i="18"/>
  <c r="C97" i="18"/>
  <c r="E97" i="18" s="1"/>
  <c r="C88" i="18"/>
  <c r="E88" i="18" s="1"/>
  <c r="C100" i="18"/>
  <c r="E100" i="18" s="1"/>
  <c r="C99" i="18"/>
  <c r="E99" i="18" s="1"/>
  <c r="C96" i="18"/>
  <c r="E44" i="18"/>
  <c r="C89" i="18"/>
  <c r="E89" i="18" s="1"/>
  <c r="C84" i="18"/>
  <c r="C101" i="18"/>
  <c r="E101" i="18" s="1"/>
  <c r="C85" i="18"/>
  <c r="E85" i="18" s="1"/>
  <c r="C258" i="18"/>
  <c r="E295" i="18"/>
  <c r="C117" i="18"/>
  <c r="E259" i="18"/>
  <c r="D263" i="18"/>
  <c r="E66" i="18"/>
  <c r="F282" i="17"/>
  <c r="C265" i="17"/>
  <c r="D38" i="22"/>
  <c r="D56" i="22"/>
  <c r="D113" i="22"/>
  <c r="D48" i="22"/>
  <c r="F106" i="17"/>
  <c r="C113" i="17"/>
  <c r="C324" i="17"/>
  <c r="E288" i="17"/>
  <c r="F288" i="17" s="1"/>
  <c r="D129" i="18" l="1"/>
  <c r="E129" i="18" s="1"/>
  <c r="E121" i="18"/>
  <c r="D322" i="17"/>
  <c r="E322" i="17" s="1"/>
  <c r="E141" i="17"/>
  <c r="F141" i="17" s="1"/>
  <c r="D148" i="17"/>
  <c r="E148" i="17" s="1"/>
  <c r="F148" i="17" s="1"/>
  <c r="D211" i="17"/>
  <c r="F113" i="17"/>
  <c r="E174" i="17"/>
  <c r="F174" i="17" s="1"/>
  <c r="E49" i="12"/>
  <c r="F49" i="12" s="1"/>
  <c r="C90" i="18"/>
  <c r="E90" i="18" s="1"/>
  <c r="E84" i="18"/>
  <c r="E95" i="18"/>
  <c r="F291" i="17"/>
  <c r="C305" i="17"/>
  <c r="E263" i="18"/>
  <c r="D264" i="18"/>
  <c r="E83" i="18"/>
  <c r="D128" i="18"/>
  <c r="E128" i="18" s="1"/>
  <c r="E122" i="18"/>
  <c r="C70" i="17"/>
  <c r="E50" i="17"/>
  <c r="F50" i="17" s="1"/>
  <c r="F195" i="17"/>
  <c r="D197" i="17"/>
  <c r="E197" i="17" s="1"/>
  <c r="E196" i="17"/>
  <c r="E273" i="17"/>
  <c r="F273" i="17" s="1"/>
  <c r="E195" i="17"/>
  <c r="C50" i="5"/>
  <c r="F43" i="5"/>
  <c r="C131" i="18"/>
  <c r="C102" i="18"/>
  <c r="E102" i="18" s="1"/>
  <c r="E96" i="18"/>
  <c r="E50" i="5"/>
  <c r="E324" i="17"/>
  <c r="F324" i="17" s="1"/>
  <c r="E289" i="17"/>
  <c r="F289" i="17" s="1"/>
  <c r="F196" i="17"/>
  <c r="F208" i="17"/>
  <c r="C209" i="17"/>
  <c r="C210" i="17"/>
  <c r="E109" i="18"/>
  <c r="D323" i="17"/>
  <c r="D183" i="17"/>
  <c r="E113" i="17"/>
  <c r="F265" i="17"/>
  <c r="C267" i="18"/>
  <c r="C264" i="18"/>
  <c r="C266" i="18" s="1"/>
  <c r="E258" i="18"/>
  <c r="F175" i="17"/>
  <c r="C176" i="17"/>
  <c r="E110" i="18"/>
  <c r="D116" i="18"/>
  <c r="E116" i="18" s="1"/>
  <c r="E175" i="17"/>
  <c r="D305" i="17"/>
  <c r="E291" i="17"/>
  <c r="F322" i="17"/>
  <c r="E209" i="17"/>
  <c r="F197" i="17"/>
  <c r="F176" i="17" l="1"/>
  <c r="C211" i="17"/>
  <c r="C183" i="17"/>
  <c r="F183" i="17" s="1"/>
  <c r="C323" i="17"/>
  <c r="E323" i="17" s="1"/>
  <c r="C91" i="18"/>
  <c r="E176" i="17"/>
  <c r="D325" i="17"/>
  <c r="F50" i="5"/>
  <c r="D266" i="18"/>
  <c r="E264" i="18"/>
  <c r="D117" i="18"/>
  <c r="D309" i="17"/>
  <c r="E305" i="17"/>
  <c r="F305" i="17" s="1"/>
  <c r="C309" i="17"/>
  <c r="F209" i="17"/>
  <c r="E210" i="17"/>
  <c r="F210" i="17" s="1"/>
  <c r="E183" i="17"/>
  <c r="C269" i="18"/>
  <c r="C268" i="18"/>
  <c r="C271" i="18" s="1"/>
  <c r="E70" i="17"/>
  <c r="F70" i="17" s="1"/>
  <c r="C103" i="18"/>
  <c r="E103" i="18" s="1"/>
  <c r="E211" i="17"/>
  <c r="E117" i="18" l="1"/>
  <c r="D131" i="18"/>
  <c r="E131" i="18" s="1"/>
  <c r="C105" i="18"/>
  <c r="E105" i="18" s="1"/>
  <c r="E91" i="18"/>
  <c r="E266" i="18"/>
  <c r="D267" i="18"/>
  <c r="F211" i="17"/>
  <c r="C310" i="17"/>
  <c r="E309" i="17"/>
  <c r="F309" i="17" s="1"/>
  <c r="D310" i="17"/>
  <c r="F323" i="17"/>
  <c r="C325" i="17"/>
  <c r="D312" i="17" l="1"/>
  <c r="E310" i="17"/>
  <c r="F310" i="17" s="1"/>
  <c r="D269" i="18"/>
  <c r="E269" i="18" s="1"/>
  <c r="E267" i="18"/>
  <c r="D268" i="18"/>
  <c r="E325" i="17"/>
  <c r="F325" i="17" s="1"/>
  <c r="C312" i="17"/>
  <c r="E312" i="17" l="1"/>
  <c r="D313" i="17"/>
  <c r="F312" i="17"/>
  <c r="C313" i="17"/>
  <c r="E268" i="18"/>
  <c r="D271" i="18"/>
  <c r="E271" i="18" s="1"/>
  <c r="C314" i="17" l="1"/>
  <c r="C251" i="17"/>
  <c r="C256" i="17"/>
  <c r="F313" i="17"/>
  <c r="C315" i="17"/>
  <c r="D251" i="17"/>
  <c r="E251" i="17" s="1"/>
  <c r="D315" i="17"/>
  <c r="E315" i="17" s="1"/>
  <c r="D314" i="17"/>
  <c r="E313" i="17"/>
  <c r="D256" i="17"/>
  <c r="D318" i="17" l="1"/>
  <c r="E314" i="17"/>
  <c r="E256" i="17"/>
  <c r="D257" i="17"/>
  <c r="F315" i="17"/>
  <c r="C257" i="17"/>
  <c r="F256" i="17"/>
  <c r="F251" i="17"/>
  <c r="C318" i="17"/>
  <c r="F314" i="17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<sst xmlns="http://schemas.openxmlformats.org/spreadsheetml/2006/main" count="2333" uniqueCount="1007">
  <si>
    <t>DAY KIMBALL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</si>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</sst>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6171314</v>
      </c>
      <c r="D13" s="22">
        <v>3619557</v>
      </c>
      <c r="E13" s="22">
        <f t="shared" ref="E13:E22" si="0">D13-C13</f>
        <v>-2551757</v>
      </c>
      <c r="F13" s="23">
        <f t="shared" ref="F13:F22" si="1">IF(C13=0,0,E13/C13)</f>
        <v>-0.41348681982475693</v>
      </c>
    </row>
    <row r="14" spans="1:8" ht="24" customHeight="1" x14ac:dyDescent="0.2">
      <c r="A14" s="20">
        <v>2</v>
      </c>
      <c r="B14" s="21" t="s">
        <v>17</v>
      </c>
      <c r="C14" s="22">
        <v>3023883</v>
      </c>
      <c r="D14" s="22">
        <v>2841383</v>
      </c>
      <c r="E14" s="22">
        <f t="shared" si="0"/>
        <v>-182500</v>
      </c>
      <c r="F14" s="23">
        <f t="shared" si="1"/>
        <v>-6.0352864181583747E-2</v>
      </c>
    </row>
    <row r="15" spans="1:8" ht="24" customHeight="1" x14ac:dyDescent="0.2">
      <c r="A15" s="20">
        <v>3</v>
      </c>
      <c r="B15" s="21" t="s">
        <v>18</v>
      </c>
      <c r="C15" s="22">
        <v>12518755</v>
      </c>
      <c r="D15" s="22">
        <v>10634409</v>
      </c>
      <c r="E15" s="22">
        <f t="shared" si="0"/>
        <v>-1884346</v>
      </c>
      <c r="F15" s="23">
        <f t="shared" si="1"/>
        <v>-0.15052183703571162</v>
      </c>
    </row>
    <row r="16" spans="1:8" ht="24" customHeight="1" x14ac:dyDescent="0.2">
      <c r="A16" s="20">
        <v>4</v>
      </c>
      <c r="B16" s="21" t="s">
        <v>19</v>
      </c>
      <c r="C16" s="22">
        <v>988196</v>
      </c>
      <c r="D16" s="22">
        <v>654243</v>
      </c>
      <c r="E16" s="22">
        <f t="shared" si="0"/>
        <v>-333953</v>
      </c>
      <c r="F16" s="23">
        <f t="shared" si="1"/>
        <v>-0.33794206817271066</v>
      </c>
    </row>
    <row r="17" spans="1:11" ht="24" customHeight="1" x14ac:dyDescent="0.2">
      <c r="A17" s="20">
        <v>5</v>
      </c>
      <c r="B17" s="21" t="s">
        <v>20</v>
      </c>
      <c r="C17" s="22">
        <v>6254</v>
      </c>
      <c r="D17" s="22">
        <v>1869</v>
      </c>
      <c r="E17" s="22">
        <f t="shared" si="0"/>
        <v>-4385</v>
      </c>
      <c r="F17" s="23">
        <f t="shared" si="1"/>
        <v>-0.70115126319155741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1352274</v>
      </c>
      <c r="E18" s="22">
        <f t="shared" si="0"/>
        <v>1352274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2274896</v>
      </c>
      <c r="D19" s="22">
        <v>2081986</v>
      </c>
      <c r="E19" s="22">
        <f t="shared" si="0"/>
        <v>-192910</v>
      </c>
      <c r="F19" s="23">
        <f t="shared" si="1"/>
        <v>-8.4799480943304667E-2</v>
      </c>
    </row>
    <row r="20" spans="1:11" ht="24" customHeight="1" x14ac:dyDescent="0.2">
      <c r="A20" s="20">
        <v>8</v>
      </c>
      <c r="B20" s="21" t="s">
        <v>23</v>
      </c>
      <c r="C20" s="22">
        <v>360982</v>
      </c>
      <c r="D20" s="22">
        <v>320783</v>
      </c>
      <c r="E20" s="22">
        <f t="shared" si="0"/>
        <v>-40199</v>
      </c>
      <c r="F20" s="23">
        <f t="shared" si="1"/>
        <v>-0.1113601232194403</v>
      </c>
    </row>
    <row r="21" spans="1:11" ht="24" customHeight="1" x14ac:dyDescent="0.2">
      <c r="A21" s="20">
        <v>9</v>
      </c>
      <c r="B21" s="21" t="s">
        <v>24</v>
      </c>
      <c r="C21" s="22">
        <v>1264550</v>
      </c>
      <c r="D21" s="22">
        <v>3730830</v>
      </c>
      <c r="E21" s="22">
        <f t="shared" si="0"/>
        <v>2466280</v>
      </c>
      <c r="F21" s="23">
        <f t="shared" si="1"/>
        <v>1.950322249021391</v>
      </c>
    </row>
    <row r="22" spans="1:11" ht="24" customHeight="1" x14ac:dyDescent="0.25">
      <c r="A22" s="24"/>
      <c r="B22" s="25" t="s">
        <v>25</v>
      </c>
      <c r="C22" s="26">
        <f>SUM(C13:C21)</f>
        <v>26608830</v>
      </c>
      <c r="D22" s="26">
        <f>SUM(D13:D21)</f>
        <v>25237334</v>
      </c>
      <c r="E22" s="26">
        <f t="shared" si="0"/>
        <v>-1371496</v>
      </c>
      <c r="F22" s="27">
        <f t="shared" si="1"/>
        <v>-5.1542890085734698E-2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4675704</v>
      </c>
      <c r="D25" s="22">
        <v>4209026</v>
      </c>
      <c r="E25" s="22">
        <f>D25-C25</f>
        <v>-466678</v>
      </c>
      <c r="F25" s="23">
        <f>IF(C25=0,0,E25/C25)</f>
        <v>-9.9809141040579127E-2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2340811</v>
      </c>
      <c r="D27" s="22">
        <v>2061464</v>
      </c>
      <c r="E27" s="22">
        <f>D27-C27</f>
        <v>-279347</v>
      </c>
      <c r="F27" s="23">
        <f>IF(C27=0,0,E27/C27)</f>
        <v>-0.11933769962632609</v>
      </c>
    </row>
    <row r="28" spans="1:11" ht="24" customHeight="1" x14ac:dyDescent="0.2">
      <c r="A28" s="20">
        <v>4</v>
      </c>
      <c r="B28" s="21" t="s">
        <v>31</v>
      </c>
      <c r="C28" s="22">
        <v>2511054</v>
      </c>
      <c r="D28" s="22">
        <v>1472779</v>
      </c>
      <c r="E28" s="22">
        <f>D28-C28</f>
        <v>-1038275</v>
      </c>
      <c r="F28" s="23">
        <f>IF(C28=0,0,E28/C28)</f>
        <v>-0.41348174909818747</v>
      </c>
    </row>
    <row r="29" spans="1:11" ht="24" customHeight="1" x14ac:dyDescent="0.25">
      <c r="A29" s="24"/>
      <c r="B29" s="25" t="s">
        <v>32</v>
      </c>
      <c r="C29" s="26">
        <f>SUM(C25:C28)</f>
        <v>9527569</v>
      </c>
      <c r="D29" s="26">
        <f>SUM(D25:D28)</f>
        <v>7743269</v>
      </c>
      <c r="E29" s="26">
        <f>D29-C29</f>
        <v>-1784300</v>
      </c>
      <c r="F29" s="27">
        <f>IF(C29=0,0,E29/C29)</f>
        <v>-0.18727757311440096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10298713</v>
      </c>
      <c r="D32" s="22">
        <v>8384272</v>
      </c>
      <c r="E32" s="22">
        <f>D32-C32</f>
        <v>-1914441</v>
      </c>
      <c r="F32" s="23">
        <f>IF(C32=0,0,E32/C32)</f>
        <v>-0.18589128563928328</v>
      </c>
    </row>
    <row r="33" spans="1:8" ht="24" customHeight="1" x14ac:dyDescent="0.2">
      <c r="A33" s="20">
        <v>7</v>
      </c>
      <c r="B33" s="21" t="s">
        <v>35</v>
      </c>
      <c r="C33" s="22">
        <v>1274535</v>
      </c>
      <c r="D33" s="22">
        <v>48270</v>
      </c>
      <c r="E33" s="22">
        <f>D33-C33</f>
        <v>-1226265</v>
      </c>
      <c r="F33" s="23">
        <f>IF(C33=0,0,E33/C33)</f>
        <v>-0.96212736409749433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107437415</v>
      </c>
      <c r="D36" s="22">
        <v>117636063</v>
      </c>
      <c r="E36" s="22">
        <f>D36-C36</f>
        <v>10198648</v>
      </c>
      <c r="F36" s="23">
        <f>IF(C36=0,0,E36/C36)</f>
        <v>9.4926409016821561E-2</v>
      </c>
    </row>
    <row r="37" spans="1:8" ht="24" customHeight="1" x14ac:dyDescent="0.2">
      <c r="A37" s="20">
        <v>2</v>
      </c>
      <c r="B37" s="21" t="s">
        <v>39</v>
      </c>
      <c r="C37" s="22">
        <v>72130092</v>
      </c>
      <c r="D37" s="22">
        <v>73223692</v>
      </c>
      <c r="E37" s="22">
        <f>D37-C37</f>
        <v>1093600</v>
      </c>
      <c r="F37" s="23">
        <f>IF(C37=0,0,E37/C37)</f>
        <v>1.5161494595071361E-2</v>
      </c>
    </row>
    <row r="38" spans="1:8" ht="24" customHeight="1" x14ac:dyDescent="0.25">
      <c r="A38" s="24"/>
      <c r="B38" s="25" t="s">
        <v>40</v>
      </c>
      <c r="C38" s="26">
        <f>C36-C37</f>
        <v>35307323</v>
      </c>
      <c r="D38" s="26">
        <f>D36-D37</f>
        <v>44412371</v>
      </c>
      <c r="E38" s="26">
        <f>D38-C38</f>
        <v>9105048</v>
      </c>
      <c r="F38" s="27">
        <f>IF(C38=0,0,E38/C38)</f>
        <v>0.25787987381541216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12875489</v>
      </c>
      <c r="D40" s="22">
        <v>4666369</v>
      </c>
      <c r="E40" s="22">
        <f>D40-C40</f>
        <v>-8209120</v>
      </c>
      <c r="F40" s="23">
        <f>IF(C40=0,0,E40/C40)</f>
        <v>-0.63757733783936288</v>
      </c>
    </row>
    <row r="41" spans="1:8" ht="24" customHeight="1" x14ac:dyDescent="0.25">
      <c r="A41" s="24"/>
      <c r="B41" s="25" t="s">
        <v>42</v>
      </c>
      <c r="C41" s="26">
        <f>+C38+C40</f>
        <v>48182812</v>
      </c>
      <c r="D41" s="26">
        <f>+D38+D40</f>
        <v>49078740</v>
      </c>
      <c r="E41" s="26">
        <f>D41-C41</f>
        <v>895928</v>
      </c>
      <c r="F41" s="27">
        <f>IF(C41=0,0,E41/C41)</f>
        <v>1.8594348540720288E-2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95892459</v>
      </c>
      <c r="D43" s="26">
        <f>D22+D29+D31+D32+D33+D41</f>
        <v>90491885</v>
      </c>
      <c r="E43" s="26">
        <f>D43-C43</f>
        <v>-5400574</v>
      </c>
      <c r="F43" s="27">
        <f>IF(C43=0,0,E43/C43)</f>
        <v>-5.6319068843567771E-2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11751819</v>
      </c>
      <c r="D49" s="22">
        <v>9450701</v>
      </c>
      <c r="E49" s="22">
        <f t="shared" ref="E49:E56" si="2">D49-C49</f>
        <v>-2301118</v>
      </c>
      <c r="F49" s="23">
        <f t="shared" ref="F49:F56" si="3">IF(C49=0,0,E49/C49)</f>
        <v>-0.19580951680756825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1541765</v>
      </c>
      <c r="D50" s="22">
        <v>1497410</v>
      </c>
      <c r="E50" s="22">
        <f t="shared" si="2"/>
        <v>-44355</v>
      </c>
      <c r="F50" s="23">
        <f t="shared" si="3"/>
        <v>-2.8768975816677637E-2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734249</v>
      </c>
      <c r="D51" s="22">
        <v>4459573</v>
      </c>
      <c r="E51" s="22">
        <f t="shared" si="2"/>
        <v>3725324</v>
      </c>
      <c r="F51" s="23">
        <f t="shared" si="3"/>
        <v>5.0736521261860759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1866750</v>
      </c>
      <c r="D53" s="22">
        <v>1473425</v>
      </c>
      <c r="E53" s="22">
        <f t="shared" si="2"/>
        <v>-393325</v>
      </c>
      <c r="F53" s="23">
        <f t="shared" si="3"/>
        <v>-0.21070041516003749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750400</v>
      </c>
      <c r="E54" s="22">
        <f t="shared" si="2"/>
        <v>750400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11567449</v>
      </c>
      <c r="D55" s="22">
        <v>5991333</v>
      </c>
      <c r="E55" s="22">
        <f t="shared" si="2"/>
        <v>-5576116</v>
      </c>
      <c r="F55" s="23">
        <f t="shared" si="3"/>
        <v>-0.48205235225156384</v>
      </c>
    </row>
    <row r="56" spans="1:6" ht="24" customHeight="1" x14ac:dyDescent="0.25">
      <c r="A56" s="24"/>
      <c r="B56" s="25" t="s">
        <v>54</v>
      </c>
      <c r="C56" s="26">
        <f>SUM(C49:C55)</f>
        <v>27462032</v>
      </c>
      <c r="D56" s="26">
        <f>SUM(D49:D55)</f>
        <v>23622842</v>
      </c>
      <c r="E56" s="26">
        <f t="shared" si="2"/>
        <v>-3839190</v>
      </c>
      <c r="F56" s="27">
        <f t="shared" si="3"/>
        <v>-0.13979992449211334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29561646</v>
      </c>
      <c r="D59" s="22">
        <v>27705000</v>
      </c>
      <c r="E59" s="22">
        <f>D59-C59</f>
        <v>-1856646</v>
      </c>
      <c r="F59" s="23">
        <f>IF(C59=0,0,E59/C59)</f>
        <v>-6.2805907357120772E-2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102336</v>
      </c>
      <c r="E60" s="22">
        <f>D60-C60</f>
        <v>102336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29561646</v>
      </c>
      <c r="D61" s="26">
        <f>SUM(D59:D60)</f>
        <v>27807336</v>
      </c>
      <c r="E61" s="26">
        <f>D61-C61</f>
        <v>-1754310</v>
      </c>
      <c r="F61" s="27">
        <f>IF(C61=0,0,E61/C61)</f>
        <v>-5.9344124478048349E-2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34030148</v>
      </c>
      <c r="D63" s="22">
        <v>49175366</v>
      </c>
      <c r="E63" s="22">
        <f>D63-C63</f>
        <v>15145218</v>
      </c>
      <c r="F63" s="23">
        <f>IF(C63=0,0,E63/C63)</f>
        <v>0.44505295716022159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512200</v>
      </c>
      <c r="E64" s="22">
        <f>D64-C64</f>
        <v>512200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63591794</v>
      </c>
      <c r="D65" s="26">
        <f>SUM(D61:D64)</f>
        <v>77494902</v>
      </c>
      <c r="E65" s="26">
        <f>D65-C65</f>
        <v>13903108</v>
      </c>
      <c r="F65" s="27">
        <f>IF(C65=0,0,E65/C65)</f>
        <v>0.21863053588329337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-2707529</v>
      </c>
      <c r="D70" s="22">
        <v>-17585755</v>
      </c>
      <c r="E70" s="22">
        <f>D70-C70</f>
        <v>-14878226</v>
      </c>
      <c r="F70" s="23">
        <f>IF(C70=0,0,E70/C70)</f>
        <v>5.4951308000763799</v>
      </c>
    </row>
    <row r="71" spans="1:6" ht="24" customHeight="1" x14ac:dyDescent="0.2">
      <c r="A71" s="20">
        <v>2</v>
      </c>
      <c r="B71" s="21" t="s">
        <v>65</v>
      </c>
      <c r="C71" s="22">
        <v>3198536</v>
      </c>
      <c r="D71" s="22">
        <v>2893106</v>
      </c>
      <c r="E71" s="22">
        <f>D71-C71</f>
        <v>-305430</v>
      </c>
      <c r="F71" s="23">
        <f>IF(C71=0,0,E71/C71)</f>
        <v>-9.5490561932083926E-2</v>
      </c>
    </row>
    <row r="72" spans="1:6" ht="24" customHeight="1" x14ac:dyDescent="0.2">
      <c r="A72" s="20">
        <v>3</v>
      </c>
      <c r="B72" s="21" t="s">
        <v>66</v>
      </c>
      <c r="C72" s="22">
        <v>4347626</v>
      </c>
      <c r="D72" s="22">
        <v>4066790</v>
      </c>
      <c r="E72" s="22">
        <f>D72-C72</f>
        <v>-280836</v>
      </c>
      <c r="F72" s="23">
        <f>IF(C72=0,0,E72/C72)</f>
        <v>-6.4595252673528031E-2</v>
      </c>
    </row>
    <row r="73" spans="1:6" ht="24" customHeight="1" x14ac:dyDescent="0.25">
      <c r="A73" s="20"/>
      <c r="B73" s="25" t="s">
        <v>67</v>
      </c>
      <c r="C73" s="26">
        <f>SUM(C70:C72)</f>
        <v>4838633</v>
      </c>
      <c r="D73" s="26">
        <f>SUM(D70:D72)</f>
        <v>-10625859</v>
      </c>
      <c r="E73" s="26">
        <f>D73-C73</f>
        <v>-15464492</v>
      </c>
      <c r="F73" s="27">
        <f>IF(C73=0,0,E73/C73)</f>
        <v>-3.1960456600035587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95892459</v>
      </c>
      <c r="D75" s="26">
        <f>D56+D65+D67+D73</f>
        <v>90491885</v>
      </c>
      <c r="E75" s="26">
        <f>D75-C75</f>
        <v>-5400574</v>
      </c>
      <c r="F75" s="27">
        <f>IF(C75=0,0,E75/C75)</f>
        <v>-5.6319068843567771E-2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3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126341664</v>
      </c>
      <c r="D11" s="76">
        <v>127956902</v>
      </c>
      <c r="E11" s="76">
        <v>127223508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8639267</v>
      </c>
      <c r="D12" s="185">
        <v>7701533</v>
      </c>
      <c r="E12" s="185">
        <v>4769849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134980931</v>
      </c>
      <c r="D13" s="76">
        <f>+D11+D12</f>
        <v>135658435</v>
      </c>
      <c r="E13" s="76">
        <f>+E11+E12</f>
        <v>131993357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143922296</v>
      </c>
      <c r="D14" s="185">
        <v>141577219</v>
      </c>
      <c r="E14" s="185">
        <v>139595408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-8941365</v>
      </c>
      <c r="D15" s="76">
        <f>+D13-D14</f>
        <v>-5918784</v>
      </c>
      <c r="E15" s="76">
        <f>+E13-E14</f>
        <v>-7602051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430535</v>
      </c>
      <c r="D16" s="185">
        <v>519164</v>
      </c>
      <c r="E16" s="185">
        <v>1280830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-8510830</v>
      </c>
      <c r="D17" s="76">
        <f>D15+D16</f>
        <v>-5399620</v>
      </c>
      <c r="E17" s="76">
        <f>E15+E16</f>
        <v>-6321221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-6.603107745691196E-2</v>
      </c>
      <c r="D20" s="189">
        <f>IF(+D27=0,0,+D24/+D27)</f>
        <v>-4.3463712412788243E-2</v>
      </c>
      <c r="E20" s="189">
        <f>IF(+E27=0,0,+E24/+E27)</f>
        <v>-5.7040685605532902E-2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3.1794574914357694E-3</v>
      </c>
      <c r="D21" s="189">
        <f>IF(+D27=0,0,+D26/+D27)</f>
        <v>3.8124038300895581E-3</v>
      </c>
      <c r="E21" s="189">
        <f>IF(+E27=0,0,+E26/+E27)</f>
        <v>9.6104881885342129E-3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-6.2851619965476183E-2</v>
      </c>
      <c r="D22" s="189">
        <f>IF(+D27=0,0,+D28/+D27)</f>
        <v>-3.9651308582698684E-2</v>
      </c>
      <c r="E22" s="189">
        <f>IF(+E27=0,0,+E28/+E27)</f>
        <v>-4.7430197416998686E-2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-8941365</v>
      </c>
      <c r="D24" s="76">
        <f>+D15</f>
        <v>-5918784</v>
      </c>
      <c r="E24" s="76">
        <f>+E15</f>
        <v>-7602051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134980931</v>
      </c>
      <c r="D25" s="76">
        <f>+D13</f>
        <v>135658435</v>
      </c>
      <c r="E25" s="76">
        <f>+E13</f>
        <v>131993357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430535</v>
      </c>
      <c r="D26" s="76">
        <f>+D16</f>
        <v>519164</v>
      </c>
      <c r="E26" s="76">
        <f>+E16</f>
        <v>1280830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135411466</v>
      </c>
      <c r="D27" s="76">
        <f>SUM(D25:D26)</f>
        <v>136177599</v>
      </c>
      <c r="E27" s="76">
        <f>SUM(E25:E26)</f>
        <v>133274187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-8510830</v>
      </c>
      <c r="D28" s="76">
        <f>+D17</f>
        <v>-5399620</v>
      </c>
      <c r="E28" s="76">
        <f>+E17</f>
        <v>-6321221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8092517</v>
      </c>
      <c r="D31" s="76">
        <v>-1617411</v>
      </c>
      <c r="E31" s="76">
        <v>-16231755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17127403</v>
      </c>
      <c r="D32" s="76">
        <v>5928751</v>
      </c>
      <c r="E32" s="76">
        <v>-9291859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462366</v>
      </c>
      <c r="D33" s="76">
        <f>+D32-C32</f>
        <v>-11198652</v>
      </c>
      <c r="E33" s="76">
        <f>+E32-D32</f>
        <v>-15220610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1.0277000000000001</v>
      </c>
      <c r="D34" s="193">
        <f>IF(C32=0,0,+D33/C32)</f>
        <v>-0.6538441350390366</v>
      </c>
      <c r="E34" s="193">
        <f>IF(D32=0,0,+E33/D32)</f>
        <v>-2.5672540472689778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1.3838821496880362</v>
      </c>
      <c r="D38" s="338">
        <f>IF(+D40=0,0,+D39/+D40)</f>
        <v>0.97939444292486788</v>
      </c>
      <c r="E38" s="338">
        <f>IF(+E40=0,0,+E39/+E40)</f>
        <v>1.1015206957699233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35532410</v>
      </c>
      <c r="D39" s="341">
        <v>29798215</v>
      </c>
      <c r="E39" s="341">
        <v>28894083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25675893</v>
      </c>
      <c r="D40" s="341">
        <v>30425142</v>
      </c>
      <c r="E40" s="341">
        <v>26231085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23.853339516165605</v>
      </c>
      <c r="D42" s="343">
        <f>IF((D48/365)=0,0,+D45/(D48/365))</f>
        <v>27.004889239622891</v>
      </c>
      <c r="E42" s="343">
        <f>IF((E48/365)=0,0,+E45/(E48/365))</f>
        <v>21.1649850552587</v>
      </c>
    </row>
    <row r="43" spans="1:14" ht="24" customHeight="1" x14ac:dyDescent="0.2">
      <c r="A43" s="339">
        <v>5</v>
      </c>
      <c r="B43" s="344" t="s">
        <v>16</v>
      </c>
      <c r="C43" s="345">
        <v>6386290</v>
      </c>
      <c r="D43" s="345">
        <v>7060282</v>
      </c>
      <c r="E43" s="345">
        <v>4911198</v>
      </c>
    </row>
    <row r="44" spans="1:14" ht="24" customHeight="1" x14ac:dyDescent="0.2">
      <c r="A44" s="339">
        <v>6</v>
      </c>
      <c r="B44" s="346" t="s">
        <v>17</v>
      </c>
      <c r="C44" s="345">
        <v>2705332</v>
      </c>
      <c r="D44" s="345">
        <v>3023883</v>
      </c>
      <c r="E44" s="345">
        <v>2841383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9091622</v>
      </c>
      <c r="D45" s="341">
        <f>+D43+D44</f>
        <v>10084165</v>
      </c>
      <c r="E45" s="341">
        <f>+E43+E44</f>
        <v>7752581</v>
      </c>
    </row>
    <row r="46" spans="1:14" ht="24" customHeight="1" x14ac:dyDescent="0.2">
      <c r="A46" s="339">
        <v>8</v>
      </c>
      <c r="B46" s="340" t="s">
        <v>334</v>
      </c>
      <c r="C46" s="341">
        <f>+C14</f>
        <v>143922296</v>
      </c>
      <c r="D46" s="341">
        <f>+D14</f>
        <v>141577219</v>
      </c>
      <c r="E46" s="341">
        <f>+E14</f>
        <v>139595408</v>
      </c>
    </row>
    <row r="47" spans="1:14" ht="24" customHeight="1" x14ac:dyDescent="0.2">
      <c r="A47" s="339">
        <v>9</v>
      </c>
      <c r="B47" s="340" t="s">
        <v>356</v>
      </c>
      <c r="C47" s="341">
        <v>4803745</v>
      </c>
      <c r="D47" s="341">
        <v>5278929</v>
      </c>
      <c r="E47" s="341">
        <v>5898547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139118551</v>
      </c>
      <c r="D48" s="341">
        <f>+D46-D47</f>
        <v>136298290</v>
      </c>
      <c r="E48" s="341">
        <f>+E46-E47</f>
        <v>133696861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40.173877399620132</v>
      </c>
      <c r="D50" s="350">
        <f>IF((D55/365)=0,0,+D54/(D55/365))</f>
        <v>39.866007892251098</v>
      </c>
      <c r="E50" s="350">
        <f>IF((E55/365)=0,0,+E54/(E55/365))</f>
        <v>34.651353231039664</v>
      </c>
    </row>
    <row r="51" spans="1:5" ht="24" customHeight="1" x14ac:dyDescent="0.2">
      <c r="A51" s="339">
        <v>12</v>
      </c>
      <c r="B51" s="344" t="s">
        <v>359</v>
      </c>
      <c r="C51" s="351">
        <v>14973355</v>
      </c>
      <c r="D51" s="351">
        <v>14709950</v>
      </c>
      <c r="E51" s="351">
        <v>15185290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1352274</v>
      </c>
    </row>
    <row r="53" spans="1:5" ht="24" customHeight="1" x14ac:dyDescent="0.2">
      <c r="A53" s="339">
        <v>14</v>
      </c>
      <c r="B53" s="344" t="s">
        <v>49</v>
      </c>
      <c r="C53" s="341">
        <v>1067507</v>
      </c>
      <c r="D53" s="341">
        <v>734249</v>
      </c>
      <c r="E53" s="341">
        <v>4459573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13905848</v>
      </c>
      <c r="D54" s="352">
        <f>+D51+D52-D53</f>
        <v>13975701</v>
      </c>
      <c r="E54" s="352">
        <f>+E51+E52-E53</f>
        <v>12077991</v>
      </c>
    </row>
    <row r="55" spans="1:5" ht="24" customHeight="1" x14ac:dyDescent="0.2">
      <c r="A55" s="339">
        <v>16</v>
      </c>
      <c r="B55" s="340" t="s">
        <v>75</v>
      </c>
      <c r="C55" s="341">
        <f>+C11</f>
        <v>126341664</v>
      </c>
      <c r="D55" s="341">
        <f>+D11</f>
        <v>127956902</v>
      </c>
      <c r="E55" s="341">
        <f>+E11</f>
        <v>127223508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67.364854490182267</v>
      </c>
      <c r="D57" s="355">
        <f>IF((D61/365)=0,0,+D58/(D61/365))</f>
        <v>81.477007745291601</v>
      </c>
      <c r="E57" s="355">
        <f>IF((E61/365)=0,0,+E58/(E61/365))</f>
        <v>71.612347166475359</v>
      </c>
    </row>
    <row r="58" spans="1:5" ht="24" customHeight="1" x14ac:dyDescent="0.2">
      <c r="A58" s="339">
        <v>18</v>
      </c>
      <c r="B58" s="340" t="s">
        <v>54</v>
      </c>
      <c r="C58" s="353">
        <f>+C40</f>
        <v>25675893</v>
      </c>
      <c r="D58" s="353">
        <f>+D40</f>
        <v>30425142</v>
      </c>
      <c r="E58" s="353">
        <f>+E40</f>
        <v>26231085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143922296</v>
      </c>
      <c r="D59" s="353">
        <f t="shared" si="0"/>
        <v>141577219</v>
      </c>
      <c r="E59" s="353">
        <f t="shared" si="0"/>
        <v>139595408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4803745</v>
      </c>
      <c r="D60" s="356">
        <f t="shared" si="0"/>
        <v>5278929</v>
      </c>
      <c r="E60" s="356">
        <f t="shared" si="0"/>
        <v>5898547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139118551</v>
      </c>
      <c r="D61" s="353">
        <f>+D59-D60</f>
        <v>136298290</v>
      </c>
      <c r="E61" s="353">
        <f>+E59-E60</f>
        <v>133696861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17.10255179506315</v>
      </c>
      <c r="D65" s="357">
        <f>IF(D67=0,0,(D66/D67)*100)</f>
        <v>5.9319728324044636</v>
      </c>
      <c r="E65" s="357">
        <f>IF(E67=0,0,(E66/E67)*100)</f>
        <v>-9.8395137402020598</v>
      </c>
    </row>
    <row r="66" spans="1:5" ht="24" customHeight="1" x14ac:dyDescent="0.2">
      <c r="A66" s="339">
        <v>2</v>
      </c>
      <c r="B66" s="340" t="s">
        <v>67</v>
      </c>
      <c r="C66" s="353">
        <f>+C32</f>
        <v>17127403</v>
      </c>
      <c r="D66" s="353">
        <f>+D32</f>
        <v>5928751</v>
      </c>
      <c r="E66" s="353">
        <f>+E32</f>
        <v>-9291859</v>
      </c>
    </row>
    <row r="67" spans="1:5" ht="24" customHeight="1" x14ac:dyDescent="0.2">
      <c r="A67" s="339">
        <v>3</v>
      </c>
      <c r="B67" s="340" t="s">
        <v>43</v>
      </c>
      <c r="C67" s="353">
        <v>100145307</v>
      </c>
      <c r="D67" s="353">
        <v>99945687</v>
      </c>
      <c r="E67" s="353">
        <v>94434128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-6.6921437676367654</v>
      </c>
      <c r="D69" s="357">
        <f>IF(D75=0,0,(D72/D75)*100)</f>
        <v>-0.2011959700192649</v>
      </c>
      <c r="E69" s="357">
        <f>IF(E75=0,0,(E72/E75)*100)</f>
        <v>-0.78217311345940321</v>
      </c>
    </row>
    <row r="70" spans="1:5" ht="24" customHeight="1" x14ac:dyDescent="0.2">
      <c r="A70" s="339">
        <v>5</v>
      </c>
      <c r="B70" s="340" t="s">
        <v>366</v>
      </c>
      <c r="C70" s="353">
        <f>+C28</f>
        <v>-8510830</v>
      </c>
      <c r="D70" s="353">
        <f>+D28</f>
        <v>-5399620</v>
      </c>
      <c r="E70" s="353">
        <f>+E28</f>
        <v>-6321221</v>
      </c>
    </row>
    <row r="71" spans="1:5" ht="24" customHeight="1" x14ac:dyDescent="0.2">
      <c r="A71" s="339">
        <v>6</v>
      </c>
      <c r="B71" s="340" t="s">
        <v>356</v>
      </c>
      <c r="C71" s="356">
        <f>+C47</f>
        <v>4803745</v>
      </c>
      <c r="D71" s="356">
        <f>+D47</f>
        <v>5278929</v>
      </c>
      <c r="E71" s="356">
        <f>+E47</f>
        <v>5898547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-3707085</v>
      </c>
      <c r="D72" s="353">
        <f>+D70+D71</f>
        <v>-120691</v>
      </c>
      <c r="E72" s="353">
        <f>+E70+E71</f>
        <v>-422674</v>
      </c>
    </row>
    <row r="73" spans="1:5" ht="24" customHeight="1" x14ac:dyDescent="0.2">
      <c r="A73" s="339">
        <v>8</v>
      </c>
      <c r="B73" s="340" t="s">
        <v>54</v>
      </c>
      <c r="C73" s="341">
        <f>+C40</f>
        <v>25675893</v>
      </c>
      <c r="D73" s="341">
        <f>+D40</f>
        <v>30425142</v>
      </c>
      <c r="E73" s="341">
        <f>+E40</f>
        <v>26231085</v>
      </c>
    </row>
    <row r="74" spans="1:5" ht="24" customHeight="1" x14ac:dyDescent="0.2">
      <c r="A74" s="339">
        <v>9</v>
      </c>
      <c r="B74" s="340" t="s">
        <v>58</v>
      </c>
      <c r="C74" s="353">
        <v>29718688</v>
      </c>
      <c r="D74" s="353">
        <v>29561646</v>
      </c>
      <c r="E74" s="353">
        <v>27807336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55394581</v>
      </c>
      <c r="D75" s="341">
        <f>+D73+D74</f>
        <v>59986788</v>
      </c>
      <c r="E75" s="341">
        <f>+E73+E74</f>
        <v>54038421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63.438992166923811</v>
      </c>
      <c r="D77" s="359">
        <f>IF(D80=0,0,(D78/D80)*100)</f>
        <v>83.294774076491734</v>
      </c>
      <c r="E77" s="359">
        <f>IF(E80=0,0,(E78/E80)*100)</f>
        <v>150.18428096667452</v>
      </c>
    </row>
    <row r="78" spans="1:5" ht="24" customHeight="1" x14ac:dyDescent="0.2">
      <c r="A78" s="339">
        <v>12</v>
      </c>
      <c r="B78" s="340" t="s">
        <v>58</v>
      </c>
      <c r="C78" s="341">
        <f>+C74</f>
        <v>29718688</v>
      </c>
      <c r="D78" s="341">
        <f>+D74</f>
        <v>29561646</v>
      </c>
      <c r="E78" s="341">
        <f>+E74</f>
        <v>27807336</v>
      </c>
    </row>
    <row r="79" spans="1:5" ht="24" customHeight="1" x14ac:dyDescent="0.2">
      <c r="A79" s="339">
        <v>13</v>
      </c>
      <c r="B79" s="340" t="s">
        <v>67</v>
      </c>
      <c r="C79" s="341">
        <f>+C32</f>
        <v>17127403</v>
      </c>
      <c r="D79" s="341">
        <f>+D32</f>
        <v>5928751</v>
      </c>
      <c r="E79" s="341">
        <f>+E32</f>
        <v>-9291859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46846091</v>
      </c>
      <c r="D80" s="341">
        <f>+D78+D79</f>
        <v>35490397</v>
      </c>
      <c r="E80" s="341">
        <f>+E78+E79</f>
        <v>18515477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FILING&amp;R&amp;8DAY KIMBALL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9438</v>
      </c>
      <c r="D11" s="376">
        <v>2773</v>
      </c>
      <c r="E11" s="376">
        <v>2565</v>
      </c>
      <c r="F11" s="377">
        <v>37</v>
      </c>
      <c r="G11" s="377">
        <v>72</v>
      </c>
      <c r="H11" s="378">
        <f>IF(F11=0,0,$C11/(F11*365))</f>
        <v>0.69885227693446872</v>
      </c>
      <c r="I11" s="378">
        <f>IF(G11=0,0,$C11/(G11*365))</f>
        <v>0.35913242009132418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786</v>
      </c>
      <c r="D13" s="376">
        <v>216</v>
      </c>
      <c r="E13" s="376">
        <v>0</v>
      </c>
      <c r="F13" s="377">
        <v>6</v>
      </c>
      <c r="G13" s="377">
        <v>9</v>
      </c>
      <c r="H13" s="378">
        <f>IF(F13=0,0,$C13/(F13*365))</f>
        <v>0.35890410958904112</v>
      </c>
      <c r="I13" s="378">
        <f>IF(G13=0,0,$C13/(G13*365))</f>
        <v>0.23926940639269406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3748</v>
      </c>
      <c r="D16" s="376">
        <v>565</v>
      </c>
      <c r="E16" s="376">
        <v>572</v>
      </c>
      <c r="F16" s="377">
        <v>12</v>
      </c>
      <c r="G16" s="377">
        <v>15</v>
      </c>
      <c r="H16" s="378">
        <f t="shared" si="0"/>
        <v>0.85570776255707759</v>
      </c>
      <c r="I16" s="378">
        <f t="shared" si="0"/>
        <v>0.68456621004566209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3748</v>
      </c>
      <c r="D17" s="381">
        <f>SUM(D15:D16)</f>
        <v>565</v>
      </c>
      <c r="E17" s="381">
        <f>SUM(E15:E16)</f>
        <v>572</v>
      </c>
      <c r="F17" s="381">
        <f>SUM(F15:F16)</f>
        <v>12</v>
      </c>
      <c r="G17" s="381">
        <f>SUM(G15:G16)</f>
        <v>15</v>
      </c>
      <c r="H17" s="382">
        <f t="shared" si="0"/>
        <v>0.85570776255707759</v>
      </c>
      <c r="I17" s="382">
        <f t="shared" si="0"/>
        <v>0.68456621004566209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1437</v>
      </c>
      <c r="D21" s="376">
        <v>551</v>
      </c>
      <c r="E21" s="376">
        <v>501</v>
      </c>
      <c r="F21" s="377">
        <v>5</v>
      </c>
      <c r="G21" s="377">
        <v>8</v>
      </c>
      <c r="H21" s="378">
        <f>IF(F21=0,0,$C21/(F21*365))</f>
        <v>0.78739726027397261</v>
      </c>
      <c r="I21" s="378">
        <f>IF(G21=0,0,$C21/(G21*365))</f>
        <v>0.49212328767123287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1342</v>
      </c>
      <c r="D23" s="376">
        <v>560</v>
      </c>
      <c r="E23" s="376">
        <v>525</v>
      </c>
      <c r="F23" s="377">
        <v>5</v>
      </c>
      <c r="G23" s="377">
        <v>18</v>
      </c>
      <c r="H23" s="378">
        <f>IF(F23=0,0,$C23/(F23*365))</f>
        <v>0.73534246575342466</v>
      </c>
      <c r="I23" s="378">
        <f>IF(G23=0,0,$C23/(G23*365))</f>
        <v>0.20426179604261796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9</v>
      </c>
      <c r="D27" s="376">
        <v>2</v>
      </c>
      <c r="E27" s="376">
        <v>2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15418</v>
      </c>
      <c r="D31" s="384">
        <f>SUM(D10:D29)-D13-D17-D23</f>
        <v>3891</v>
      </c>
      <c r="E31" s="384">
        <f>SUM(E10:E29)-E17-E23</f>
        <v>3640</v>
      </c>
      <c r="F31" s="384">
        <f>SUM(F10:F29)-F17-F23</f>
        <v>60</v>
      </c>
      <c r="G31" s="384">
        <f>SUM(G10:G29)-G17-G23</f>
        <v>104</v>
      </c>
      <c r="H31" s="385">
        <f>IF(F31=0,0,$C31/(F31*365))</f>
        <v>0.70401826484018259</v>
      </c>
      <c r="I31" s="385">
        <f>IF(G31=0,0,$C31/(G31*365))</f>
        <v>0.40616438356164386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16760</v>
      </c>
      <c r="D33" s="384">
        <f>SUM(D10:D29)-D13-D17</f>
        <v>4451</v>
      </c>
      <c r="E33" s="384">
        <f>SUM(E10:E29)-E17</f>
        <v>4165</v>
      </c>
      <c r="F33" s="384">
        <f>SUM(F10:F29)-F17</f>
        <v>65</v>
      </c>
      <c r="G33" s="384">
        <f>SUM(G10:G29)-G17</f>
        <v>122</v>
      </c>
      <c r="H33" s="385">
        <f>IF(F33=0,0,$C33/(F33*365))</f>
        <v>0.70642781875658589</v>
      </c>
      <c r="I33" s="385">
        <f>IF(G33=0,0,$C33/(G33*365))</f>
        <v>0.37637547720637771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16760</v>
      </c>
      <c r="D36" s="384">
        <f t="shared" si="1"/>
        <v>4451</v>
      </c>
      <c r="E36" s="384">
        <f t="shared" si="1"/>
        <v>4165</v>
      </c>
      <c r="F36" s="384">
        <f t="shared" si="1"/>
        <v>65</v>
      </c>
      <c r="G36" s="384">
        <f t="shared" si="1"/>
        <v>122</v>
      </c>
      <c r="H36" s="387">
        <f t="shared" si="1"/>
        <v>0.70642781875658589</v>
      </c>
      <c r="I36" s="387">
        <f t="shared" si="1"/>
        <v>0.37637547720637771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16844</v>
      </c>
      <c r="D37" s="384">
        <v>4511</v>
      </c>
      <c r="E37" s="384">
        <v>4323</v>
      </c>
      <c r="F37" s="386">
        <v>65</v>
      </c>
      <c r="G37" s="386">
        <v>122</v>
      </c>
      <c r="H37" s="385">
        <f>IF(F37=0,0,$C37/(F37*365))</f>
        <v>0.70996838777660698</v>
      </c>
      <c r="I37" s="385">
        <f>IF(G37=0,0,$C37/(G37*365))</f>
        <v>0.37826184594655288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-84</v>
      </c>
      <c r="D38" s="384">
        <f t="shared" si="2"/>
        <v>-60</v>
      </c>
      <c r="E38" s="384">
        <f t="shared" si="2"/>
        <v>-158</v>
      </c>
      <c r="F38" s="384">
        <f t="shared" si="2"/>
        <v>0</v>
      </c>
      <c r="G38" s="384">
        <f t="shared" si="2"/>
        <v>0</v>
      </c>
      <c r="H38" s="387">
        <f t="shared" si="2"/>
        <v>-3.5405690200210893E-3</v>
      </c>
      <c r="I38" s="387">
        <f t="shared" si="2"/>
        <v>-1.8863687401751705E-3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-4.9869389693659467E-3</v>
      </c>
      <c r="D40" s="389">
        <f t="shared" si="3"/>
        <v>-1.3300820217246731E-2</v>
      </c>
      <c r="E40" s="389">
        <f t="shared" si="3"/>
        <v>-3.6548693037242654E-2</v>
      </c>
      <c r="F40" s="389">
        <f t="shared" si="3"/>
        <v>0</v>
      </c>
      <c r="G40" s="389">
        <f t="shared" si="3"/>
        <v>0</v>
      </c>
      <c r="H40" s="389">
        <f t="shared" si="3"/>
        <v>-4.9869389693659666E-3</v>
      </c>
      <c r="I40" s="389">
        <f t="shared" si="3"/>
        <v>-4.9869389693659666E-3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FILING&amp;RDAY KIMBALL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view="pageBreakPreview" zoomScale="90"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552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1404</v>
      </c>
      <c r="D12" s="409">
        <v>1297</v>
      </c>
      <c r="E12" s="409">
        <f>+D12-C12</f>
        <v>-107</v>
      </c>
      <c r="F12" s="410">
        <f>IF(C12=0,0,+E12/C12)</f>
        <v>-7.6210826210826213E-2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3328</v>
      </c>
      <c r="D13" s="409">
        <v>3195</v>
      </c>
      <c r="E13" s="409">
        <f>+D13-C13</f>
        <v>-133</v>
      </c>
      <c r="F13" s="410">
        <f>IF(C13=0,0,+E13/C13)</f>
        <v>-3.9963942307692304E-2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3595</v>
      </c>
      <c r="D14" s="409">
        <v>3277</v>
      </c>
      <c r="E14" s="409">
        <f>+D14-C14</f>
        <v>-318</v>
      </c>
      <c r="F14" s="410">
        <f>IF(C14=0,0,+E14/C14)</f>
        <v>-8.8456189151599446E-2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8327</v>
      </c>
      <c r="D16" s="401">
        <f>SUM(D12:D15)</f>
        <v>7769</v>
      </c>
      <c r="E16" s="401">
        <f>+D16-C16</f>
        <v>-558</v>
      </c>
      <c r="F16" s="402">
        <f>IF(C16=0,0,+E16/C16)</f>
        <v>-6.7010928305512182E-2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478</v>
      </c>
      <c r="D19" s="409">
        <v>435</v>
      </c>
      <c r="E19" s="409">
        <f>+D19-C19</f>
        <v>-43</v>
      </c>
      <c r="F19" s="410">
        <f>IF(C19=0,0,+E19/C19)</f>
        <v>-8.9958158995815898E-2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4400</v>
      </c>
      <c r="D20" s="409">
        <v>4389</v>
      </c>
      <c r="E20" s="409">
        <f>+D20-C20</f>
        <v>-11</v>
      </c>
      <c r="F20" s="410">
        <f>IF(C20=0,0,+E20/C20)</f>
        <v>-2.5000000000000001E-3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163</v>
      </c>
      <c r="D21" s="409">
        <v>176</v>
      </c>
      <c r="E21" s="409">
        <f>+D21-C21</f>
        <v>13</v>
      </c>
      <c r="F21" s="410">
        <f>IF(C21=0,0,+E21/C21)</f>
        <v>7.9754601226993863E-2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5041</v>
      </c>
      <c r="D23" s="401">
        <f>SUM(D19:D22)</f>
        <v>5000</v>
      </c>
      <c r="E23" s="401">
        <f>+D23-C23</f>
        <v>-41</v>
      </c>
      <c r="F23" s="402">
        <f>IF(C23=0,0,+E23/C23)</f>
        <v>-8.1333068835548507E-3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2</v>
      </c>
      <c r="D26" s="409">
        <v>1</v>
      </c>
      <c r="E26" s="409">
        <f>+D26-C26</f>
        <v>-1</v>
      </c>
      <c r="F26" s="410">
        <f>IF(C26=0,0,+E26/C26)</f>
        <v>-0.5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183</v>
      </c>
      <c r="D27" s="409">
        <v>156</v>
      </c>
      <c r="E27" s="409">
        <f>+D27-C27</f>
        <v>-27</v>
      </c>
      <c r="F27" s="410">
        <f>IF(C27=0,0,+E27/C27)</f>
        <v>-0.14754098360655737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185</v>
      </c>
      <c r="D30" s="401">
        <f>SUM(D26:D29)</f>
        <v>157</v>
      </c>
      <c r="E30" s="401">
        <f>+D30-C30</f>
        <v>-28</v>
      </c>
      <c r="F30" s="402">
        <f>IF(C30=0,0,+E30/C30)</f>
        <v>-0.15135135135135136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565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566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596</v>
      </c>
      <c r="D63" s="409">
        <v>553</v>
      </c>
      <c r="E63" s="409">
        <f>+D63-C63</f>
        <v>-43</v>
      </c>
      <c r="F63" s="410">
        <f>IF(C63=0,0,+E63/C63)</f>
        <v>-7.2147651006711416E-2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3008</v>
      </c>
      <c r="D64" s="409">
        <v>2961</v>
      </c>
      <c r="E64" s="409">
        <f>+D64-C64</f>
        <v>-47</v>
      </c>
      <c r="F64" s="410">
        <f>IF(C64=0,0,+E64/C64)</f>
        <v>-1.5625E-2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3604</v>
      </c>
      <c r="D65" s="401">
        <f>SUM(D63:D64)</f>
        <v>3514</v>
      </c>
      <c r="E65" s="401">
        <f>+D65-C65</f>
        <v>-90</v>
      </c>
      <c r="F65" s="402">
        <f>IF(C65=0,0,+E65/C65)</f>
        <v>-2.4972253052164262E-2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186</v>
      </c>
      <c r="D68" s="409">
        <v>142</v>
      </c>
      <c r="E68" s="409">
        <f>+D68-C68</f>
        <v>-44</v>
      </c>
      <c r="F68" s="410">
        <f>IF(C68=0,0,+E68/C68)</f>
        <v>-0.23655913978494625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923</v>
      </c>
      <c r="D69" s="409">
        <v>806</v>
      </c>
      <c r="E69" s="409">
        <f>+D69-C69</f>
        <v>-117</v>
      </c>
      <c r="F69" s="412">
        <f>IF(C69=0,0,+E69/C69)</f>
        <v>-0.12676056338028169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1109</v>
      </c>
      <c r="D70" s="401">
        <f>SUM(D68:D69)</f>
        <v>948</v>
      </c>
      <c r="E70" s="401">
        <f>+D70-C70</f>
        <v>-161</v>
      </c>
      <c r="F70" s="402">
        <f>IF(C70=0,0,+E70/C70)</f>
        <v>-0.14517583408476104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2856</v>
      </c>
      <c r="D73" s="376">
        <v>2870</v>
      </c>
      <c r="E73" s="409">
        <f>+D73-C73</f>
        <v>14</v>
      </c>
      <c r="F73" s="410">
        <f>IF(C73=0,0,+E73/C73)</f>
        <v>4.9019607843137254E-3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23609</v>
      </c>
      <c r="D74" s="376">
        <v>19151</v>
      </c>
      <c r="E74" s="409">
        <f>+D74-C74</f>
        <v>-4458</v>
      </c>
      <c r="F74" s="410">
        <f>IF(C74=0,0,+E74/C74)</f>
        <v>-0.1888262950569698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26465</v>
      </c>
      <c r="D75" s="401">
        <f>SUM(D73:D74)</f>
        <v>22021</v>
      </c>
      <c r="E75" s="401">
        <f>SUM(E73:E74)</f>
        <v>-4444</v>
      </c>
      <c r="F75" s="402">
        <f>IF(C75=0,0,+E75/C75)</f>
        <v>-0.16791989419988665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11158</v>
      </c>
      <c r="D81" s="376">
        <v>11071</v>
      </c>
      <c r="E81" s="409">
        <f t="shared" si="0"/>
        <v>-87</v>
      </c>
      <c r="F81" s="410">
        <f t="shared" si="1"/>
        <v>-7.797096253808926E-3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11671</v>
      </c>
      <c r="D91" s="376">
        <v>10883</v>
      </c>
      <c r="E91" s="409">
        <f t="shared" si="0"/>
        <v>-788</v>
      </c>
      <c r="F91" s="410">
        <f t="shared" si="1"/>
        <v>-6.7517779110616058E-2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22829</v>
      </c>
      <c r="D92" s="381">
        <f>SUM(D79:D91)</f>
        <v>21954</v>
      </c>
      <c r="E92" s="401">
        <f t="shared" si="0"/>
        <v>-875</v>
      </c>
      <c r="F92" s="402">
        <f t="shared" si="1"/>
        <v>-3.8328441894082091E-2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66980</v>
      </c>
      <c r="D95" s="414">
        <v>63762</v>
      </c>
      <c r="E95" s="415">
        <f t="shared" ref="E95:E100" si="2">+D95-C95</f>
        <v>-3218</v>
      </c>
      <c r="F95" s="412">
        <f t="shared" ref="F95:F100" si="3">IF(C95=0,0,+E95/C95)</f>
        <v>-4.8044192296207822E-2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3809</v>
      </c>
      <c r="D96" s="414">
        <v>3331</v>
      </c>
      <c r="E96" s="409">
        <f t="shared" si="2"/>
        <v>-478</v>
      </c>
      <c r="F96" s="410">
        <f t="shared" si="3"/>
        <v>-0.12549225518508794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1173</v>
      </c>
      <c r="D97" s="414">
        <v>980</v>
      </c>
      <c r="E97" s="409">
        <f t="shared" si="2"/>
        <v>-193</v>
      </c>
      <c r="F97" s="410">
        <f t="shared" si="3"/>
        <v>-0.16453537936913895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3272</v>
      </c>
      <c r="D98" s="414">
        <v>3093</v>
      </c>
      <c r="E98" s="409">
        <f t="shared" si="2"/>
        <v>-179</v>
      </c>
      <c r="F98" s="410">
        <f t="shared" si="3"/>
        <v>-5.4706601466992667E-2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76145</v>
      </c>
      <c r="D99" s="414">
        <v>50007</v>
      </c>
      <c r="E99" s="409">
        <f t="shared" si="2"/>
        <v>-26138</v>
      </c>
      <c r="F99" s="410">
        <f t="shared" si="3"/>
        <v>-0.34326613697550723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151379</v>
      </c>
      <c r="D100" s="381">
        <f>SUM(D95:D99)</f>
        <v>121173</v>
      </c>
      <c r="E100" s="401">
        <f t="shared" si="2"/>
        <v>-30206</v>
      </c>
      <c r="F100" s="402">
        <f t="shared" si="3"/>
        <v>-0.19953890566062663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276.39999999999998</v>
      </c>
      <c r="D104" s="416">
        <v>271.10000000000002</v>
      </c>
      <c r="E104" s="417">
        <f>+D104-C104</f>
        <v>-5.2999999999999545</v>
      </c>
      <c r="F104" s="410">
        <f>IF(C104=0,0,+E104/C104)</f>
        <v>-1.9175108538350055E-2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5</v>
      </c>
      <c r="D105" s="416">
        <v>4.2</v>
      </c>
      <c r="E105" s="417">
        <f>+D105-C105</f>
        <v>-0.79999999999999982</v>
      </c>
      <c r="F105" s="410">
        <f>IF(C105=0,0,+E105/C105)</f>
        <v>-0.15999999999999998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502.5</v>
      </c>
      <c r="D106" s="416">
        <v>482.8</v>
      </c>
      <c r="E106" s="417">
        <f>+D106-C106</f>
        <v>-19.699999999999989</v>
      </c>
      <c r="F106" s="410">
        <f>IF(C106=0,0,+E106/C106)</f>
        <v>-3.9203980099502468E-2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783.9</v>
      </c>
      <c r="D107" s="418">
        <f>SUM(D104:D106)</f>
        <v>758.1</v>
      </c>
      <c r="E107" s="418">
        <f>+D107-C107</f>
        <v>-25.799999999999955</v>
      </c>
      <c r="F107" s="402">
        <f>IF(C107=0,0,+E107/C107)</f>
        <v>-3.2912361270570172E-2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619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3008</v>
      </c>
      <c r="D12" s="409">
        <v>2961</v>
      </c>
      <c r="E12" s="409">
        <f>+D12-C12</f>
        <v>-47</v>
      </c>
      <c r="F12" s="410">
        <f>IF(C12=0,0,+E12/C12)</f>
        <v>-1.5625E-2</v>
      </c>
    </row>
    <row r="13" spans="1:6" ht="15.75" customHeight="1" x14ac:dyDescent="0.25">
      <c r="A13" s="374"/>
      <c r="B13" s="399" t="s">
        <v>621</v>
      </c>
      <c r="C13" s="401">
        <f>SUM(C11:C12)</f>
        <v>3008</v>
      </c>
      <c r="D13" s="401">
        <f>SUM(D11:D12)</f>
        <v>2961</v>
      </c>
      <c r="E13" s="401">
        <f>+D13-C13</f>
        <v>-47</v>
      </c>
      <c r="F13" s="402">
        <f>IF(C13=0,0,+E13/C13)</f>
        <v>-1.5625E-2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923</v>
      </c>
      <c r="D16" s="409">
        <v>806</v>
      </c>
      <c r="E16" s="409">
        <f>+D16-C16</f>
        <v>-117</v>
      </c>
      <c r="F16" s="410">
        <f>IF(C16=0,0,+E16/C16)</f>
        <v>-0.12676056338028169</v>
      </c>
    </row>
    <row r="17" spans="1:6" ht="15.75" customHeight="1" x14ac:dyDescent="0.25">
      <c r="A17" s="374"/>
      <c r="B17" s="399" t="s">
        <v>622</v>
      </c>
      <c r="C17" s="401">
        <f>SUM(C15:C16)</f>
        <v>923</v>
      </c>
      <c r="D17" s="401">
        <f>SUM(D15:D16)</f>
        <v>806</v>
      </c>
      <c r="E17" s="401">
        <f>+D17-C17</f>
        <v>-117</v>
      </c>
      <c r="F17" s="402">
        <f>IF(C17=0,0,+E17/C17)</f>
        <v>-0.12676056338028169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23609</v>
      </c>
      <c r="D20" s="409">
        <v>19151</v>
      </c>
      <c r="E20" s="409">
        <f>+D20-C20</f>
        <v>-4458</v>
      </c>
      <c r="F20" s="410">
        <f>IF(C20=0,0,+E20/C20)</f>
        <v>-0.1888262950569698</v>
      </c>
    </row>
    <row r="21" spans="1:6" ht="15.75" customHeight="1" x14ac:dyDescent="0.25">
      <c r="A21" s="374"/>
      <c r="B21" s="399" t="s">
        <v>624</v>
      </c>
      <c r="C21" s="401">
        <f>SUM(C19:C20)</f>
        <v>23609</v>
      </c>
      <c r="D21" s="401">
        <f>SUM(D19:D20)</f>
        <v>19151</v>
      </c>
      <c r="E21" s="401">
        <f>+D21-C21</f>
        <v>-4458</v>
      </c>
      <c r="F21" s="402">
        <f>IF(C21=0,0,+E21/C21)</f>
        <v>-0.1888262950569698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FILING&amp;RDAY KIMBALL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34007234</v>
      </c>
      <c r="D15" s="448">
        <v>40141677</v>
      </c>
      <c r="E15" s="448">
        <f t="shared" ref="E15:E24" si="0">D15-C15</f>
        <v>6134443</v>
      </c>
      <c r="F15" s="449">
        <f t="shared" ref="F15:F24" si="1">IF(C15=0,0,E15/C15)</f>
        <v>0.18038641425527285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17746030</v>
      </c>
      <c r="D16" s="448">
        <v>18892725</v>
      </c>
      <c r="E16" s="448">
        <f t="shared" si="0"/>
        <v>1146695</v>
      </c>
      <c r="F16" s="449">
        <f t="shared" si="1"/>
        <v>6.4616987574122209E-2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0.52183103159757127</v>
      </c>
      <c r="D17" s="453">
        <f>IF(LN_IA1=0,0,LN_IA2/LN_IA1)</f>
        <v>0.47065111405285831</v>
      </c>
      <c r="E17" s="454">
        <f t="shared" si="0"/>
        <v>-5.1179917544712961E-2</v>
      </c>
      <c r="F17" s="449">
        <f t="shared" si="1"/>
        <v>-9.8077566196144106E-2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1804</v>
      </c>
      <c r="D18" s="456">
        <v>2105</v>
      </c>
      <c r="E18" s="456">
        <f t="shared" si="0"/>
        <v>301</v>
      </c>
      <c r="F18" s="449">
        <f t="shared" si="1"/>
        <v>0.16685144124168513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1.1778</v>
      </c>
      <c r="D19" s="459">
        <v>1.2448999999999999</v>
      </c>
      <c r="E19" s="460">
        <f t="shared" si="0"/>
        <v>6.7099999999999937E-2</v>
      </c>
      <c r="F19" s="449">
        <f t="shared" si="1"/>
        <v>5.697062319578871E-2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2124.7511999999997</v>
      </c>
      <c r="D20" s="463">
        <f>LN_IA4*LN_IA5</f>
        <v>2620.5144999999998</v>
      </c>
      <c r="E20" s="463">
        <f t="shared" si="0"/>
        <v>495.76330000000007</v>
      </c>
      <c r="F20" s="449">
        <f t="shared" si="1"/>
        <v>0.2333276950261283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8352.0508189382381</v>
      </c>
      <c r="D21" s="465">
        <f>IF(LN_IA6=0,0,LN_IA2/LN_IA6)</f>
        <v>7209.5479723542849</v>
      </c>
      <c r="E21" s="465">
        <f t="shared" si="0"/>
        <v>-1142.5028465839532</v>
      </c>
      <c r="F21" s="449">
        <f t="shared" si="1"/>
        <v>-0.13679309086498051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6738</v>
      </c>
      <c r="D22" s="456">
        <v>8940</v>
      </c>
      <c r="E22" s="456">
        <f t="shared" si="0"/>
        <v>2202</v>
      </c>
      <c r="F22" s="449">
        <f t="shared" si="1"/>
        <v>0.32680320569902049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2633.7236568714752</v>
      </c>
      <c r="D23" s="465">
        <f>IF(LN_IA8=0,0,LN_IA2/LN_IA8)</f>
        <v>2113.280201342282</v>
      </c>
      <c r="E23" s="465">
        <f t="shared" si="0"/>
        <v>-520.44345552919322</v>
      </c>
      <c r="F23" s="449">
        <f t="shared" si="1"/>
        <v>-0.19760746506997362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3.7350332594235032</v>
      </c>
      <c r="D24" s="466">
        <f>IF(LN_IA4=0,0,LN_IA8/LN_IA4)</f>
        <v>4.2470308788598574</v>
      </c>
      <c r="E24" s="466">
        <f t="shared" si="0"/>
        <v>0.51199761943635425</v>
      </c>
      <c r="F24" s="449">
        <f t="shared" si="1"/>
        <v>0.13707980193873301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57922875</v>
      </c>
      <c r="D27" s="448">
        <v>65465511</v>
      </c>
      <c r="E27" s="448">
        <f t="shared" ref="E27:E32" si="2">D27-C27</f>
        <v>7542636</v>
      </c>
      <c r="F27" s="449">
        <f t="shared" ref="F27:F32" si="3">IF(C27=0,0,E27/C27)</f>
        <v>0.13021860534374372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21980288</v>
      </c>
      <c r="D28" s="448">
        <v>22486839</v>
      </c>
      <c r="E28" s="448">
        <f t="shared" si="2"/>
        <v>506551</v>
      </c>
      <c r="F28" s="449">
        <f t="shared" si="3"/>
        <v>2.3045694396724919E-2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0.37947508648353523</v>
      </c>
      <c r="D29" s="453">
        <f>IF(LN_IA11=0,0,LN_IA12/LN_IA11)</f>
        <v>0.34349138434129078</v>
      </c>
      <c r="E29" s="454">
        <f t="shared" si="2"/>
        <v>-3.5983702142244445E-2</v>
      </c>
      <c r="F29" s="449">
        <f t="shared" si="3"/>
        <v>-9.482493956505289E-2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1.7032515787670353</v>
      </c>
      <c r="D30" s="453">
        <f>IF(LN_IA1=0,0,LN_IA11/LN_IA1)</f>
        <v>1.6308613862843846</v>
      </c>
      <c r="E30" s="454">
        <f t="shared" si="2"/>
        <v>-7.2390192482650662E-2</v>
      </c>
      <c r="F30" s="449">
        <f t="shared" si="3"/>
        <v>-4.2501174450725071E-2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3072.6658480957317</v>
      </c>
      <c r="D31" s="463">
        <f>LN_IA14*LN_IA4</f>
        <v>3432.9632181286297</v>
      </c>
      <c r="E31" s="463">
        <f t="shared" si="2"/>
        <v>360.29737003289802</v>
      </c>
      <c r="F31" s="449">
        <f t="shared" si="3"/>
        <v>0.11725888457939232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7153.4911658624278</v>
      </c>
      <c r="D32" s="465">
        <f>IF(LN_IA15=0,0,LN_IA12/LN_IA15)</f>
        <v>6550.2708800527089</v>
      </c>
      <c r="E32" s="465">
        <f t="shared" si="2"/>
        <v>-603.22028580971892</v>
      </c>
      <c r="F32" s="449">
        <f t="shared" si="3"/>
        <v>-8.4325299608725313E-2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91930109</v>
      </c>
      <c r="D35" s="448">
        <f>LN_IA1+LN_IA11</f>
        <v>105607188</v>
      </c>
      <c r="E35" s="448">
        <f>D35-C35</f>
        <v>13677079</v>
      </c>
      <c r="F35" s="449">
        <f>IF(C35=0,0,E35/C35)</f>
        <v>0.14877692574040133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39726318</v>
      </c>
      <c r="D36" s="448">
        <f>LN_IA2+LN_IA12</f>
        <v>41379564</v>
      </c>
      <c r="E36" s="448">
        <f>D36-C36</f>
        <v>1653246</v>
      </c>
      <c r="F36" s="449">
        <f>IF(C36=0,0,E36/C36)</f>
        <v>4.1615887986397329E-2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52203791</v>
      </c>
      <c r="D37" s="448">
        <f>LN_IA17-LN_IA18</f>
        <v>64227624</v>
      </c>
      <c r="E37" s="448">
        <f>D37-C37</f>
        <v>12023833</v>
      </c>
      <c r="F37" s="449">
        <f>IF(C37=0,0,E37/C37)</f>
        <v>0.23032490111685566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15277989</v>
      </c>
      <c r="D42" s="448">
        <v>15491458</v>
      </c>
      <c r="E42" s="448">
        <f t="shared" ref="E42:E53" si="4">D42-C42</f>
        <v>213469</v>
      </c>
      <c r="F42" s="449">
        <f t="shared" ref="F42:F53" si="5">IF(C42=0,0,E42/C42)</f>
        <v>1.3972323189917207E-2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8870442</v>
      </c>
      <c r="D43" s="448">
        <v>9252473</v>
      </c>
      <c r="E43" s="448">
        <f t="shared" si="4"/>
        <v>382031</v>
      </c>
      <c r="F43" s="449">
        <f t="shared" si="5"/>
        <v>4.3067865163877964E-2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0.58060272199436724</v>
      </c>
      <c r="D44" s="453">
        <f>IF(LN_IB1=0,0,LN_IB2/LN_IB1)</f>
        <v>0.59726289158838375</v>
      </c>
      <c r="E44" s="454">
        <f t="shared" si="4"/>
        <v>1.6660169594016505E-2</v>
      </c>
      <c r="F44" s="449">
        <f t="shared" si="5"/>
        <v>2.8694611587057172E-2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1728</v>
      </c>
      <c r="D45" s="456">
        <v>1033</v>
      </c>
      <c r="E45" s="456">
        <f t="shared" si="4"/>
        <v>-695</v>
      </c>
      <c r="F45" s="449">
        <f t="shared" si="5"/>
        <v>-0.40219907407407407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0.96589999999999998</v>
      </c>
      <c r="D46" s="459">
        <v>1.0525</v>
      </c>
      <c r="E46" s="460">
        <f t="shared" si="4"/>
        <v>8.660000000000001E-2</v>
      </c>
      <c r="F46" s="449">
        <f t="shared" si="5"/>
        <v>8.9657314421782805E-2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1669.0752</v>
      </c>
      <c r="D47" s="463">
        <f>LN_IB4*LN_IB5</f>
        <v>1087.2325000000001</v>
      </c>
      <c r="E47" s="463">
        <f t="shared" si="4"/>
        <v>-581.84269999999992</v>
      </c>
      <c r="F47" s="449">
        <f t="shared" si="5"/>
        <v>-0.34860184849670039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5314.5849869436679</v>
      </c>
      <c r="D48" s="465">
        <f>IF(LN_IB6=0,0,LN_IB2/LN_IB6)</f>
        <v>8510.1144419431894</v>
      </c>
      <c r="E48" s="465">
        <f t="shared" si="4"/>
        <v>3195.5294549995215</v>
      </c>
      <c r="F48" s="449">
        <f t="shared" si="5"/>
        <v>0.60127544537343436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3037.4658319945702</v>
      </c>
      <c r="D49" s="465">
        <f>LN_IA7-LN_IB7</f>
        <v>-1300.5664695889045</v>
      </c>
      <c r="E49" s="465">
        <f t="shared" si="4"/>
        <v>-4338.0323015834747</v>
      </c>
      <c r="F49" s="449">
        <f t="shared" si="5"/>
        <v>-1.4281748475619493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5069758.8910295032</v>
      </c>
      <c r="D50" s="479">
        <f>LN_IB8*LN_IB6</f>
        <v>-1414018.1341473188</v>
      </c>
      <c r="E50" s="479">
        <f t="shared" si="4"/>
        <v>-6483777.0251768222</v>
      </c>
      <c r="F50" s="449">
        <f t="shared" si="5"/>
        <v>-1.2789123042220609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6454</v>
      </c>
      <c r="D51" s="456">
        <v>3059</v>
      </c>
      <c r="E51" s="456">
        <f t="shared" si="4"/>
        <v>-3395</v>
      </c>
      <c r="F51" s="449">
        <f t="shared" si="5"/>
        <v>-0.52603036876355747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1374.409978308026</v>
      </c>
      <c r="D52" s="465">
        <f>IF(LN_IB10=0,0,LN_IB2/LN_IB10)</f>
        <v>3024.6724419745015</v>
      </c>
      <c r="E52" s="465">
        <f t="shared" si="4"/>
        <v>1650.2624636664755</v>
      </c>
      <c r="F52" s="449">
        <f t="shared" si="5"/>
        <v>1.2007061136867174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3.7349537037037037</v>
      </c>
      <c r="D53" s="466">
        <f>IF(LN_IB4=0,0,LN_IB10/LN_IB4)</f>
        <v>2.9612778315585673</v>
      </c>
      <c r="E53" s="466">
        <f t="shared" si="4"/>
        <v>-0.77367587214513645</v>
      </c>
      <c r="F53" s="449">
        <f t="shared" si="5"/>
        <v>-0.20714470205559277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66736238</v>
      </c>
      <c r="D56" s="448">
        <v>66919018</v>
      </c>
      <c r="E56" s="448">
        <f t="shared" ref="E56:E63" si="6">D56-C56</f>
        <v>182780</v>
      </c>
      <c r="F56" s="449">
        <f t="shared" ref="F56:F63" si="7">IF(C56=0,0,E56/C56)</f>
        <v>2.73884182683477E-3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39411196</v>
      </c>
      <c r="D57" s="448">
        <v>35695776</v>
      </c>
      <c r="E57" s="448">
        <f t="shared" si="6"/>
        <v>-3715420</v>
      </c>
      <c r="F57" s="449">
        <f t="shared" si="7"/>
        <v>-9.427321109463413E-2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0.59055165800625442</v>
      </c>
      <c r="D58" s="453">
        <f>IF(LN_IB13=0,0,LN_IB14/LN_IB13)</f>
        <v>0.53341751069927534</v>
      </c>
      <c r="E58" s="454">
        <f t="shared" si="6"/>
        <v>-5.7134147306979077E-2</v>
      </c>
      <c r="F58" s="449">
        <f t="shared" si="7"/>
        <v>-9.6747077977679605E-2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4.3681297322573016</v>
      </c>
      <c r="D59" s="453">
        <f>IF(LN_IB1=0,0,LN_IB13/LN_IB1)</f>
        <v>4.3197365929017142</v>
      </c>
      <c r="E59" s="454">
        <f t="shared" si="6"/>
        <v>-4.8393139355587422E-2</v>
      </c>
      <c r="F59" s="449">
        <f t="shared" si="7"/>
        <v>-1.1078686376510041E-2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7548.1281773406172</v>
      </c>
      <c r="D60" s="463">
        <f>LN_IB16*LN_IB4</f>
        <v>4462.2879004674705</v>
      </c>
      <c r="E60" s="463">
        <f t="shared" si="6"/>
        <v>-3085.8402768731466</v>
      </c>
      <c r="F60" s="449">
        <f t="shared" si="7"/>
        <v>-0.40882192304799475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5221.3204484671969</v>
      </c>
      <c r="D61" s="465">
        <f>IF(LN_IB17=0,0,LN_IB14/LN_IB17)</f>
        <v>7999.4336529161419</v>
      </c>
      <c r="E61" s="465">
        <f t="shared" si="6"/>
        <v>2778.113204448945</v>
      </c>
      <c r="F61" s="449">
        <f t="shared" si="7"/>
        <v>0.53207100231982607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1932.1707173952309</v>
      </c>
      <c r="D62" s="465">
        <f>LN_IA16-LN_IB18</f>
        <v>-1449.162772863433</v>
      </c>
      <c r="E62" s="465">
        <f t="shared" si="6"/>
        <v>-3381.3334902586639</v>
      </c>
      <c r="F62" s="449">
        <f t="shared" si="7"/>
        <v>-1.7500179770952418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14584272.235403378</v>
      </c>
      <c r="D63" s="448">
        <f>LN_IB19*LN_IB17</f>
        <v>-6466581.507156386</v>
      </c>
      <c r="E63" s="448">
        <f t="shared" si="6"/>
        <v>-21050853.742559765</v>
      </c>
      <c r="F63" s="449">
        <f t="shared" si="7"/>
        <v>-1.4433941853785981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82014227</v>
      </c>
      <c r="D66" s="448">
        <f>LN_IB1+LN_IB13</f>
        <v>82410476</v>
      </c>
      <c r="E66" s="448">
        <f>D66-C66</f>
        <v>396249</v>
      </c>
      <c r="F66" s="449">
        <f>IF(C66=0,0,E66/C66)</f>
        <v>4.8314666185904553E-3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48281638</v>
      </c>
      <c r="D67" s="448">
        <f>LN_IB2+LN_IB14</f>
        <v>44948249</v>
      </c>
      <c r="E67" s="448">
        <f>D67-C67</f>
        <v>-3333389</v>
      </c>
      <c r="F67" s="449">
        <f>IF(C67=0,0,E67/C67)</f>
        <v>-6.9040511840132684E-2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33732589</v>
      </c>
      <c r="D68" s="448">
        <f>LN_IB21-LN_IB22</f>
        <v>37462227</v>
      </c>
      <c r="E68" s="448">
        <f>D68-C68</f>
        <v>3729638</v>
      </c>
      <c r="F68" s="449">
        <f>IF(C68=0,0,E68/C68)</f>
        <v>0.11056483094137838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19654031.126432881</v>
      </c>
      <c r="D70" s="441">
        <f>LN_IB9+LN_IB20</f>
        <v>-7880599.6413037051</v>
      </c>
      <c r="E70" s="448">
        <f>D70-C70</f>
        <v>-27534630.767736584</v>
      </c>
      <c r="F70" s="449">
        <f>IF(C70=0,0,E70/C70)</f>
        <v>-1.4009660710623897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82014227</v>
      </c>
      <c r="D73" s="488">
        <v>84758645</v>
      </c>
      <c r="E73" s="488">
        <f>D73-C73</f>
        <v>2744418</v>
      </c>
      <c r="F73" s="489">
        <f>IF(C73=0,0,E73/C73)</f>
        <v>3.3462706415558853E-2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48281638</v>
      </c>
      <c r="D74" s="488">
        <v>44970813</v>
      </c>
      <c r="E74" s="488">
        <f>D74-C74</f>
        <v>-3310825</v>
      </c>
      <c r="F74" s="489">
        <f>IF(C74=0,0,E74/C74)</f>
        <v>-6.8573170611982967E-2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33732589</v>
      </c>
      <c r="D76" s="441">
        <f>LN_IB32-LN_IB33</f>
        <v>39787832</v>
      </c>
      <c r="E76" s="488">
        <f>D76-C76</f>
        <v>6055243</v>
      </c>
      <c r="F76" s="489">
        <f>IF(E76=0,0,E76/C76)</f>
        <v>0.17950721185379515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0.41130167574462417</v>
      </c>
      <c r="D77" s="453">
        <f>IF(LN_IB32=0,0,LN_IB34/LN_IB32)</f>
        <v>0.4694250598272306</v>
      </c>
      <c r="E77" s="493">
        <f>D77-C77</f>
        <v>5.8123384082606422E-2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470731</v>
      </c>
      <c r="D83" s="448">
        <v>359681</v>
      </c>
      <c r="E83" s="448">
        <f t="shared" ref="E83:E95" si="8">D83-C83</f>
        <v>-111050</v>
      </c>
      <c r="F83" s="449">
        <f t="shared" ref="F83:F95" si="9">IF(C83=0,0,E83/C83)</f>
        <v>-0.23590968090055681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5560</v>
      </c>
      <c r="D84" s="448">
        <v>3422</v>
      </c>
      <c r="E84" s="448">
        <f t="shared" si="8"/>
        <v>-2138</v>
      </c>
      <c r="F84" s="449">
        <f t="shared" si="9"/>
        <v>-0.38453237410071944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1.1811416711455162E-2</v>
      </c>
      <c r="D85" s="453">
        <f>IF(LN_IC1=0,0,LN_IC2/LN_IC1)</f>
        <v>9.5139860042648908E-3</v>
      </c>
      <c r="E85" s="454">
        <f t="shared" si="8"/>
        <v>-2.2974307071902712E-3</v>
      </c>
      <c r="F85" s="449">
        <f t="shared" si="9"/>
        <v>-0.19450932629970927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61</v>
      </c>
      <c r="D86" s="456">
        <v>23</v>
      </c>
      <c r="E86" s="456">
        <f t="shared" si="8"/>
        <v>-38</v>
      </c>
      <c r="F86" s="449">
        <f t="shared" si="9"/>
        <v>-0.62295081967213117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0.88460000000000005</v>
      </c>
      <c r="D87" s="459">
        <v>1.0710999999999999</v>
      </c>
      <c r="E87" s="460">
        <f t="shared" si="8"/>
        <v>0.18649999999999989</v>
      </c>
      <c r="F87" s="449">
        <f t="shared" si="9"/>
        <v>0.21082975356093137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53.960600000000007</v>
      </c>
      <c r="D88" s="463">
        <f>LN_IC4*LN_IC5</f>
        <v>24.635299999999997</v>
      </c>
      <c r="E88" s="463">
        <f t="shared" si="8"/>
        <v>-29.325300000000009</v>
      </c>
      <c r="F88" s="449">
        <f t="shared" si="9"/>
        <v>-0.54345763390325541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103.03814264481862</v>
      </c>
      <c r="D89" s="465">
        <f>IF(LN_IC6=0,0,LN_IC2/LN_IC6)</f>
        <v>138.90636606820297</v>
      </c>
      <c r="E89" s="465">
        <f t="shared" si="8"/>
        <v>35.86822342338435</v>
      </c>
      <c r="F89" s="449">
        <f t="shared" si="9"/>
        <v>0.34810626921940174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5211.5468442988495</v>
      </c>
      <c r="D90" s="465">
        <f>LN_IB7-LN_IC7</f>
        <v>8371.2080758749871</v>
      </c>
      <c r="E90" s="465">
        <f t="shared" si="8"/>
        <v>3159.6612315761377</v>
      </c>
      <c r="F90" s="449">
        <f t="shared" si="9"/>
        <v>0.60628088473053565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8249.0126762934196</v>
      </c>
      <c r="D91" s="465">
        <f>LN_IA7-LN_IC7</f>
        <v>7070.6416062860817</v>
      </c>
      <c r="E91" s="465">
        <f t="shared" si="8"/>
        <v>-1178.3710700073379</v>
      </c>
      <c r="F91" s="449">
        <f t="shared" si="9"/>
        <v>-0.14284995262449066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445121.67342039873</v>
      </c>
      <c r="D92" s="441">
        <f>LN_IC9*LN_IC6</f>
        <v>174187.37716333949</v>
      </c>
      <c r="E92" s="441">
        <f t="shared" si="8"/>
        <v>-270934.29625705921</v>
      </c>
      <c r="F92" s="449">
        <f t="shared" si="9"/>
        <v>-0.60867468927124813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226</v>
      </c>
      <c r="D93" s="456">
        <v>87</v>
      </c>
      <c r="E93" s="456">
        <f t="shared" si="8"/>
        <v>-139</v>
      </c>
      <c r="F93" s="449">
        <f t="shared" si="9"/>
        <v>-0.61504424778761058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24.601769911504423</v>
      </c>
      <c r="D94" s="499">
        <f>IF(LN_IC11=0,0,LN_IC2/LN_IC11)</f>
        <v>39.333333333333336</v>
      </c>
      <c r="E94" s="499">
        <f t="shared" si="8"/>
        <v>14.731563421828913</v>
      </c>
      <c r="F94" s="449">
        <f t="shared" si="9"/>
        <v>0.59880095923261412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3.7049180327868854</v>
      </c>
      <c r="D95" s="466">
        <f>IF(LN_IC4=0,0,LN_IC11/LN_IC4)</f>
        <v>3.7826086956521738</v>
      </c>
      <c r="E95" s="466">
        <f t="shared" si="8"/>
        <v>7.7690662865288473E-2</v>
      </c>
      <c r="F95" s="449">
        <f t="shared" si="9"/>
        <v>2.0969603693728304E-2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2526291</v>
      </c>
      <c r="D98" s="448">
        <v>2348169</v>
      </c>
      <c r="E98" s="448">
        <f t="shared" ref="E98:E106" si="10">D98-C98</f>
        <v>-178122</v>
      </c>
      <c r="F98" s="449">
        <f t="shared" ref="F98:F106" si="11">IF(C98=0,0,E98/C98)</f>
        <v>-7.050731685304662E-2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30774</v>
      </c>
      <c r="D99" s="448">
        <v>22564</v>
      </c>
      <c r="E99" s="448">
        <f t="shared" si="10"/>
        <v>-8210</v>
      </c>
      <c r="F99" s="449">
        <f t="shared" si="11"/>
        <v>-0.26678364853447717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1.2181494530915084E-2</v>
      </c>
      <c r="D100" s="453">
        <f>IF(LN_IC14=0,0,LN_IC15/LN_IC14)</f>
        <v>9.6091891171376509E-3</v>
      </c>
      <c r="E100" s="454">
        <f t="shared" si="10"/>
        <v>-2.5723054137774329E-3</v>
      </c>
      <c r="F100" s="449">
        <f t="shared" si="11"/>
        <v>-0.21116500994596754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5.3667402401796354</v>
      </c>
      <c r="D101" s="453">
        <f>IF(LN_IC1=0,0,LN_IC14/LN_IC1)</f>
        <v>6.5284766223403512</v>
      </c>
      <c r="E101" s="454">
        <f t="shared" si="10"/>
        <v>1.1617363821607158</v>
      </c>
      <c r="F101" s="449">
        <f t="shared" si="11"/>
        <v>0.2164696501356716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327.37115465095775</v>
      </c>
      <c r="D102" s="463">
        <f>LN_IC17*LN_IC4</f>
        <v>150.15496231382807</v>
      </c>
      <c r="E102" s="463">
        <f t="shared" si="10"/>
        <v>-177.21619233712968</v>
      </c>
      <c r="F102" s="449">
        <f t="shared" si="11"/>
        <v>-0.5413311155226157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94.003395115281791</v>
      </c>
      <c r="D103" s="465">
        <f>IF(LN_IC18=0,0,LN_IC15/LN_IC18)</f>
        <v>150.27142394961686</v>
      </c>
      <c r="E103" s="465">
        <f t="shared" si="10"/>
        <v>56.26802883433507</v>
      </c>
      <c r="F103" s="449">
        <f t="shared" si="11"/>
        <v>0.59857443196950855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5127.3170533519151</v>
      </c>
      <c r="D104" s="465">
        <f>LN_IB18-LN_IC19</f>
        <v>7849.1622289665247</v>
      </c>
      <c r="E104" s="465">
        <f t="shared" si="10"/>
        <v>2721.8451756146096</v>
      </c>
      <c r="F104" s="449">
        <f t="shared" si="11"/>
        <v>0.53085173928053453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7059.487770747146</v>
      </c>
      <c r="D105" s="465">
        <f>LN_IA16-LN_IC19</f>
        <v>6399.9994561030917</v>
      </c>
      <c r="E105" s="465">
        <f t="shared" si="10"/>
        <v>-659.4883146440543</v>
      </c>
      <c r="F105" s="449">
        <f t="shared" si="11"/>
        <v>-9.3418720459693766E-2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2311072.6627538088</v>
      </c>
      <c r="D106" s="448">
        <f>LN_IC21*LN_IC18</f>
        <v>960991.6771396799</v>
      </c>
      <c r="E106" s="448">
        <f t="shared" si="10"/>
        <v>-1350080.9856141289</v>
      </c>
      <c r="F106" s="449">
        <f t="shared" si="11"/>
        <v>-0.58417937582516799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2997022</v>
      </c>
      <c r="D109" s="448">
        <f>LN_IC1+LN_IC14</f>
        <v>2707850</v>
      </c>
      <c r="E109" s="448">
        <f>D109-C109</f>
        <v>-289172</v>
      </c>
      <c r="F109" s="449">
        <f>IF(C109=0,0,E109/C109)</f>
        <v>-9.6486445544944288E-2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36334</v>
      </c>
      <c r="D110" s="448">
        <f>LN_IC2+LN_IC15</f>
        <v>25986</v>
      </c>
      <c r="E110" s="448">
        <f>D110-C110</f>
        <v>-10348</v>
      </c>
      <c r="F110" s="449">
        <f>IF(C110=0,0,E110/C110)</f>
        <v>-0.28480211372268399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2960688</v>
      </c>
      <c r="D111" s="448">
        <f>LN_IC23-LN_IC24</f>
        <v>2681864</v>
      </c>
      <c r="E111" s="448">
        <f>D111-C111</f>
        <v>-278824</v>
      </c>
      <c r="F111" s="449">
        <f>IF(C111=0,0,E111/C111)</f>
        <v>-9.417540787816886E-2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2756194.3361742077</v>
      </c>
      <c r="D113" s="448">
        <f>LN_IC10+LN_IC22</f>
        <v>1135179.0543030193</v>
      </c>
      <c r="E113" s="448">
        <f>D113-C113</f>
        <v>-1621015.2818711884</v>
      </c>
      <c r="F113" s="449">
        <f>IF(C113=0,0,E113/C113)</f>
        <v>-0.58813533595793976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14754235</v>
      </c>
      <c r="D118" s="448">
        <v>16026406</v>
      </c>
      <c r="E118" s="448">
        <f t="shared" ref="E118:E130" si="12">D118-C118</f>
        <v>1272171</v>
      </c>
      <c r="F118" s="449">
        <f t="shared" ref="F118:F130" si="13">IF(C118=0,0,E118/C118)</f>
        <v>8.6224124802133081E-2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6289360</v>
      </c>
      <c r="D119" s="448">
        <v>5779014</v>
      </c>
      <c r="E119" s="448">
        <f t="shared" si="12"/>
        <v>-510346</v>
      </c>
      <c r="F119" s="449">
        <f t="shared" si="13"/>
        <v>-8.1144345370594145E-2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0.42627489666526253</v>
      </c>
      <c r="D120" s="453">
        <f>IF(LN_ID1=0,0,LN_1D2/LN_ID1)</f>
        <v>0.36059326089704702</v>
      </c>
      <c r="E120" s="454">
        <f t="shared" si="12"/>
        <v>-6.5681635768215507E-2</v>
      </c>
      <c r="F120" s="449">
        <f t="shared" si="13"/>
        <v>-0.15408281435768617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948</v>
      </c>
      <c r="D121" s="456">
        <v>1259</v>
      </c>
      <c r="E121" s="456">
        <f t="shared" si="12"/>
        <v>311</v>
      </c>
      <c r="F121" s="449">
        <f t="shared" si="13"/>
        <v>0.3280590717299578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0.89770000000000005</v>
      </c>
      <c r="D122" s="459">
        <v>1.1313</v>
      </c>
      <c r="E122" s="460">
        <f t="shared" si="12"/>
        <v>0.23359999999999992</v>
      </c>
      <c r="F122" s="449">
        <f t="shared" si="13"/>
        <v>0.26022056366269347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851.01960000000008</v>
      </c>
      <c r="D123" s="463">
        <f>LN_ID4*LN_ID5</f>
        <v>1424.3066999999999</v>
      </c>
      <c r="E123" s="463">
        <f t="shared" si="12"/>
        <v>573.28709999999978</v>
      </c>
      <c r="F123" s="449">
        <f t="shared" si="13"/>
        <v>0.67364735195288072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7390.382078156601</v>
      </c>
      <c r="D124" s="465">
        <f>IF(LN_ID6=0,0,LN_1D2/LN_ID6)</f>
        <v>4057.4224638555729</v>
      </c>
      <c r="E124" s="465">
        <f t="shared" si="12"/>
        <v>-3332.9596143010281</v>
      </c>
      <c r="F124" s="449">
        <f t="shared" si="13"/>
        <v>-0.45098610316130983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-2075.7970912129331</v>
      </c>
      <c r="D125" s="465">
        <f>LN_IB7-LN_ID7</f>
        <v>4452.691978087616</v>
      </c>
      <c r="E125" s="465">
        <f t="shared" si="12"/>
        <v>6528.4890693005491</v>
      </c>
      <c r="F125" s="449">
        <f t="shared" si="13"/>
        <v>-3.1450516512121189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961.6687407816371</v>
      </c>
      <c r="D126" s="465">
        <f>LN_IA7-LN_ID7</f>
        <v>3152.125508498712</v>
      </c>
      <c r="E126" s="465">
        <f t="shared" si="12"/>
        <v>2190.4567677170749</v>
      </c>
      <c r="F126" s="449">
        <f t="shared" si="13"/>
        <v>2.277766422912622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818398.94711249252</v>
      </c>
      <c r="D127" s="479">
        <f>LN_ID9*LN_ID6</f>
        <v>4489593.4809956215</v>
      </c>
      <c r="E127" s="479">
        <f t="shared" si="12"/>
        <v>3671194.5338831292</v>
      </c>
      <c r="F127" s="449">
        <f t="shared" si="13"/>
        <v>4.485825094027776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3538</v>
      </c>
      <c r="D128" s="456">
        <v>4556</v>
      </c>
      <c r="E128" s="456">
        <f t="shared" si="12"/>
        <v>1018</v>
      </c>
      <c r="F128" s="449">
        <f t="shared" si="13"/>
        <v>0.28773318258903335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1777.6596947427925</v>
      </c>
      <c r="D129" s="465">
        <f>IF(LN_ID11=0,0,LN_1D2/LN_ID11)</f>
        <v>1268.4402985074628</v>
      </c>
      <c r="E129" s="465">
        <f t="shared" si="12"/>
        <v>-509.21939623532967</v>
      </c>
      <c r="F129" s="449">
        <f t="shared" si="13"/>
        <v>-0.28645493720833226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3.7320675105485233</v>
      </c>
      <c r="D130" s="466">
        <f>IF(LN_ID4=0,0,LN_ID11/LN_ID4)</f>
        <v>3.6187450357426529</v>
      </c>
      <c r="E130" s="466">
        <f t="shared" si="12"/>
        <v>-0.11332247480587032</v>
      </c>
      <c r="F130" s="449">
        <f t="shared" si="13"/>
        <v>-3.036452971056107E-2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34689078</v>
      </c>
      <c r="D133" s="448">
        <v>38094883</v>
      </c>
      <c r="E133" s="448">
        <f t="shared" ref="E133:E141" si="14">D133-C133</f>
        <v>3405805</v>
      </c>
      <c r="F133" s="449">
        <f t="shared" ref="F133:F141" si="15">IF(C133=0,0,E133/C133)</f>
        <v>9.8180902934347225E-2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10627679</v>
      </c>
      <c r="D134" s="448">
        <v>11763165</v>
      </c>
      <c r="E134" s="448">
        <f t="shared" si="14"/>
        <v>1135486</v>
      </c>
      <c r="F134" s="449">
        <f t="shared" si="15"/>
        <v>0.10684233123714031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0.3063696014059526</v>
      </c>
      <c r="D135" s="453">
        <f>IF(LN_ID14=0,0,LN_ID15/LN_ID14)</f>
        <v>0.3087859595211252</v>
      </c>
      <c r="E135" s="454">
        <f t="shared" si="14"/>
        <v>2.416358115172601E-3</v>
      </c>
      <c r="F135" s="449">
        <f t="shared" si="15"/>
        <v>7.8870687694985279E-3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2.3511268459530434</v>
      </c>
      <c r="D136" s="453">
        <f>IF(LN_ID1=0,0,LN_ID14/LN_ID1)</f>
        <v>2.3770072341858803</v>
      </c>
      <c r="E136" s="454">
        <f t="shared" si="14"/>
        <v>2.5880388232836893E-2</v>
      </c>
      <c r="F136" s="449">
        <f t="shared" si="15"/>
        <v>1.1007652895199758E-2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2228.8682499634851</v>
      </c>
      <c r="D137" s="463">
        <f>LN_ID17*LN_ID4</f>
        <v>2992.6521078400233</v>
      </c>
      <c r="E137" s="463">
        <f t="shared" si="14"/>
        <v>763.78385787653815</v>
      </c>
      <c r="F137" s="449">
        <f t="shared" si="15"/>
        <v>0.34267788501588237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4768.1952489448895</v>
      </c>
      <c r="D138" s="465">
        <f>IF(LN_ID18=0,0,LN_ID15/LN_ID18)</f>
        <v>3930.6824101549787</v>
      </c>
      <c r="E138" s="465">
        <f t="shared" si="14"/>
        <v>-837.5128387899108</v>
      </c>
      <c r="F138" s="449">
        <f t="shared" si="15"/>
        <v>-0.17564566781849725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453.12519952230741</v>
      </c>
      <c r="D139" s="465">
        <f>LN_IB18-LN_ID19</f>
        <v>4068.7512427611632</v>
      </c>
      <c r="E139" s="465">
        <f t="shared" si="14"/>
        <v>3615.6260432388558</v>
      </c>
      <c r="F139" s="449">
        <f t="shared" si="15"/>
        <v>7.9793091336577895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2385.2959169175383</v>
      </c>
      <c r="D140" s="465">
        <f>LN_IA16-LN_ID19</f>
        <v>2619.5884698977302</v>
      </c>
      <c r="E140" s="465">
        <f t="shared" si="14"/>
        <v>234.29255298019189</v>
      </c>
      <c r="F140" s="449">
        <f t="shared" si="15"/>
        <v>9.8223684247513668E-2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5316510.3359850403</v>
      </c>
      <c r="D141" s="441">
        <f>LN_ID21*LN_ID18</f>
        <v>7839516.9561128635</v>
      </c>
      <c r="E141" s="441">
        <f t="shared" si="14"/>
        <v>2523006.6201278232</v>
      </c>
      <c r="F141" s="449">
        <f t="shared" si="15"/>
        <v>0.47456065363980182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49443313</v>
      </c>
      <c r="D144" s="448">
        <f>LN_ID1+LN_ID14</f>
        <v>54121289</v>
      </c>
      <c r="E144" s="448">
        <f>D144-C144</f>
        <v>4677976</v>
      </c>
      <c r="F144" s="449">
        <f>IF(C144=0,0,E144/C144)</f>
        <v>9.4612915602965364E-2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16917039</v>
      </c>
      <c r="D145" s="448">
        <f>LN_1D2+LN_ID15</f>
        <v>17542179</v>
      </c>
      <c r="E145" s="448">
        <f>D145-C145</f>
        <v>625140</v>
      </c>
      <c r="F145" s="449">
        <f>IF(C145=0,0,E145/C145)</f>
        <v>3.6953275333821714E-2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32526274</v>
      </c>
      <c r="D146" s="448">
        <f>LN_ID23-LN_ID24</f>
        <v>36579110</v>
      </c>
      <c r="E146" s="448">
        <f>D146-C146</f>
        <v>4052836</v>
      </c>
      <c r="F146" s="449">
        <f>IF(C146=0,0,E146/C146)</f>
        <v>0.12460191413255635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6134909.2830975326</v>
      </c>
      <c r="D148" s="448">
        <f>LN_ID10+LN_ID22</f>
        <v>12329110.437108485</v>
      </c>
      <c r="E148" s="448">
        <f>D148-C148</f>
        <v>6194201.1540109525</v>
      </c>
      <c r="F148" s="503">
        <f>IF(C148=0,0,E148/C148)</f>
        <v>1.009664669545608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5314.5849869436679</v>
      </c>
      <c r="D160" s="465">
        <f>LN_IB7-LN_IE7</f>
        <v>8510.1144419431894</v>
      </c>
      <c r="E160" s="465">
        <f t="shared" si="16"/>
        <v>3195.5294549995215</v>
      </c>
      <c r="F160" s="449">
        <f t="shared" si="17"/>
        <v>0.60127544537343436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8352.0508189382381</v>
      </c>
      <c r="D161" s="465">
        <f>LN_IA7-LN_IE7</f>
        <v>7209.5479723542849</v>
      </c>
      <c r="E161" s="465">
        <f t="shared" si="16"/>
        <v>-1142.5028465839532</v>
      </c>
      <c r="F161" s="449">
        <f t="shared" si="17"/>
        <v>-0.13679309086498051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5221.3204484671969</v>
      </c>
      <c r="D174" s="465">
        <f>LN_IB18-LN_IE19</f>
        <v>7999.4336529161419</v>
      </c>
      <c r="E174" s="465">
        <f t="shared" si="18"/>
        <v>2778.113204448945</v>
      </c>
      <c r="F174" s="449">
        <f t="shared" si="19"/>
        <v>0.53207100231982607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7153.4911658624278</v>
      </c>
      <c r="D175" s="465">
        <f>LN_IA16-LN_IE19</f>
        <v>6550.2708800527089</v>
      </c>
      <c r="E175" s="465">
        <f t="shared" si="18"/>
        <v>-603.22028580971892</v>
      </c>
      <c r="F175" s="449">
        <f t="shared" si="19"/>
        <v>-8.4325299608725313E-2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14754235</v>
      </c>
      <c r="D188" s="448">
        <f>LN_ID1+LN_IE1</f>
        <v>16026406</v>
      </c>
      <c r="E188" s="448">
        <f t="shared" ref="E188:E200" si="20">D188-C188</f>
        <v>1272171</v>
      </c>
      <c r="F188" s="449">
        <f t="shared" ref="F188:F200" si="21">IF(C188=0,0,E188/C188)</f>
        <v>8.6224124802133081E-2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6289360</v>
      </c>
      <c r="D189" s="448">
        <f>LN_1D2+LN_IE2</f>
        <v>5779014</v>
      </c>
      <c r="E189" s="448">
        <f t="shared" si="20"/>
        <v>-510346</v>
      </c>
      <c r="F189" s="449">
        <f t="shared" si="21"/>
        <v>-8.1144345370594145E-2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0.42627489666526253</v>
      </c>
      <c r="D190" s="453">
        <f>IF(LN_IF1=0,0,LN_IF2/LN_IF1)</f>
        <v>0.36059326089704702</v>
      </c>
      <c r="E190" s="454">
        <f t="shared" si="20"/>
        <v>-6.5681635768215507E-2</v>
      </c>
      <c r="F190" s="449">
        <f t="shared" si="21"/>
        <v>-0.15408281435768617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948</v>
      </c>
      <c r="D191" s="456">
        <f>LN_ID4+LN_IE4</f>
        <v>1259</v>
      </c>
      <c r="E191" s="456">
        <f t="shared" si="20"/>
        <v>311</v>
      </c>
      <c r="F191" s="449">
        <f t="shared" si="21"/>
        <v>0.3280590717299578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0.89770000000000005</v>
      </c>
      <c r="D192" s="459">
        <f>IF((LN_ID4+LN_IE4)=0,0,(LN_ID6+LN_IE6)/(LN_ID4+LN_IE4))</f>
        <v>1.1313</v>
      </c>
      <c r="E192" s="460">
        <f t="shared" si="20"/>
        <v>0.23359999999999992</v>
      </c>
      <c r="F192" s="449">
        <f t="shared" si="21"/>
        <v>0.26022056366269347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851.01960000000008</v>
      </c>
      <c r="D193" s="463">
        <f>LN_IF4*LN_IF5</f>
        <v>1424.3066999999999</v>
      </c>
      <c r="E193" s="463">
        <f t="shared" si="20"/>
        <v>573.28709999999978</v>
      </c>
      <c r="F193" s="449">
        <f t="shared" si="21"/>
        <v>0.67364735195288072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7390.382078156601</v>
      </c>
      <c r="D194" s="465">
        <f>IF(LN_IF6=0,0,LN_IF2/LN_IF6)</f>
        <v>4057.4224638555729</v>
      </c>
      <c r="E194" s="465">
        <f t="shared" si="20"/>
        <v>-3332.9596143010281</v>
      </c>
      <c r="F194" s="449">
        <f t="shared" si="21"/>
        <v>-0.45098610316130983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-2075.7970912129331</v>
      </c>
      <c r="D195" s="465">
        <f>LN_IB7-LN_IF7</f>
        <v>4452.691978087616</v>
      </c>
      <c r="E195" s="465">
        <f t="shared" si="20"/>
        <v>6528.4890693005491</v>
      </c>
      <c r="F195" s="449">
        <f t="shared" si="21"/>
        <v>-3.1450516512121189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961.6687407816371</v>
      </c>
      <c r="D196" s="465">
        <f>LN_IA7-LN_IF7</f>
        <v>3152.125508498712</v>
      </c>
      <c r="E196" s="465">
        <f t="shared" si="20"/>
        <v>2190.4567677170749</v>
      </c>
      <c r="F196" s="449">
        <f t="shared" si="21"/>
        <v>2.277766422912622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818398.94711249252</v>
      </c>
      <c r="D197" s="479">
        <f>LN_IF9*LN_IF6</f>
        <v>4489593.4809956215</v>
      </c>
      <c r="E197" s="479">
        <f t="shared" si="20"/>
        <v>3671194.5338831292</v>
      </c>
      <c r="F197" s="449">
        <f t="shared" si="21"/>
        <v>4.485825094027776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3538</v>
      </c>
      <c r="D198" s="456">
        <f>LN_ID11+LN_IE11</f>
        <v>4556</v>
      </c>
      <c r="E198" s="456">
        <f t="shared" si="20"/>
        <v>1018</v>
      </c>
      <c r="F198" s="449">
        <f t="shared" si="21"/>
        <v>0.28773318258903335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1777.6596947427925</v>
      </c>
      <c r="D199" s="519">
        <f>IF(LN_IF11=0,0,LN_IF2/LN_IF11)</f>
        <v>1268.4402985074628</v>
      </c>
      <c r="E199" s="519">
        <f t="shared" si="20"/>
        <v>-509.21939623532967</v>
      </c>
      <c r="F199" s="449">
        <f t="shared" si="21"/>
        <v>-0.28645493720833226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3.7320675105485233</v>
      </c>
      <c r="D200" s="466">
        <f>IF(LN_IF4=0,0,LN_IF11/LN_IF4)</f>
        <v>3.6187450357426529</v>
      </c>
      <c r="E200" s="466">
        <f t="shared" si="20"/>
        <v>-0.11332247480587032</v>
      </c>
      <c r="F200" s="449">
        <f t="shared" si="21"/>
        <v>-3.036452971056107E-2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34689078</v>
      </c>
      <c r="D203" s="448">
        <f>LN_ID14+LN_IE14</f>
        <v>38094883</v>
      </c>
      <c r="E203" s="448">
        <f t="shared" ref="E203:E211" si="22">D203-C203</f>
        <v>3405805</v>
      </c>
      <c r="F203" s="449">
        <f t="shared" ref="F203:F211" si="23">IF(C203=0,0,E203/C203)</f>
        <v>9.8180902934347225E-2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10627679</v>
      </c>
      <c r="D204" s="448">
        <f>LN_ID15+LN_IE15</f>
        <v>11763165</v>
      </c>
      <c r="E204" s="448">
        <f t="shared" si="22"/>
        <v>1135486</v>
      </c>
      <c r="F204" s="449">
        <f t="shared" si="23"/>
        <v>0.10684233123714031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0.3063696014059526</v>
      </c>
      <c r="D205" s="453">
        <f>IF(LN_IF14=0,0,LN_IF15/LN_IF14)</f>
        <v>0.3087859595211252</v>
      </c>
      <c r="E205" s="454">
        <f t="shared" si="22"/>
        <v>2.416358115172601E-3</v>
      </c>
      <c r="F205" s="449">
        <f t="shared" si="23"/>
        <v>7.8870687694985279E-3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2.3511268459530434</v>
      </c>
      <c r="D206" s="453">
        <f>IF(LN_IF1=0,0,LN_IF14/LN_IF1)</f>
        <v>2.3770072341858803</v>
      </c>
      <c r="E206" s="454">
        <f t="shared" si="22"/>
        <v>2.5880388232836893E-2</v>
      </c>
      <c r="F206" s="449">
        <f t="shared" si="23"/>
        <v>1.1007652895199758E-2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2228.8682499634851</v>
      </c>
      <c r="D207" s="463">
        <f>LN_ID18+LN_IE18</f>
        <v>2992.6521078400233</v>
      </c>
      <c r="E207" s="463">
        <f t="shared" si="22"/>
        <v>763.78385787653815</v>
      </c>
      <c r="F207" s="449">
        <f t="shared" si="23"/>
        <v>0.34267788501588237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4768.1952489448895</v>
      </c>
      <c r="D208" s="465">
        <f>IF(LN_IF18=0,0,LN_IF15/LN_IF18)</f>
        <v>3930.6824101549787</v>
      </c>
      <c r="E208" s="465">
        <f t="shared" si="22"/>
        <v>-837.5128387899108</v>
      </c>
      <c r="F208" s="449">
        <f t="shared" si="23"/>
        <v>-0.17564566781849725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453.12519952230741</v>
      </c>
      <c r="D209" s="465">
        <f>LN_IB18-LN_IF19</f>
        <v>4068.7512427611632</v>
      </c>
      <c r="E209" s="465">
        <f t="shared" si="22"/>
        <v>3615.6260432388558</v>
      </c>
      <c r="F209" s="449">
        <f t="shared" si="23"/>
        <v>7.9793091336577895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2385.2959169175383</v>
      </c>
      <c r="D210" s="465">
        <f>LN_IA16-LN_IF19</f>
        <v>2619.5884698977302</v>
      </c>
      <c r="E210" s="465">
        <f t="shared" si="22"/>
        <v>234.29255298019189</v>
      </c>
      <c r="F210" s="449">
        <f t="shared" si="23"/>
        <v>9.8223684247513668E-2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5316510.3359850403</v>
      </c>
      <c r="D211" s="441">
        <f>LN_IF21*LN_IF18</f>
        <v>7839516.9561128635</v>
      </c>
      <c r="E211" s="441">
        <f t="shared" si="22"/>
        <v>2523006.6201278232</v>
      </c>
      <c r="F211" s="449">
        <f t="shared" si="23"/>
        <v>0.47456065363980182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49443313</v>
      </c>
      <c r="D214" s="448">
        <f>LN_IF1+LN_IF14</f>
        <v>54121289</v>
      </c>
      <c r="E214" s="448">
        <f>D214-C214</f>
        <v>4677976</v>
      </c>
      <c r="F214" s="449">
        <f>IF(C214=0,0,E214/C214)</f>
        <v>9.4612915602965364E-2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16917039</v>
      </c>
      <c r="D215" s="448">
        <f>LN_IF2+LN_IF15</f>
        <v>17542179</v>
      </c>
      <c r="E215" s="448">
        <f>D215-C215</f>
        <v>625140</v>
      </c>
      <c r="F215" s="449">
        <f>IF(C215=0,0,E215/C215)</f>
        <v>3.6953275333821714E-2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32526274</v>
      </c>
      <c r="D216" s="448">
        <f>LN_IF23-LN_IF24</f>
        <v>36579110</v>
      </c>
      <c r="E216" s="448">
        <f>D216-C216</f>
        <v>4052836</v>
      </c>
      <c r="F216" s="449">
        <f>IF(C216=0,0,E216/C216)</f>
        <v>0.12460191413255635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378115</v>
      </c>
      <c r="D221" s="448">
        <v>327155</v>
      </c>
      <c r="E221" s="448">
        <f t="shared" ref="E221:E230" si="24">D221-C221</f>
        <v>-50960</v>
      </c>
      <c r="F221" s="449">
        <f t="shared" ref="F221:F230" si="25">IF(C221=0,0,E221/C221)</f>
        <v>-0.13477381219999207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110536</v>
      </c>
      <c r="D222" s="448">
        <v>103952</v>
      </c>
      <c r="E222" s="448">
        <f t="shared" si="24"/>
        <v>-6584</v>
      </c>
      <c r="F222" s="449">
        <f t="shared" si="25"/>
        <v>-5.9564304841861475E-2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0.29233434272641923</v>
      </c>
      <c r="D223" s="453">
        <f>IF(LN_IG1=0,0,LN_IG2/LN_IG1)</f>
        <v>0.31774541119652766</v>
      </c>
      <c r="E223" s="454">
        <f t="shared" si="24"/>
        <v>2.5411068470108433E-2</v>
      </c>
      <c r="F223" s="449">
        <f t="shared" si="25"/>
        <v>8.6924677522029467E-2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31</v>
      </c>
      <c r="D224" s="456">
        <v>54</v>
      </c>
      <c r="E224" s="456">
        <f t="shared" si="24"/>
        <v>23</v>
      </c>
      <c r="F224" s="449">
        <f t="shared" si="25"/>
        <v>0.74193548387096775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0.73329999999999995</v>
      </c>
      <c r="D225" s="459">
        <v>0.72760000000000002</v>
      </c>
      <c r="E225" s="460">
        <f t="shared" si="24"/>
        <v>-5.6999999999999273E-3</v>
      </c>
      <c r="F225" s="449">
        <f t="shared" si="25"/>
        <v>-7.7730805945723817E-3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22.732299999999999</v>
      </c>
      <c r="D226" s="463">
        <f>LN_IG3*LN_IG4</f>
        <v>39.290399999999998</v>
      </c>
      <c r="E226" s="463">
        <f t="shared" si="24"/>
        <v>16.5581</v>
      </c>
      <c r="F226" s="449">
        <f t="shared" si="25"/>
        <v>0.72839527896429312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4862.508413139014</v>
      </c>
      <c r="D227" s="465">
        <f>IF(LN_IG5=0,0,LN_IG2/LN_IG5)</f>
        <v>2645.735345020667</v>
      </c>
      <c r="E227" s="465">
        <f t="shared" si="24"/>
        <v>-2216.7730681183471</v>
      </c>
      <c r="F227" s="449">
        <f t="shared" si="25"/>
        <v>-0.45589084475995784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114</v>
      </c>
      <c r="D228" s="456">
        <v>205</v>
      </c>
      <c r="E228" s="456">
        <f t="shared" si="24"/>
        <v>91</v>
      </c>
      <c r="F228" s="449">
        <f t="shared" si="25"/>
        <v>0.79824561403508776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969.61403508771934</v>
      </c>
      <c r="D229" s="465">
        <f>IF(LN_IG6=0,0,LN_IG2/LN_IG6)</f>
        <v>507.08292682926827</v>
      </c>
      <c r="E229" s="465">
        <f t="shared" si="24"/>
        <v>-462.53110825845107</v>
      </c>
      <c r="F229" s="449">
        <f t="shared" si="25"/>
        <v>-0.47702600366815717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3.6774193548387095</v>
      </c>
      <c r="D230" s="466">
        <f>IF(LN_IG3=0,0,LN_IG6/LN_IG3)</f>
        <v>3.7962962962962963</v>
      </c>
      <c r="E230" s="466">
        <f t="shared" si="24"/>
        <v>0.11887694145758676</v>
      </c>
      <c r="F230" s="449">
        <f t="shared" si="25"/>
        <v>3.2326185834957805E-2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1102238</v>
      </c>
      <c r="D233" s="448">
        <v>1101740</v>
      </c>
      <c r="E233" s="448">
        <f>D233-C233</f>
        <v>-498</v>
      </c>
      <c r="F233" s="449">
        <f>IF(C233=0,0,E233/C233)</f>
        <v>-4.5180804871543169E-4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329460</v>
      </c>
      <c r="D234" s="448">
        <v>342063</v>
      </c>
      <c r="E234" s="448">
        <f>D234-C234</f>
        <v>12603</v>
      </c>
      <c r="F234" s="449">
        <f>IF(C234=0,0,E234/C234)</f>
        <v>3.825350573665999E-2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1480353</v>
      </c>
      <c r="D237" s="448">
        <f>LN_IG1+LN_IG9</f>
        <v>1428895</v>
      </c>
      <c r="E237" s="448">
        <f>D237-C237</f>
        <v>-51458</v>
      </c>
      <c r="F237" s="449">
        <f>IF(C237=0,0,E237/C237)</f>
        <v>-3.476062803939331E-2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439996</v>
      </c>
      <c r="D238" s="448">
        <f>LN_IG2+LN_IG10</f>
        <v>446015</v>
      </c>
      <c r="E238" s="448">
        <f>D238-C238</f>
        <v>6019</v>
      </c>
      <c r="F238" s="449">
        <f>IF(C238=0,0,E238/C238)</f>
        <v>1.3679669815180137E-2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1040357</v>
      </c>
      <c r="D239" s="448">
        <f>LN_IG13-LN_IG14</f>
        <v>982880</v>
      </c>
      <c r="E239" s="448">
        <f>D239-C239</f>
        <v>-57477</v>
      </c>
      <c r="F239" s="449">
        <f>IF(C239=0,0,E239/C239)</f>
        <v>-5.5247381427721447E-2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6153524</v>
      </c>
      <c r="D243" s="448">
        <v>3119124</v>
      </c>
      <c r="E243" s="441">
        <f>D243-C243</f>
        <v>-3034400</v>
      </c>
      <c r="F243" s="503">
        <f>IF(C243=0,0,E243/C243)</f>
        <v>-0.493115814612895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109004882</v>
      </c>
      <c r="D244" s="448">
        <v>111527723</v>
      </c>
      <c r="E244" s="441">
        <f>D244-C244</f>
        <v>2522841</v>
      </c>
      <c r="F244" s="503">
        <f>IF(C244=0,0,E244/C244)</f>
        <v>2.3144293665672697E-2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522721</v>
      </c>
      <c r="D248" s="441">
        <v>477319</v>
      </c>
      <c r="E248" s="441">
        <f>D248-C248</f>
        <v>-45402</v>
      </c>
      <c r="F248" s="449">
        <f>IF(C248=0,0,E248/C248)</f>
        <v>-8.6857042284507413E-2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3150512</v>
      </c>
      <c r="D249" s="441">
        <v>4093658</v>
      </c>
      <c r="E249" s="441">
        <f>D249-C249</f>
        <v>943146</v>
      </c>
      <c r="F249" s="449">
        <f>IF(C249=0,0,E249/C249)</f>
        <v>0.29936277024178926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3673233</v>
      </c>
      <c r="D250" s="441">
        <f>LN_IH4+LN_IH5</f>
        <v>4570977</v>
      </c>
      <c r="E250" s="441">
        <f>D250-C250</f>
        <v>897744</v>
      </c>
      <c r="F250" s="449">
        <f>IF(C250=0,0,E250/C250)</f>
        <v>0.24440159390923472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1633851.1423631986</v>
      </c>
      <c r="D251" s="441">
        <f>LN_IH6*LN_III10</f>
        <v>1808232.8666786635</v>
      </c>
      <c r="E251" s="441">
        <f>D251-C251</f>
        <v>174381.72431546496</v>
      </c>
      <c r="F251" s="449">
        <f>IF(C251=0,0,E251/C251)</f>
        <v>0.10673048467759409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49443313</v>
      </c>
      <c r="D254" s="441">
        <f>LN_IF23</f>
        <v>54121289</v>
      </c>
      <c r="E254" s="441">
        <f>D254-C254</f>
        <v>4677976</v>
      </c>
      <c r="F254" s="449">
        <f>IF(C254=0,0,E254/C254)</f>
        <v>9.4612915602965364E-2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16917039</v>
      </c>
      <c r="D255" s="441">
        <f>LN_IF24</f>
        <v>17542179</v>
      </c>
      <c r="E255" s="441">
        <f>D255-C255</f>
        <v>625140</v>
      </c>
      <c r="F255" s="449">
        <f>IF(C255=0,0,E255/C255)</f>
        <v>3.6953275333821714E-2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21992346.640485693</v>
      </c>
      <c r="D256" s="441">
        <f>LN_IH8*LN_III10</f>
        <v>21409841.606469344</v>
      </c>
      <c r="E256" s="441">
        <f>D256-C256</f>
        <v>-582505.03401634842</v>
      </c>
      <c r="F256" s="449">
        <f>IF(C256=0,0,E256/C256)</f>
        <v>-2.6486715744286033E-2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5075307.6404856928</v>
      </c>
      <c r="D257" s="441">
        <f>LN_IH10-LN_IH9</f>
        <v>3867662.6064693443</v>
      </c>
      <c r="E257" s="441">
        <f>D257-C257</f>
        <v>-1207645.0340163484</v>
      </c>
      <c r="F257" s="449">
        <f>IF(C257=0,0,E257/C257)</f>
        <v>-0.23794518865870762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64417573</v>
      </c>
      <c r="D261" s="448">
        <f>LN_IA1+LN_IB1+LN_IF1+LN_IG1</f>
        <v>71986696</v>
      </c>
      <c r="E261" s="448">
        <f t="shared" ref="E261:E274" si="26">D261-C261</f>
        <v>7569123</v>
      </c>
      <c r="F261" s="503">
        <f t="shared" ref="F261:F274" si="27">IF(C261=0,0,E261/C261)</f>
        <v>0.11750090305327088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33016368</v>
      </c>
      <c r="D262" s="448">
        <f>+LN_IA2+LN_IB2+LN_IF2+LN_IG2</f>
        <v>34028164</v>
      </c>
      <c r="E262" s="448">
        <f t="shared" si="26"/>
        <v>1011796</v>
      </c>
      <c r="F262" s="503">
        <f t="shared" si="27"/>
        <v>3.0645284787230383E-2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0.51253666449060409</v>
      </c>
      <c r="D263" s="453">
        <f>IF(LN_IIA1=0,0,LN_IIA2/LN_IIA1)</f>
        <v>0.47270073347997527</v>
      </c>
      <c r="E263" s="454">
        <f t="shared" si="26"/>
        <v>-3.9835931010628822E-2</v>
      </c>
      <c r="F263" s="458">
        <f t="shared" si="27"/>
        <v>-7.7723085528370234E-2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4511</v>
      </c>
      <c r="D264" s="456">
        <f>LN_IA4+LN_IB4+LN_IF4+LN_IG3</f>
        <v>4451</v>
      </c>
      <c r="E264" s="456">
        <f t="shared" si="26"/>
        <v>-60</v>
      </c>
      <c r="F264" s="503">
        <f t="shared" si="27"/>
        <v>-1.3300820217246731E-2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1.034710330303702</v>
      </c>
      <c r="D265" s="525">
        <f>IF(LN_IIA4=0,0,LN_IIA6/LN_IIA4)</f>
        <v>1.1618387104021566</v>
      </c>
      <c r="E265" s="525">
        <f t="shared" si="26"/>
        <v>0.12712838009845462</v>
      </c>
      <c r="F265" s="503">
        <f t="shared" si="27"/>
        <v>0.1228637391308741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4667.5782999999992</v>
      </c>
      <c r="D266" s="463">
        <f>LN_IA6+LN_IB6+LN_IF6+LN_IG5</f>
        <v>5171.3440999999993</v>
      </c>
      <c r="E266" s="463">
        <f t="shared" si="26"/>
        <v>503.76580000000013</v>
      </c>
      <c r="F266" s="503">
        <f t="shared" si="27"/>
        <v>0.10792873040822909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160450429</v>
      </c>
      <c r="D267" s="448">
        <f>LN_IA11+LN_IB13+LN_IF14+LN_IG9</f>
        <v>171581152</v>
      </c>
      <c r="E267" s="448">
        <f t="shared" si="26"/>
        <v>11130723</v>
      </c>
      <c r="F267" s="503">
        <f t="shared" si="27"/>
        <v>6.9371724771144117E-2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2.4907866212221315</v>
      </c>
      <c r="D268" s="453">
        <f>IF(LN_IIA1=0,0,LN_IIA7/LN_IIA1)</f>
        <v>2.383511975601714</v>
      </c>
      <c r="E268" s="454">
        <f t="shared" si="26"/>
        <v>-0.10727464562041744</v>
      </c>
      <c r="F268" s="458">
        <f t="shared" si="27"/>
        <v>-4.3068581108638676E-2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72348623</v>
      </c>
      <c r="D269" s="448">
        <f>LN_IA12+LN_IB14+LN_IF15+LN_IG10</f>
        <v>70287843</v>
      </c>
      <c r="E269" s="448">
        <f t="shared" si="26"/>
        <v>-2060780</v>
      </c>
      <c r="F269" s="503">
        <f t="shared" si="27"/>
        <v>-2.8484025190085513E-2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0.45090950177515576</v>
      </c>
      <c r="D270" s="453">
        <f>IF(LN_IIA7=0,0,LN_IIA9/LN_IIA7)</f>
        <v>0.40964780910201604</v>
      </c>
      <c r="E270" s="454">
        <f t="shared" si="26"/>
        <v>-4.1261692673139727E-2</v>
      </c>
      <c r="F270" s="458">
        <f t="shared" si="27"/>
        <v>-9.1507702788917289E-2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224868002</v>
      </c>
      <c r="D271" s="441">
        <f>LN_IIA1+LN_IIA7</f>
        <v>243567848</v>
      </c>
      <c r="E271" s="441">
        <f t="shared" si="26"/>
        <v>18699846</v>
      </c>
      <c r="F271" s="503">
        <f t="shared" si="27"/>
        <v>8.3159212665570803E-2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105364991</v>
      </c>
      <c r="D272" s="441">
        <f>LN_IIA2+LN_IIA9</f>
        <v>104316007</v>
      </c>
      <c r="E272" s="441">
        <f t="shared" si="26"/>
        <v>-1048984</v>
      </c>
      <c r="F272" s="503">
        <f t="shared" si="27"/>
        <v>-9.9557166953110638E-3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0.46856373544867447</v>
      </c>
      <c r="D273" s="453">
        <f>IF(LN_IIA11=0,0,LN_IIA12/LN_IIA11)</f>
        <v>0.42828315747158879</v>
      </c>
      <c r="E273" s="454">
        <f t="shared" si="26"/>
        <v>-4.0280577977085674E-2</v>
      </c>
      <c r="F273" s="458">
        <f t="shared" si="27"/>
        <v>-8.5966059534067218E-2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16844</v>
      </c>
      <c r="D274" s="508">
        <f>LN_IA8+LN_IB10+LN_IF11+LN_IG6</f>
        <v>16760</v>
      </c>
      <c r="E274" s="528">
        <f t="shared" si="26"/>
        <v>-84</v>
      </c>
      <c r="F274" s="458">
        <f t="shared" si="27"/>
        <v>-4.9869389693659467E-3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49139584</v>
      </c>
      <c r="D277" s="448">
        <f>LN_IA1+LN_IF1+LN_IG1</f>
        <v>56495238</v>
      </c>
      <c r="E277" s="448">
        <f t="shared" ref="E277:E291" si="28">D277-C277</f>
        <v>7355654</v>
      </c>
      <c r="F277" s="503">
        <f t="shared" ref="F277:F291" si="29">IF(C277=0,0,E277/C277)</f>
        <v>0.14968897579596929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24145926</v>
      </c>
      <c r="D278" s="448">
        <f>LN_IA2+LN_IF2+LN_IG2</f>
        <v>24775691</v>
      </c>
      <c r="E278" s="448">
        <f t="shared" si="28"/>
        <v>629765</v>
      </c>
      <c r="F278" s="503">
        <f t="shared" si="29"/>
        <v>2.6081625529706335E-2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0.49137424525205586</v>
      </c>
      <c r="D279" s="453">
        <f>IF(D277=0,0,LN_IIB2/D277)</f>
        <v>0.43854476725985292</v>
      </c>
      <c r="E279" s="454">
        <f t="shared" si="28"/>
        <v>-5.2829477992202944E-2</v>
      </c>
      <c r="F279" s="458">
        <f t="shared" si="29"/>
        <v>-0.10751373012051837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2783</v>
      </c>
      <c r="D280" s="456">
        <f>LN_IA4+LN_IF4+LN_IG3</f>
        <v>3418</v>
      </c>
      <c r="E280" s="456">
        <f t="shared" si="28"/>
        <v>635</v>
      </c>
      <c r="F280" s="503">
        <f t="shared" si="29"/>
        <v>0.2281710384477183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1.0774355371900826</v>
      </c>
      <c r="D281" s="525">
        <f>IF(LN_IIB4=0,0,LN_IIB6/LN_IIB4)</f>
        <v>1.1948834406085429</v>
      </c>
      <c r="E281" s="525">
        <f t="shared" si="28"/>
        <v>0.11744790341846034</v>
      </c>
      <c r="F281" s="503">
        <f t="shared" si="29"/>
        <v>0.10900689587867197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2998.5030999999999</v>
      </c>
      <c r="D282" s="463">
        <f>LN_IA6+LN_IF6+LN_IG5</f>
        <v>4084.1115999999993</v>
      </c>
      <c r="E282" s="463">
        <f t="shared" si="28"/>
        <v>1085.6084999999994</v>
      </c>
      <c r="F282" s="503">
        <f t="shared" si="29"/>
        <v>0.36205015095698895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93714191</v>
      </c>
      <c r="D283" s="448">
        <f>LN_IA11+LN_IF14+LN_IG9</f>
        <v>104662134</v>
      </c>
      <c r="E283" s="448">
        <f t="shared" si="28"/>
        <v>10947943</v>
      </c>
      <c r="F283" s="503">
        <f t="shared" si="29"/>
        <v>0.11682268056926405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1.9071018387131646</v>
      </c>
      <c r="D284" s="453">
        <f>IF(D277=0,0,LN_IIB7/D277)</f>
        <v>1.8525832920643683</v>
      </c>
      <c r="E284" s="454">
        <f t="shared" si="28"/>
        <v>-5.4518546648796296E-2</v>
      </c>
      <c r="F284" s="458">
        <f t="shared" si="29"/>
        <v>-2.858711870656221E-2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32937427</v>
      </c>
      <c r="D285" s="448">
        <f>LN_IA12+LN_IF15+LN_IG10</f>
        <v>34592067</v>
      </c>
      <c r="E285" s="448">
        <f t="shared" si="28"/>
        <v>1654640</v>
      </c>
      <c r="F285" s="503">
        <f t="shared" si="29"/>
        <v>5.0235860864298841E-2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0.35146680186355128</v>
      </c>
      <c r="D286" s="453">
        <f>IF(LN_IIB7=0,0,LN_IIB9/LN_IIB7)</f>
        <v>0.33051176846824087</v>
      </c>
      <c r="E286" s="454">
        <f t="shared" si="28"/>
        <v>-2.0955033395310407E-2</v>
      </c>
      <c r="F286" s="458">
        <f t="shared" si="29"/>
        <v>-5.9621657818611576E-2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142853775</v>
      </c>
      <c r="D287" s="441">
        <f>D277+LN_IIB7</f>
        <v>161157372</v>
      </c>
      <c r="E287" s="441">
        <f t="shared" si="28"/>
        <v>18303597</v>
      </c>
      <c r="F287" s="503">
        <f t="shared" si="29"/>
        <v>0.12812819962230609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57083353</v>
      </c>
      <c r="D288" s="441">
        <f>LN_IIB2+LN_IIB9</f>
        <v>59367758</v>
      </c>
      <c r="E288" s="441">
        <f t="shared" si="28"/>
        <v>2284405</v>
      </c>
      <c r="F288" s="503">
        <f t="shared" si="29"/>
        <v>4.0018759935142562E-2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0.39959289140241483</v>
      </c>
      <c r="D289" s="453">
        <f>IF(LN_IIB11=0,0,LN_IIB12/LN_IIB11)</f>
        <v>0.36838375597239198</v>
      </c>
      <c r="E289" s="454">
        <f t="shared" si="28"/>
        <v>-3.120913543002285E-2</v>
      </c>
      <c r="F289" s="458">
        <f t="shared" si="29"/>
        <v>-7.8102328899022661E-2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10390</v>
      </c>
      <c r="D290" s="508">
        <f>LN_IA8+LN_IF11+LN_IG6</f>
        <v>13701</v>
      </c>
      <c r="E290" s="528">
        <f t="shared" si="28"/>
        <v>3311</v>
      </c>
      <c r="F290" s="458">
        <f t="shared" si="29"/>
        <v>0.31867179980750721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85770422</v>
      </c>
      <c r="D291" s="516">
        <f>LN_IIB11-LN_IIB12</f>
        <v>101789614</v>
      </c>
      <c r="E291" s="441">
        <f t="shared" si="28"/>
        <v>16019192</v>
      </c>
      <c r="F291" s="503">
        <f t="shared" si="29"/>
        <v>0.18676825444557099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3.7350332594235032</v>
      </c>
      <c r="D294" s="466">
        <f>IF(LN_IA4=0,0,LN_IA8/LN_IA4)</f>
        <v>4.2470308788598574</v>
      </c>
      <c r="E294" s="466">
        <f t="shared" ref="E294:E300" si="30">D294-C294</f>
        <v>0.51199761943635425</v>
      </c>
      <c r="F294" s="503">
        <f t="shared" ref="F294:F300" si="31">IF(C294=0,0,E294/C294)</f>
        <v>0.13707980193873301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3.7349537037037037</v>
      </c>
      <c r="D295" s="466">
        <f>IF(LN_IB4=0,0,(LN_IB10)/(LN_IB4))</f>
        <v>2.9612778315585673</v>
      </c>
      <c r="E295" s="466">
        <f t="shared" si="30"/>
        <v>-0.77367587214513645</v>
      </c>
      <c r="F295" s="503">
        <f t="shared" si="31"/>
        <v>-0.20714470205559277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3.7049180327868854</v>
      </c>
      <c r="D296" s="466">
        <f>IF(LN_IC4=0,0,LN_IC11/LN_IC4)</f>
        <v>3.7826086956521738</v>
      </c>
      <c r="E296" s="466">
        <f t="shared" si="30"/>
        <v>7.7690662865288473E-2</v>
      </c>
      <c r="F296" s="503">
        <f t="shared" si="31"/>
        <v>2.0969603693728304E-2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3.7320675105485233</v>
      </c>
      <c r="D297" s="466">
        <f>IF(LN_ID4=0,0,LN_ID11/LN_ID4)</f>
        <v>3.6187450357426529</v>
      </c>
      <c r="E297" s="466">
        <f t="shared" si="30"/>
        <v>-0.11332247480587032</v>
      </c>
      <c r="F297" s="503">
        <f t="shared" si="31"/>
        <v>-3.036452971056107E-2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3.6774193548387095</v>
      </c>
      <c r="D299" s="466">
        <f>IF(LN_IG3=0,0,LN_IG6/LN_IG3)</f>
        <v>3.7962962962962963</v>
      </c>
      <c r="E299" s="466">
        <f t="shared" si="30"/>
        <v>0.11887694145758676</v>
      </c>
      <c r="F299" s="503">
        <f t="shared" si="31"/>
        <v>3.2326185834957805E-2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3.7339835956550655</v>
      </c>
      <c r="D300" s="466">
        <f>IF(LN_IIA4=0,0,LN_IIA14/LN_IIA4)</f>
        <v>3.7654459671983824</v>
      </c>
      <c r="E300" s="466">
        <f t="shared" si="30"/>
        <v>3.146237154331688E-2</v>
      </c>
      <c r="F300" s="503">
        <f t="shared" si="31"/>
        <v>8.4259533383936377E-3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224868002</v>
      </c>
      <c r="D304" s="441">
        <f>LN_IIA11</f>
        <v>243567848</v>
      </c>
      <c r="E304" s="441">
        <f t="shared" ref="E304:E316" si="32">D304-C304</f>
        <v>18699846</v>
      </c>
      <c r="F304" s="449">
        <f>IF(C304=0,0,E304/C304)</f>
        <v>8.3159212665570803E-2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85770422</v>
      </c>
      <c r="D305" s="441">
        <f>LN_IIB14</f>
        <v>101789614</v>
      </c>
      <c r="E305" s="441">
        <f t="shared" si="32"/>
        <v>16019192</v>
      </c>
      <c r="F305" s="449">
        <f>IF(C305=0,0,E305/C305)</f>
        <v>0.18676825444557099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3673233</v>
      </c>
      <c r="D306" s="441">
        <f>LN_IH6</f>
        <v>4570977</v>
      </c>
      <c r="E306" s="441">
        <f t="shared" si="32"/>
        <v>897744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33732589</v>
      </c>
      <c r="D307" s="441">
        <f>LN_IB32-LN_IB33</f>
        <v>39787832</v>
      </c>
      <c r="E307" s="441">
        <f t="shared" si="32"/>
        <v>6055243</v>
      </c>
      <c r="F307" s="449">
        <f t="shared" ref="F307:F316" si="33">IF(C307=0,0,E307/C307)</f>
        <v>0.17950721185379515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1670648</v>
      </c>
      <c r="D308" s="441">
        <v>1066416</v>
      </c>
      <c r="E308" s="441">
        <f t="shared" si="32"/>
        <v>-604232</v>
      </c>
      <c r="F308" s="449">
        <f t="shared" si="33"/>
        <v>-0.36167523021007419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124846892</v>
      </c>
      <c r="D309" s="441">
        <f>LN_III2+LN_III3+LN_III4+LN_III5</f>
        <v>147214839</v>
      </c>
      <c r="E309" s="441">
        <f t="shared" si="32"/>
        <v>22367947</v>
      </c>
      <c r="F309" s="449">
        <f t="shared" si="33"/>
        <v>0.17916302634109627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100021110</v>
      </c>
      <c r="D310" s="441">
        <f>LN_III1-LN_III6</f>
        <v>96353009</v>
      </c>
      <c r="E310" s="441">
        <f t="shared" si="32"/>
        <v>-3668101</v>
      </c>
      <c r="F310" s="449">
        <f t="shared" si="33"/>
        <v>-3.6673268273067557E-2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100021110</v>
      </c>
      <c r="D312" s="441">
        <f>LN_III7+LN_III8</f>
        <v>96353009</v>
      </c>
      <c r="E312" s="441">
        <f t="shared" si="32"/>
        <v>-3668101</v>
      </c>
      <c r="F312" s="449">
        <f t="shared" si="33"/>
        <v>-3.6673268273067557E-2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0.44479921158369168</v>
      </c>
      <c r="D313" s="532">
        <f>IF(LN_III1=0,0,LN_III9/LN_III1)</f>
        <v>0.39559001646227132</v>
      </c>
      <c r="E313" s="532">
        <f t="shared" si="32"/>
        <v>-4.9209195121420357E-2</v>
      </c>
      <c r="F313" s="449">
        <f t="shared" si="33"/>
        <v>-0.11063237937453346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1633851.1423631986</v>
      </c>
      <c r="D314" s="441">
        <f>D313*LN_III5</f>
        <v>1808232.8666786635</v>
      </c>
      <c r="E314" s="441">
        <f t="shared" si="32"/>
        <v>174381.72431546496</v>
      </c>
      <c r="F314" s="449">
        <f t="shared" si="33"/>
        <v>0.10673048467759409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5075307.6404856928</v>
      </c>
      <c r="D315" s="441">
        <f>D313*LN_IH8-LN_IH9</f>
        <v>3867662.6064693443</v>
      </c>
      <c r="E315" s="441">
        <f t="shared" si="32"/>
        <v>-1207645.0340163484</v>
      </c>
      <c r="F315" s="449">
        <f t="shared" si="33"/>
        <v>-0.23794518865870762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6709158.7828488909</v>
      </c>
      <c r="D318" s="441">
        <f>D314+D315+D316</f>
        <v>5675895.4731480079</v>
      </c>
      <c r="E318" s="441">
        <f>D318-C318</f>
        <v>-1033263.309700883</v>
      </c>
      <c r="F318" s="449">
        <f>IF(C318=0,0,E318/C318)</f>
        <v>-0.15400787835611954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5316510.3359850403</v>
      </c>
      <c r="D322" s="441">
        <f>LN_ID22</f>
        <v>7839516.9561128635</v>
      </c>
      <c r="E322" s="441">
        <f>LN_IV2-C322</f>
        <v>2523006.6201278232</v>
      </c>
      <c r="F322" s="449">
        <f>IF(C322=0,0,E322/C322)</f>
        <v>0.47456065363980182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2756194.3361742077</v>
      </c>
      <c r="D324" s="441">
        <f>LN_IC10+LN_IC22</f>
        <v>1135179.0543030193</v>
      </c>
      <c r="E324" s="441">
        <f>LN_IV1-C324</f>
        <v>-1621015.2818711884</v>
      </c>
      <c r="F324" s="449">
        <f>IF(C324=0,0,E324/C324)</f>
        <v>-0.58813533595793976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8072704.672159248</v>
      </c>
      <c r="D325" s="516">
        <f>LN_IV1+LN_IV2+LN_IV3</f>
        <v>8974696.0104158819</v>
      </c>
      <c r="E325" s="441">
        <f>LN_IV4-C325</f>
        <v>901991.33825663384</v>
      </c>
      <c r="F325" s="449">
        <f>IF(C325=0,0,E325/C325)</f>
        <v>0.11173347408178795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3210149</v>
      </c>
      <c r="D329" s="518">
        <v>2788324</v>
      </c>
      <c r="E329" s="518">
        <f t="shared" ref="E329:E335" si="34">D329-C329</f>
        <v>-421825</v>
      </c>
      <c r="F329" s="542">
        <f t="shared" ref="F329:F335" si="35">IF(C329=0,0,E329/C329)</f>
        <v>-0.13140355790338704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-517655</v>
      </c>
      <c r="D330" s="516">
        <v>1955218</v>
      </c>
      <c r="E330" s="518">
        <f t="shared" si="34"/>
        <v>2472873</v>
      </c>
      <c r="F330" s="543">
        <f t="shared" si="35"/>
        <v>-4.7770677381653801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104847336</v>
      </c>
      <c r="D331" s="516">
        <v>106271224</v>
      </c>
      <c r="E331" s="518">
        <f t="shared" si="34"/>
        <v>1423888</v>
      </c>
      <c r="F331" s="542">
        <f t="shared" si="35"/>
        <v>1.3580583487595718E-2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224868002</v>
      </c>
      <c r="D333" s="516">
        <v>243567848</v>
      </c>
      <c r="E333" s="518">
        <f t="shared" si="34"/>
        <v>18699846</v>
      </c>
      <c r="F333" s="542">
        <f t="shared" si="35"/>
        <v>8.3159212665570803E-2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100093</v>
      </c>
      <c r="D334" s="516">
        <v>78428</v>
      </c>
      <c r="E334" s="516">
        <f t="shared" si="34"/>
        <v>-21665</v>
      </c>
      <c r="F334" s="543">
        <f t="shared" si="35"/>
        <v>-0.21644870270648298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3773326</v>
      </c>
      <c r="D335" s="516">
        <v>4649405</v>
      </c>
      <c r="E335" s="516">
        <f t="shared" si="34"/>
        <v>876079</v>
      </c>
      <c r="F335" s="542">
        <f t="shared" si="35"/>
        <v>0.23217686465468396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FILING&amp;RDAY KIMBALL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15277989</v>
      </c>
      <c r="D14" s="589">
        <v>15491458</v>
      </c>
      <c r="E14" s="590">
        <f t="shared" ref="E14:E22" si="0">D14-C14</f>
        <v>213469</v>
      </c>
    </row>
    <row r="15" spans="1:5" s="421" customFormat="1" x14ac:dyDescent="0.2">
      <c r="A15" s="588">
        <v>2</v>
      </c>
      <c r="B15" s="587" t="s">
        <v>634</v>
      </c>
      <c r="C15" s="589">
        <v>34007234</v>
      </c>
      <c r="D15" s="591">
        <v>40141677</v>
      </c>
      <c r="E15" s="590">
        <f t="shared" si="0"/>
        <v>6134443</v>
      </c>
    </row>
    <row r="16" spans="1:5" s="421" customFormat="1" x14ac:dyDescent="0.2">
      <c r="A16" s="588">
        <v>3</v>
      </c>
      <c r="B16" s="587" t="s">
        <v>776</v>
      </c>
      <c r="C16" s="589">
        <v>14754235</v>
      </c>
      <c r="D16" s="591">
        <v>16026406</v>
      </c>
      <c r="E16" s="590">
        <f t="shared" si="0"/>
        <v>1272171</v>
      </c>
    </row>
    <row r="17" spans="1:5" s="421" customFormat="1" x14ac:dyDescent="0.2">
      <c r="A17" s="588">
        <v>4</v>
      </c>
      <c r="B17" s="587" t="s">
        <v>115</v>
      </c>
      <c r="C17" s="589">
        <v>14754235</v>
      </c>
      <c r="D17" s="591">
        <v>16026406</v>
      </c>
      <c r="E17" s="590">
        <f t="shared" si="0"/>
        <v>1272171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378115</v>
      </c>
      <c r="D19" s="591">
        <v>327155</v>
      </c>
      <c r="E19" s="590">
        <f t="shared" si="0"/>
        <v>-50960</v>
      </c>
    </row>
    <row r="20" spans="1:5" s="421" customFormat="1" x14ac:dyDescent="0.2">
      <c r="A20" s="588">
        <v>7</v>
      </c>
      <c r="B20" s="587" t="s">
        <v>757</v>
      </c>
      <c r="C20" s="589">
        <v>470731</v>
      </c>
      <c r="D20" s="591">
        <v>359681</v>
      </c>
      <c r="E20" s="590">
        <f t="shared" si="0"/>
        <v>-111050</v>
      </c>
    </row>
    <row r="21" spans="1:5" s="421" customFormat="1" x14ac:dyDescent="0.2">
      <c r="A21" s="588"/>
      <c r="B21" s="592" t="s">
        <v>777</v>
      </c>
      <c r="C21" s="593">
        <f>SUM(C15+C16+C19)</f>
        <v>49139584</v>
      </c>
      <c r="D21" s="593">
        <f>SUM(D15+D16+D19)</f>
        <v>56495238</v>
      </c>
      <c r="E21" s="593">
        <f t="shared" si="0"/>
        <v>7355654</v>
      </c>
    </row>
    <row r="22" spans="1:5" s="421" customFormat="1" x14ac:dyDescent="0.2">
      <c r="A22" s="588"/>
      <c r="B22" s="592" t="s">
        <v>465</v>
      </c>
      <c r="C22" s="593">
        <f>SUM(C14+C21)</f>
        <v>64417573</v>
      </c>
      <c r="D22" s="593">
        <f>SUM(D14+D21)</f>
        <v>71986696</v>
      </c>
      <c r="E22" s="593">
        <f t="shared" si="0"/>
        <v>7569123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66736238</v>
      </c>
      <c r="D25" s="589">
        <v>66919018</v>
      </c>
      <c r="E25" s="590">
        <f t="shared" ref="E25:E33" si="1">D25-C25</f>
        <v>182780</v>
      </c>
    </row>
    <row r="26" spans="1:5" s="421" customFormat="1" x14ac:dyDescent="0.2">
      <c r="A26" s="588">
        <v>2</v>
      </c>
      <c r="B26" s="587" t="s">
        <v>634</v>
      </c>
      <c r="C26" s="589">
        <v>57922875</v>
      </c>
      <c r="D26" s="591">
        <v>65465511</v>
      </c>
      <c r="E26" s="590">
        <f t="shared" si="1"/>
        <v>7542636</v>
      </c>
    </row>
    <row r="27" spans="1:5" s="421" customFormat="1" x14ac:dyDescent="0.2">
      <c r="A27" s="588">
        <v>3</v>
      </c>
      <c r="B27" s="587" t="s">
        <v>776</v>
      </c>
      <c r="C27" s="589">
        <v>34689078</v>
      </c>
      <c r="D27" s="591">
        <v>38094883</v>
      </c>
      <c r="E27" s="590">
        <f t="shared" si="1"/>
        <v>3405805</v>
      </c>
    </row>
    <row r="28" spans="1:5" s="421" customFormat="1" x14ac:dyDescent="0.2">
      <c r="A28" s="588">
        <v>4</v>
      </c>
      <c r="B28" s="587" t="s">
        <v>115</v>
      </c>
      <c r="C28" s="589">
        <v>34689078</v>
      </c>
      <c r="D28" s="591">
        <v>38094883</v>
      </c>
      <c r="E28" s="590">
        <f t="shared" si="1"/>
        <v>3405805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1102238</v>
      </c>
      <c r="D30" s="591">
        <v>1101740</v>
      </c>
      <c r="E30" s="590">
        <f t="shared" si="1"/>
        <v>-498</v>
      </c>
    </row>
    <row r="31" spans="1:5" s="421" customFormat="1" x14ac:dyDescent="0.2">
      <c r="A31" s="588">
        <v>7</v>
      </c>
      <c r="B31" s="587" t="s">
        <v>757</v>
      </c>
      <c r="C31" s="590">
        <v>2526291</v>
      </c>
      <c r="D31" s="594">
        <v>2348169</v>
      </c>
      <c r="E31" s="590">
        <f t="shared" si="1"/>
        <v>-178122</v>
      </c>
    </row>
    <row r="32" spans="1:5" s="421" customFormat="1" x14ac:dyDescent="0.2">
      <c r="A32" s="588"/>
      <c r="B32" s="592" t="s">
        <v>779</v>
      </c>
      <c r="C32" s="593">
        <f>SUM(C26+C27+C30)</f>
        <v>93714191</v>
      </c>
      <c r="D32" s="593">
        <f>SUM(D26+D27+D30)</f>
        <v>104662134</v>
      </c>
      <c r="E32" s="593">
        <f t="shared" si="1"/>
        <v>10947943</v>
      </c>
    </row>
    <row r="33" spans="1:5" s="421" customFormat="1" x14ac:dyDescent="0.2">
      <c r="A33" s="588"/>
      <c r="B33" s="592" t="s">
        <v>467</v>
      </c>
      <c r="C33" s="593">
        <f>SUM(C25+C32)</f>
        <v>160450429</v>
      </c>
      <c r="D33" s="593">
        <f>SUM(D25+D32)</f>
        <v>171581152</v>
      </c>
      <c r="E33" s="593">
        <f t="shared" si="1"/>
        <v>11130723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82014227</v>
      </c>
      <c r="D36" s="590">
        <f t="shared" si="2"/>
        <v>82410476</v>
      </c>
      <c r="E36" s="590">
        <f t="shared" ref="E36:E44" si="3">D36-C36</f>
        <v>396249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91930109</v>
      </c>
      <c r="D37" s="590">
        <f t="shared" si="2"/>
        <v>105607188</v>
      </c>
      <c r="E37" s="590">
        <f t="shared" si="3"/>
        <v>13677079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49443313</v>
      </c>
      <c r="D38" s="590">
        <f t="shared" si="2"/>
        <v>54121289</v>
      </c>
      <c r="E38" s="590">
        <f t="shared" si="3"/>
        <v>4677976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49443313</v>
      </c>
      <c r="D39" s="590">
        <f t="shared" si="2"/>
        <v>54121289</v>
      </c>
      <c r="E39" s="590">
        <f t="shared" si="3"/>
        <v>4677976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1480353</v>
      </c>
      <c r="D41" s="590">
        <f t="shared" si="2"/>
        <v>1428895</v>
      </c>
      <c r="E41" s="590">
        <f t="shared" si="3"/>
        <v>-51458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2997022</v>
      </c>
      <c r="D42" s="590">
        <f t="shared" si="2"/>
        <v>2707850</v>
      </c>
      <c r="E42" s="590">
        <f t="shared" si="3"/>
        <v>-289172</v>
      </c>
    </row>
    <row r="43" spans="1:5" s="421" customFormat="1" x14ac:dyDescent="0.2">
      <c r="A43" s="588"/>
      <c r="B43" s="592" t="s">
        <v>787</v>
      </c>
      <c r="C43" s="593">
        <f>SUM(C37+C38+C41)</f>
        <v>142853775</v>
      </c>
      <c r="D43" s="593">
        <f>SUM(D37+D38+D41)</f>
        <v>161157372</v>
      </c>
      <c r="E43" s="593">
        <f t="shared" si="3"/>
        <v>18303597</v>
      </c>
    </row>
    <row r="44" spans="1:5" s="421" customFormat="1" x14ac:dyDescent="0.2">
      <c r="A44" s="588"/>
      <c r="B44" s="592" t="s">
        <v>724</v>
      </c>
      <c r="C44" s="593">
        <f>SUM(C36+C43)</f>
        <v>224868002</v>
      </c>
      <c r="D44" s="593">
        <f>SUM(D36+D43)</f>
        <v>243567848</v>
      </c>
      <c r="E44" s="593">
        <f t="shared" si="3"/>
        <v>18699846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8870442</v>
      </c>
      <c r="D47" s="589">
        <v>9252473</v>
      </c>
      <c r="E47" s="590">
        <f t="shared" ref="E47:E55" si="4">D47-C47</f>
        <v>382031</v>
      </c>
    </row>
    <row r="48" spans="1:5" s="421" customFormat="1" x14ac:dyDescent="0.2">
      <c r="A48" s="588">
        <v>2</v>
      </c>
      <c r="B48" s="587" t="s">
        <v>634</v>
      </c>
      <c r="C48" s="589">
        <v>17746030</v>
      </c>
      <c r="D48" s="591">
        <v>18892725</v>
      </c>
      <c r="E48" s="590">
        <f t="shared" si="4"/>
        <v>1146695</v>
      </c>
    </row>
    <row r="49" spans="1:5" s="421" customFormat="1" x14ac:dyDescent="0.2">
      <c r="A49" s="588">
        <v>3</v>
      </c>
      <c r="B49" s="587" t="s">
        <v>776</v>
      </c>
      <c r="C49" s="589">
        <v>6289360</v>
      </c>
      <c r="D49" s="591">
        <v>5779014</v>
      </c>
      <c r="E49" s="590">
        <f t="shared" si="4"/>
        <v>-510346</v>
      </c>
    </row>
    <row r="50" spans="1:5" s="421" customFormat="1" x14ac:dyDescent="0.2">
      <c r="A50" s="588">
        <v>4</v>
      </c>
      <c r="B50" s="587" t="s">
        <v>115</v>
      </c>
      <c r="C50" s="589">
        <v>6289360</v>
      </c>
      <c r="D50" s="591">
        <v>5779014</v>
      </c>
      <c r="E50" s="590">
        <f t="shared" si="4"/>
        <v>-510346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110536</v>
      </c>
      <c r="D52" s="591">
        <v>103952</v>
      </c>
      <c r="E52" s="590">
        <f t="shared" si="4"/>
        <v>-6584</v>
      </c>
    </row>
    <row r="53" spans="1:5" s="421" customFormat="1" x14ac:dyDescent="0.2">
      <c r="A53" s="588">
        <v>7</v>
      </c>
      <c r="B53" s="587" t="s">
        <v>757</v>
      </c>
      <c r="C53" s="589">
        <v>5560</v>
      </c>
      <c r="D53" s="591">
        <v>3422</v>
      </c>
      <c r="E53" s="590">
        <f t="shared" si="4"/>
        <v>-2138</v>
      </c>
    </row>
    <row r="54" spans="1:5" s="421" customFormat="1" x14ac:dyDescent="0.2">
      <c r="A54" s="588"/>
      <c r="B54" s="592" t="s">
        <v>789</v>
      </c>
      <c r="C54" s="593">
        <f>SUM(C48+C49+C52)</f>
        <v>24145926</v>
      </c>
      <c r="D54" s="593">
        <f>SUM(D48+D49+D52)</f>
        <v>24775691</v>
      </c>
      <c r="E54" s="593">
        <f t="shared" si="4"/>
        <v>629765</v>
      </c>
    </row>
    <row r="55" spans="1:5" s="421" customFormat="1" x14ac:dyDescent="0.2">
      <c r="A55" s="588"/>
      <c r="B55" s="592" t="s">
        <v>466</v>
      </c>
      <c r="C55" s="593">
        <f>SUM(C47+C54)</f>
        <v>33016368</v>
      </c>
      <c r="D55" s="593">
        <f>SUM(D47+D54)</f>
        <v>34028164</v>
      </c>
      <c r="E55" s="593">
        <f t="shared" si="4"/>
        <v>1011796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39411196</v>
      </c>
      <c r="D58" s="589">
        <v>35695776</v>
      </c>
      <c r="E58" s="590">
        <f t="shared" ref="E58:E66" si="5">D58-C58</f>
        <v>-3715420</v>
      </c>
    </row>
    <row r="59" spans="1:5" s="421" customFormat="1" x14ac:dyDescent="0.2">
      <c r="A59" s="588">
        <v>2</v>
      </c>
      <c r="B59" s="587" t="s">
        <v>634</v>
      </c>
      <c r="C59" s="589">
        <v>21980288</v>
      </c>
      <c r="D59" s="591">
        <v>22486839</v>
      </c>
      <c r="E59" s="590">
        <f t="shared" si="5"/>
        <v>506551</v>
      </c>
    </row>
    <row r="60" spans="1:5" s="421" customFormat="1" x14ac:dyDescent="0.2">
      <c r="A60" s="588">
        <v>3</v>
      </c>
      <c r="B60" s="587" t="s">
        <v>776</v>
      </c>
      <c r="C60" s="589">
        <f>C61+C62</f>
        <v>10627679</v>
      </c>
      <c r="D60" s="591">
        <f>D61+D62</f>
        <v>11763165</v>
      </c>
      <c r="E60" s="590">
        <f t="shared" si="5"/>
        <v>1135486</v>
      </c>
    </row>
    <row r="61" spans="1:5" s="421" customFormat="1" x14ac:dyDescent="0.2">
      <c r="A61" s="588">
        <v>4</v>
      </c>
      <c r="B61" s="587" t="s">
        <v>115</v>
      </c>
      <c r="C61" s="589">
        <v>10627679</v>
      </c>
      <c r="D61" s="591">
        <v>11763165</v>
      </c>
      <c r="E61" s="590">
        <f t="shared" si="5"/>
        <v>1135486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329460</v>
      </c>
      <c r="D63" s="591">
        <v>342063</v>
      </c>
      <c r="E63" s="590">
        <f t="shared" si="5"/>
        <v>12603</v>
      </c>
    </row>
    <row r="64" spans="1:5" s="421" customFormat="1" x14ac:dyDescent="0.2">
      <c r="A64" s="588">
        <v>7</v>
      </c>
      <c r="B64" s="587" t="s">
        <v>757</v>
      </c>
      <c r="C64" s="589">
        <v>30774</v>
      </c>
      <c r="D64" s="591">
        <v>22564</v>
      </c>
      <c r="E64" s="590">
        <f t="shared" si="5"/>
        <v>-8210</v>
      </c>
    </row>
    <row r="65" spans="1:5" s="421" customFormat="1" x14ac:dyDescent="0.2">
      <c r="A65" s="588"/>
      <c r="B65" s="592" t="s">
        <v>791</v>
      </c>
      <c r="C65" s="593">
        <f>SUM(C59+C60+C63)</f>
        <v>32937427</v>
      </c>
      <c r="D65" s="593">
        <f>SUM(D59+D60+D63)</f>
        <v>34592067</v>
      </c>
      <c r="E65" s="593">
        <f t="shared" si="5"/>
        <v>1654640</v>
      </c>
    </row>
    <row r="66" spans="1:5" s="421" customFormat="1" x14ac:dyDescent="0.2">
      <c r="A66" s="588"/>
      <c r="B66" s="592" t="s">
        <v>468</v>
      </c>
      <c r="C66" s="593">
        <f>SUM(C58+C65)</f>
        <v>72348623</v>
      </c>
      <c r="D66" s="593">
        <f>SUM(D58+D65)</f>
        <v>70287843</v>
      </c>
      <c r="E66" s="593">
        <f t="shared" si="5"/>
        <v>-2060780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48281638</v>
      </c>
      <c r="D69" s="590">
        <f t="shared" si="6"/>
        <v>44948249</v>
      </c>
      <c r="E69" s="590">
        <f t="shared" ref="E69:E77" si="7">D69-C69</f>
        <v>-3333389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39726318</v>
      </c>
      <c r="D70" s="590">
        <f t="shared" si="6"/>
        <v>41379564</v>
      </c>
      <c r="E70" s="590">
        <f t="shared" si="7"/>
        <v>1653246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16917039</v>
      </c>
      <c r="D71" s="590">
        <f t="shared" si="6"/>
        <v>17542179</v>
      </c>
      <c r="E71" s="590">
        <f t="shared" si="7"/>
        <v>625140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16917039</v>
      </c>
      <c r="D72" s="590">
        <f t="shared" si="6"/>
        <v>17542179</v>
      </c>
      <c r="E72" s="590">
        <f t="shared" si="7"/>
        <v>625140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439996</v>
      </c>
      <c r="D74" s="590">
        <f t="shared" si="6"/>
        <v>446015</v>
      </c>
      <c r="E74" s="590">
        <f t="shared" si="7"/>
        <v>6019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36334</v>
      </c>
      <c r="D75" s="590">
        <f t="shared" si="6"/>
        <v>25986</v>
      </c>
      <c r="E75" s="590">
        <f t="shared" si="7"/>
        <v>-10348</v>
      </c>
    </row>
    <row r="76" spans="1:5" s="421" customFormat="1" x14ac:dyDescent="0.2">
      <c r="A76" s="588"/>
      <c r="B76" s="592" t="s">
        <v>792</v>
      </c>
      <c r="C76" s="593">
        <f>SUM(C70+C71+C74)</f>
        <v>57083353</v>
      </c>
      <c r="D76" s="593">
        <f>SUM(D70+D71+D74)</f>
        <v>59367758</v>
      </c>
      <c r="E76" s="593">
        <f t="shared" si="7"/>
        <v>2284405</v>
      </c>
    </row>
    <row r="77" spans="1:5" s="421" customFormat="1" x14ac:dyDescent="0.2">
      <c r="A77" s="588"/>
      <c r="B77" s="592" t="s">
        <v>725</v>
      </c>
      <c r="C77" s="593">
        <f>SUM(C69+C76)</f>
        <v>105364991</v>
      </c>
      <c r="D77" s="593">
        <f>SUM(D69+D76)</f>
        <v>104316007</v>
      </c>
      <c r="E77" s="593">
        <f t="shared" si="7"/>
        <v>-1048984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6.7942032054876353E-2</v>
      </c>
      <c r="D83" s="599">
        <f t="shared" si="8"/>
        <v>6.3602228813057465E-2</v>
      </c>
      <c r="E83" s="599">
        <f t="shared" ref="E83:E91" si="9">D83-C83</f>
        <v>-4.3398032418188875E-3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0.15123198364167437</v>
      </c>
      <c r="D84" s="599">
        <f t="shared" si="8"/>
        <v>0.16480696171360024</v>
      </c>
      <c r="E84" s="599">
        <f t="shared" si="9"/>
        <v>1.3574978071925869E-2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6.5612870078331553E-2</v>
      </c>
      <c r="D85" s="599">
        <f t="shared" si="8"/>
        <v>6.5798528547987997E-2</v>
      </c>
      <c r="E85" s="599">
        <f t="shared" si="9"/>
        <v>1.8565846965644395E-4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6.5612870078331553E-2</v>
      </c>
      <c r="D86" s="599">
        <f t="shared" si="8"/>
        <v>6.5798528547987997E-2</v>
      </c>
      <c r="E86" s="599">
        <f t="shared" si="9"/>
        <v>1.8565846965644395E-4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1.6814975747416478E-3</v>
      </c>
      <c r="D88" s="599">
        <f t="shared" si="8"/>
        <v>1.3431781028832672E-3</v>
      </c>
      <c r="E88" s="599">
        <f t="shared" si="9"/>
        <v>-3.3831947185838061E-4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2.0933658671454733E-3</v>
      </c>
      <c r="D89" s="599">
        <f t="shared" si="8"/>
        <v>1.4767178958694088E-3</v>
      </c>
      <c r="E89" s="599">
        <f t="shared" si="9"/>
        <v>-6.1664797127606447E-4</v>
      </c>
    </row>
    <row r="90" spans="1:5" s="421" customFormat="1" x14ac:dyDescent="0.2">
      <c r="A90" s="588"/>
      <c r="B90" s="592" t="s">
        <v>795</v>
      </c>
      <c r="C90" s="600">
        <f>SUM(C84+C85+C88)</f>
        <v>0.21852635129474757</v>
      </c>
      <c r="D90" s="600">
        <f>SUM(D84+D85+D88)</f>
        <v>0.23194866836447148</v>
      </c>
      <c r="E90" s="601">
        <f t="shared" si="9"/>
        <v>1.342231706972391E-2</v>
      </c>
    </row>
    <row r="91" spans="1:5" s="421" customFormat="1" x14ac:dyDescent="0.2">
      <c r="A91" s="588"/>
      <c r="B91" s="592" t="s">
        <v>796</v>
      </c>
      <c r="C91" s="600">
        <f>SUM(C83+C90)</f>
        <v>0.28646838334962393</v>
      </c>
      <c r="D91" s="600">
        <f>SUM(D83+D90)</f>
        <v>0.29555089717752892</v>
      </c>
      <c r="E91" s="601">
        <f t="shared" si="9"/>
        <v>9.0825138279049811E-3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0.29677961028888405</v>
      </c>
      <c r="D95" s="599">
        <f t="shared" si="10"/>
        <v>0.27474487519387208</v>
      </c>
      <c r="E95" s="599">
        <f t="shared" ref="E95:E103" si="11">D95-C95</f>
        <v>-2.203473509501197E-2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0.25758611489775235</v>
      </c>
      <c r="D96" s="599">
        <f t="shared" si="10"/>
        <v>0.26877731004955957</v>
      </c>
      <c r="E96" s="599">
        <f t="shared" si="11"/>
        <v>1.1191195151807221E-2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0.15426418028119449</v>
      </c>
      <c r="D97" s="599">
        <f t="shared" si="10"/>
        <v>0.15640357835735363</v>
      </c>
      <c r="E97" s="599">
        <f t="shared" si="11"/>
        <v>2.1393980761591491E-3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0.15426418028119449</v>
      </c>
      <c r="D98" s="599">
        <f t="shared" si="10"/>
        <v>0.15640357835735363</v>
      </c>
      <c r="E98" s="599">
        <f t="shared" si="11"/>
        <v>2.1393980761591491E-3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4.9017111825452164E-3</v>
      </c>
      <c r="D100" s="599">
        <f t="shared" si="10"/>
        <v>4.5233392216857786E-3</v>
      </c>
      <c r="E100" s="599">
        <f t="shared" si="11"/>
        <v>-3.7837196085943776E-4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1.1234550836628148E-2</v>
      </c>
      <c r="D101" s="599">
        <f t="shared" si="10"/>
        <v>9.6407182609750692E-3</v>
      </c>
      <c r="E101" s="599">
        <f t="shared" si="11"/>
        <v>-1.5938325756530789E-3</v>
      </c>
    </row>
    <row r="102" spans="1:5" s="421" customFormat="1" x14ac:dyDescent="0.2">
      <c r="A102" s="588"/>
      <c r="B102" s="592" t="s">
        <v>798</v>
      </c>
      <c r="C102" s="600">
        <f>SUM(C96+C97+C100)</f>
        <v>0.41675200636149207</v>
      </c>
      <c r="D102" s="600">
        <f>SUM(D96+D97+D100)</f>
        <v>0.429704227628599</v>
      </c>
      <c r="E102" s="601">
        <f t="shared" si="11"/>
        <v>1.2952221267106934E-2</v>
      </c>
    </row>
    <row r="103" spans="1:5" s="421" customFormat="1" x14ac:dyDescent="0.2">
      <c r="A103" s="588"/>
      <c r="B103" s="592" t="s">
        <v>799</v>
      </c>
      <c r="C103" s="600">
        <f>SUM(C95+C102)</f>
        <v>0.71353161665037612</v>
      </c>
      <c r="D103" s="600">
        <f>SUM(D95+D102)</f>
        <v>0.70444910282247108</v>
      </c>
      <c r="E103" s="601">
        <f t="shared" si="11"/>
        <v>-9.0825138279050366E-3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8.4187754545530208E-2</v>
      </c>
      <c r="D109" s="599">
        <f t="shared" si="12"/>
        <v>8.8696579423328578E-2</v>
      </c>
      <c r="E109" s="599">
        <f t="shared" ref="E109:E117" si="13">D109-C109</f>
        <v>4.5088248777983703E-3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0.16842434884277643</v>
      </c>
      <c r="D110" s="599">
        <f t="shared" si="12"/>
        <v>0.18111050780538407</v>
      </c>
      <c r="E110" s="599">
        <f t="shared" si="13"/>
        <v>1.2686158962607635E-2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5.9691173892854034E-2</v>
      </c>
      <c r="D111" s="599">
        <f t="shared" si="12"/>
        <v>5.5399110512349269E-2</v>
      </c>
      <c r="E111" s="599">
        <f t="shared" si="13"/>
        <v>-4.2920633805047653E-3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5.9691173892854034E-2</v>
      </c>
      <c r="D112" s="599">
        <f t="shared" si="12"/>
        <v>5.5399110512349269E-2</v>
      </c>
      <c r="E112" s="599">
        <f t="shared" si="13"/>
        <v>-4.2920633805047653E-3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1.049077107594495E-3</v>
      </c>
      <c r="D114" s="599">
        <f t="shared" si="12"/>
        <v>9.9651053553075509E-4</v>
      </c>
      <c r="E114" s="599">
        <f t="shared" si="13"/>
        <v>-5.2566572063739896E-5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5.2768950552086126E-5</v>
      </c>
      <c r="D115" s="599">
        <f t="shared" si="12"/>
        <v>3.280416973782365E-5</v>
      </c>
      <c r="E115" s="599">
        <f t="shared" si="13"/>
        <v>-1.9964780814262477E-5</v>
      </c>
    </row>
    <row r="116" spans="1:5" s="421" customFormat="1" x14ac:dyDescent="0.2">
      <c r="A116" s="588"/>
      <c r="B116" s="592" t="s">
        <v>795</v>
      </c>
      <c r="C116" s="600">
        <f>SUM(C110+C111+C114)</f>
        <v>0.22916459984322496</v>
      </c>
      <c r="D116" s="600">
        <f>SUM(D110+D111+D114)</f>
        <v>0.23750612885326411</v>
      </c>
      <c r="E116" s="601">
        <f t="shared" si="13"/>
        <v>8.3415290100391504E-3</v>
      </c>
    </row>
    <row r="117" spans="1:5" s="421" customFormat="1" x14ac:dyDescent="0.2">
      <c r="A117" s="588"/>
      <c r="B117" s="592" t="s">
        <v>796</v>
      </c>
      <c r="C117" s="600">
        <f>SUM(C109+C116)</f>
        <v>0.31335235438875519</v>
      </c>
      <c r="D117" s="600">
        <f>SUM(D109+D116)</f>
        <v>0.3262027082765927</v>
      </c>
      <c r="E117" s="601">
        <f t="shared" si="13"/>
        <v>1.2850353887837507E-2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0.37404450592132638</v>
      </c>
      <c r="D121" s="599">
        <f t="shared" si="14"/>
        <v>0.34218886464854814</v>
      </c>
      <c r="E121" s="599">
        <f t="shared" ref="E121:E129" si="15">D121-C121</f>
        <v>-3.1855641272778235E-2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0.20861092276845541</v>
      </c>
      <c r="D122" s="599">
        <f t="shared" si="14"/>
        <v>0.21556460649418838</v>
      </c>
      <c r="E122" s="599">
        <f t="shared" si="15"/>
        <v>6.953683725732962E-3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0.10086537187669858</v>
      </c>
      <c r="D123" s="599">
        <f t="shared" si="14"/>
        <v>0.11276471692402873</v>
      </c>
      <c r="E123" s="599">
        <f t="shared" si="15"/>
        <v>1.1899345047330145E-2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0.10086537187669858</v>
      </c>
      <c r="D124" s="599">
        <f t="shared" si="14"/>
        <v>0.11276471692402873</v>
      </c>
      <c r="E124" s="599">
        <f t="shared" si="15"/>
        <v>1.1899345047330145E-2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3.1268450447644418E-3</v>
      </c>
      <c r="D126" s="599">
        <f t="shared" si="14"/>
        <v>3.2791036566420721E-3</v>
      </c>
      <c r="E126" s="599">
        <f t="shared" si="15"/>
        <v>1.5225861187763033E-4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2.9207044681472998E-4</v>
      </c>
      <c r="D127" s="599">
        <f t="shared" si="14"/>
        <v>2.1630429163186816E-4</v>
      </c>
      <c r="E127" s="599">
        <f t="shared" si="15"/>
        <v>-7.576615518286182E-5</v>
      </c>
    </row>
    <row r="128" spans="1:5" s="421" customFormat="1" x14ac:dyDescent="0.2">
      <c r="A128" s="588"/>
      <c r="B128" s="592" t="s">
        <v>798</v>
      </c>
      <c r="C128" s="600">
        <f>SUM(C122+C123+C126)</f>
        <v>0.31260313968991849</v>
      </c>
      <c r="D128" s="600">
        <f>SUM(D122+D123+D126)</f>
        <v>0.33160842707485916</v>
      </c>
      <c r="E128" s="601">
        <f t="shared" si="15"/>
        <v>1.9005287384940672E-2</v>
      </c>
    </row>
    <row r="129" spans="1:5" s="421" customFormat="1" x14ac:dyDescent="0.2">
      <c r="A129" s="588"/>
      <c r="B129" s="592" t="s">
        <v>799</v>
      </c>
      <c r="C129" s="600">
        <f>SUM(C121+C128)</f>
        <v>0.68664764561124492</v>
      </c>
      <c r="D129" s="600">
        <f>SUM(D121+D128)</f>
        <v>0.6737972917234073</v>
      </c>
      <c r="E129" s="601">
        <f t="shared" si="15"/>
        <v>-1.2850353887837618E-2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1728</v>
      </c>
      <c r="D137" s="606">
        <v>1033</v>
      </c>
      <c r="E137" s="607">
        <f t="shared" ref="E137:E145" si="16">D137-C137</f>
        <v>-695</v>
      </c>
    </row>
    <row r="138" spans="1:5" s="421" customFormat="1" x14ac:dyDescent="0.2">
      <c r="A138" s="588">
        <v>2</v>
      </c>
      <c r="B138" s="587" t="s">
        <v>634</v>
      </c>
      <c r="C138" s="606">
        <v>1804</v>
      </c>
      <c r="D138" s="606">
        <v>2105</v>
      </c>
      <c r="E138" s="607">
        <f t="shared" si="16"/>
        <v>301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948</v>
      </c>
      <c r="D139" s="606">
        <f>D140+D141</f>
        <v>1259</v>
      </c>
      <c r="E139" s="607">
        <f t="shared" si="16"/>
        <v>311</v>
      </c>
    </row>
    <row r="140" spans="1:5" s="421" customFormat="1" x14ac:dyDescent="0.2">
      <c r="A140" s="588">
        <v>4</v>
      </c>
      <c r="B140" s="587" t="s">
        <v>115</v>
      </c>
      <c r="C140" s="606">
        <v>948</v>
      </c>
      <c r="D140" s="606">
        <v>1259</v>
      </c>
      <c r="E140" s="607">
        <f t="shared" si="16"/>
        <v>311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31</v>
      </c>
      <c r="D142" s="606">
        <v>54</v>
      </c>
      <c r="E142" s="607">
        <f t="shared" si="16"/>
        <v>23</v>
      </c>
    </row>
    <row r="143" spans="1:5" s="421" customFormat="1" x14ac:dyDescent="0.2">
      <c r="A143" s="588">
        <v>7</v>
      </c>
      <c r="B143" s="587" t="s">
        <v>757</v>
      </c>
      <c r="C143" s="606">
        <v>61</v>
      </c>
      <c r="D143" s="606">
        <v>23</v>
      </c>
      <c r="E143" s="607">
        <f t="shared" si="16"/>
        <v>-38</v>
      </c>
    </row>
    <row r="144" spans="1:5" s="421" customFormat="1" x14ac:dyDescent="0.2">
      <c r="A144" s="588"/>
      <c r="B144" s="592" t="s">
        <v>806</v>
      </c>
      <c r="C144" s="608">
        <f>SUM(C138+C139+C142)</f>
        <v>2783</v>
      </c>
      <c r="D144" s="608">
        <f>SUM(D138+D139+D142)</f>
        <v>3418</v>
      </c>
      <c r="E144" s="609">
        <f t="shared" si="16"/>
        <v>635</v>
      </c>
    </row>
    <row r="145" spans="1:5" s="421" customFormat="1" x14ac:dyDescent="0.2">
      <c r="A145" s="588"/>
      <c r="B145" s="592" t="s">
        <v>138</v>
      </c>
      <c r="C145" s="608">
        <f>SUM(C137+C144)</f>
        <v>4511</v>
      </c>
      <c r="D145" s="608">
        <f>SUM(D137+D144)</f>
        <v>4451</v>
      </c>
      <c r="E145" s="609">
        <f t="shared" si="16"/>
        <v>-60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6454</v>
      </c>
      <c r="D149" s="610">
        <v>3059</v>
      </c>
      <c r="E149" s="607">
        <f t="shared" ref="E149:E157" si="17">D149-C149</f>
        <v>-3395</v>
      </c>
    </row>
    <row r="150" spans="1:5" s="421" customFormat="1" x14ac:dyDescent="0.2">
      <c r="A150" s="588">
        <v>2</v>
      </c>
      <c r="B150" s="587" t="s">
        <v>634</v>
      </c>
      <c r="C150" s="610">
        <v>6738</v>
      </c>
      <c r="D150" s="610">
        <v>8940</v>
      </c>
      <c r="E150" s="607">
        <f t="shared" si="17"/>
        <v>2202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3538</v>
      </c>
      <c r="D151" s="610">
        <f>D152+D153</f>
        <v>4556</v>
      </c>
      <c r="E151" s="607">
        <f t="shared" si="17"/>
        <v>1018</v>
      </c>
    </row>
    <row r="152" spans="1:5" s="421" customFormat="1" x14ac:dyDescent="0.2">
      <c r="A152" s="588">
        <v>4</v>
      </c>
      <c r="B152" s="587" t="s">
        <v>115</v>
      </c>
      <c r="C152" s="610">
        <v>3538</v>
      </c>
      <c r="D152" s="610">
        <v>4556</v>
      </c>
      <c r="E152" s="607">
        <f t="shared" si="17"/>
        <v>1018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114</v>
      </c>
      <c r="D154" s="610">
        <v>205</v>
      </c>
      <c r="E154" s="607">
        <f t="shared" si="17"/>
        <v>91</v>
      </c>
    </row>
    <row r="155" spans="1:5" s="421" customFormat="1" x14ac:dyDescent="0.2">
      <c r="A155" s="588">
        <v>7</v>
      </c>
      <c r="B155" s="587" t="s">
        <v>757</v>
      </c>
      <c r="C155" s="610">
        <v>226</v>
      </c>
      <c r="D155" s="610">
        <v>87</v>
      </c>
      <c r="E155" s="607">
        <f t="shared" si="17"/>
        <v>-139</v>
      </c>
    </row>
    <row r="156" spans="1:5" s="421" customFormat="1" x14ac:dyDescent="0.2">
      <c r="A156" s="588"/>
      <c r="B156" s="592" t="s">
        <v>807</v>
      </c>
      <c r="C156" s="608">
        <f>SUM(C150+C151+C154)</f>
        <v>10390</v>
      </c>
      <c r="D156" s="608">
        <f>SUM(D150+D151+D154)</f>
        <v>13701</v>
      </c>
      <c r="E156" s="609">
        <f t="shared" si="17"/>
        <v>3311</v>
      </c>
    </row>
    <row r="157" spans="1:5" s="421" customFormat="1" x14ac:dyDescent="0.2">
      <c r="A157" s="588"/>
      <c r="B157" s="592" t="s">
        <v>140</v>
      </c>
      <c r="C157" s="608">
        <f>SUM(C149+C156)</f>
        <v>16844</v>
      </c>
      <c r="D157" s="608">
        <f>SUM(D149+D156)</f>
        <v>16760</v>
      </c>
      <c r="E157" s="609">
        <f t="shared" si="17"/>
        <v>-84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3.7349537037037037</v>
      </c>
      <c r="D161" s="612">
        <f t="shared" si="18"/>
        <v>2.9612778315585673</v>
      </c>
      <c r="E161" s="613">
        <f t="shared" ref="E161:E169" si="19">D161-C161</f>
        <v>-0.77367587214513645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3.7350332594235032</v>
      </c>
      <c r="D162" s="612">
        <f t="shared" si="18"/>
        <v>4.2470308788598574</v>
      </c>
      <c r="E162" s="613">
        <f t="shared" si="19"/>
        <v>0.51199761943635425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3.7320675105485233</v>
      </c>
      <c r="D163" s="612">
        <f t="shared" si="18"/>
        <v>3.6187450357426529</v>
      </c>
      <c r="E163" s="613">
        <f t="shared" si="19"/>
        <v>-0.11332247480587032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3.7320675105485233</v>
      </c>
      <c r="D164" s="612">
        <f t="shared" si="18"/>
        <v>3.6187450357426529</v>
      </c>
      <c r="E164" s="613">
        <f t="shared" si="19"/>
        <v>-0.11332247480587032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3.6774193548387095</v>
      </c>
      <c r="D166" s="612">
        <f t="shared" si="18"/>
        <v>3.7962962962962963</v>
      </c>
      <c r="E166" s="613">
        <f t="shared" si="19"/>
        <v>0.11887694145758676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3.7049180327868854</v>
      </c>
      <c r="D167" s="612">
        <f t="shared" si="18"/>
        <v>3.7826086956521738</v>
      </c>
      <c r="E167" s="613">
        <f t="shared" si="19"/>
        <v>7.7690662865288473E-2</v>
      </c>
    </row>
    <row r="168" spans="1:5" s="421" customFormat="1" x14ac:dyDescent="0.2">
      <c r="A168" s="588"/>
      <c r="B168" s="592" t="s">
        <v>809</v>
      </c>
      <c r="C168" s="614">
        <f t="shared" si="18"/>
        <v>3.7333812432626661</v>
      </c>
      <c r="D168" s="614">
        <f t="shared" si="18"/>
        <v>4.0084844938560558</v>
      </c>
      <c r="E168" s="615">
        <f t="shared" si="19"/>
        <v>0.27510325059338969</v>
      </c>
    </row>
    <row r="169" spans="1:5" s="421" customFormat="1" x14ac:dyDescent="0.2">
      <c r="A169" s="588"/>
      <c r="B169" s="592" t="s">
        <v>743</v>
      </c>
      <c r="C169" s="614">
        <f t="shared" si="18"/>
        <v>3.7339835956550655</v>
      </c>
      <c r="D169" s="614">
        <f t="shared" si="18"/>
        <v>3.7654459671983824</v>
      </c>
      <c r="E169" s="615">
        <f t="shared" si="19"/>
        <v>3.146237154331688E-2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0.96589999999999998</v>
      </c>
      <c r="D173" s="617">
        <f t="shared" si="20"/>
        <v>1.0525</v>
      </c>
      <c r="E173" s="618">
        <f t="shared" ref="E173:E181" si="21">D173-C173</f>
        <v>8.660000000000001E-2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1.1777999999999997</v>
      </c>
      <c r="D174" s="617">
        <f t="shared" si="20"/>
        <v>1.2448999999999999</v>
      </c>
      <c r="E174" s="618">
        <f t="shared" si="21"/>
        <v>6.710000000000016E-2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0.89770000000000005</v>
      </c>
      <c r="D175" s="617">
        <f t="shared" si="20"/>
        <v>1.1313</v>
      </c>
      <c r="E175" s="618">
        <f t="shared" si="21"/>
        <v>0.23359999999999992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0.89770000000000005</v>
      </c>
      <c r="D176" s="617">
        <f t="shared" si="20"/>
        <v>1.1313</v>
      </c>
      <c r="E176" s="618">
        <f t="shared" si="21"/>
        <v>0.23359999999999992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0.73329999999999995</v>
      </c>
      <c r="D178" s="617">
        <f t="shared" si="20"/>
        <v>0.72759999999999991</v>
      </c>
      <c r="E178" s="618">
        <f t="shared" si="21"/>
        <v>-5.7000000000000384E-3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0.88460000000000005</v>
      </c>
      <c r="D179" s="617">
        <f t="shared" si="20"/>
        <v>1.0710999999999999</v>
      </c>
      <c r="E179" s="618">
        <f t="shared" si="21"/>
        <v>0.18649999999999989</v>
      </c>
    </row>
    <row r="180" spans="1:5" s="421" customFormat="1" x14ac:dyDescent="0.2">
      <c r="A180" s="588"/>
      <c r="B180" s="592" t="s">
        <v>811</v>
      </c>
      <c r="C180" s="619">
        <f t="shared" si="20"/>
        <v>1.0774355371900826</v>
      </c>
      <c r="D180" s="619">
        <f t="shared" si="20"/>
        <v>1.1948834406085429</v>
      </c>
      <c r="E180" s="620">
        <f t="shared" si="21"/>
        <v>0.11744790341846034</v>
      </c>
    </row>
    <row r="181" spans="1:5" s="421" customFormat="1" x14ac:dyDescent="0.2">
      <c r="A181" s="588"/>
      <c r="B181" s="592" t="s">
        <v>722</v>
      </c>
      <c r="C181" s="619">
        <f t="shared" si="20"/>
        <v>1.0347103303037022</v>
      </c>
      <c r="D181" s="619">
        <f t="shared" si="20"/>
        <v>1.1618387104021566</v>
      </c>
      <c r="E181" s="620">
        <f t="shared" si="21"/>
        <v>0.1271283800984544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813</v>
      </c>
      <c r="C185" s="589">
        <v>82014227</v>
      </c>
      <c r="D185" s="589">
        <v>84758645</v>
      </c>
      <c r="E185" s="590">
        <f>D185-C185</f>
        <v>2744418</v>
      </c>
    </row>
    <row r="186" spans="1:5" s="421" customFormat="1" ht="25.5" x14ac:dyDescent="0.2">
      <c r="A186" s="588">
        <v>2</v>
      </c>
      <c r="B186" s="587" t="s">
        <v>814</v>
      </c>
      <c r="C186" s="589">
        <v>48281638</v>
      </c>
      <c r="D186" s="589">
        <v>44970813</v>
      </c>
      <c r="E186" s="590">
        <f>D186-C186</f>
        <v>-3310825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33732589</v>
      </c>
      <c r="D188" s="622">
        <f>+D185-D186</f>
        <v>39787832</v>
      </c>
      <c r="E188" s="590">
        <f t="shared" ref="E188:E197" si="22">D188-C188</f>
        <v>6055243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0.41130167574462417</v>
      </c>
      <c r="D189" s="623">
        <f>IF(D185=0,0,+D188/D185)</f>
        <v>0.4694250598272306</v>
      </c>
      <c r="E189" s="599">
        <f t="shared" si="22"/>
        <v>5.8123384082606422E-2</v>
      </c>
    </row>
    <row r="190" spans="1:5" s="421" customFormat="1" x14ac:dyDescent="0.2">
      <c r="A190" s="588">
        <v>5</v>
      </c>
      <c r="B190" s="587" t="s">
        <v>761</v>
      </c>
      <c r="C190" s="589">
        <v>3210149</v>
      </c>
      <c r="D190" s="589">
        <v>2788324</v>
      </c>
      <c r="E190" s="622">
        <f t="shared" si="22"/>
        <v>-421825</v>
      </c>
    </row>
    <row r="191" spans="1:5" s="421" customFormat="1" x14ac:dyDescent="0.2">
      <c r="A191" s="588">
        <v>6</v>
      </c>
      <c r="B191" s="587" t="s">
        <v>747</v>
      </c>
      <c r="C191" s="589">
        <v>1670648</v>
      </c>
      <c r="D191" s="589">
        <v>1066416</v>
      </c>
      <c r="E191" s="622">
        <f t="shared" si="22"/>
        <v>-604232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522721</v>
      </c>
      <c r="D193" s="589">
        <v>477319</v>
      </c>
      <c r="E193" s="622">
        <f t="shared" si="22"/>
        <v>-45402</v>
      </c>
    </row>
    <row r="194" spans="1:5" s="421" customFormat="1" x14ac:dyDescent="0.2">
      <c r="A194" s="588">
        <v>9</v>
      </c>
      <c r="B194" s="587" t="s">
        <v>817</v>
      </c>
      <c r="C194" s="589">
        <v>3150512</v>
      </c>
      <c r="D194" s="589">
        <v>4093658</v>
      </c>
      <c r="E194" s="622">
        <f t="shared" si="22"/>
        <v>943146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3673233</v>
      </c>
      <c r="D195" s="589">
        <f>+D193+D194</f>
        <v>4570977</v>
      </c>
      <c r="E195" s="625">
        <f t="shared" si="22"/>
        <v>897744</v>
      </c>
    </row>
    <row r="196" spans="1:5" s="421" customFormat="1" x14ac:dyDescent="0.2">
      <c r="A196" s="588">
        <v>11</v>
      </c>
      <c r="B196" s="587" t="s">
        <v>819</v>
      </c>
      <c r="C196" s="589">
        <v>6153524</v>
      </c>
      <c r="D196" s="589">
        <v>3119124</v>
      </c>
      <c r="E196" s="622">
        <f t="shared" si="22"/>
        <v>-3034400</v>
      </c>
    </row>
    <row r="197" spans="1:5" s="421" customFormat="1" x14ac:dyDescent="0.2">
      <c r="A197" s="588">
        <v>12</v>
      </c>
      <c r="B197" s="587" t="s">
        <v>709</v>
      </c>
      <c r="C197" s="589">
        <v>109004882</v>
      </c>
      <c r="D197" s="589">
        <v>111527723</v>
      </c>
      <c r="E197" s="622">
        <f t="shared" si="22"/>
        <v>2522841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1669.0752</v>
      </c>
      <c r="D203" s="629">
        <v>1087.2325000000001</v>
      </c>
      <c r="E203" s="630">
        <f t="shared" ref="E203:E211" si="23">D203-C203</f>
        <v>-581.84269999999992</v>
      </c>
    </row>
    <row r="204" spans="1:5" s="421" customFormat="1" x14ac:dyDescent="0.2">
      <c r="A204" s="588">
        <v>2</v>
      </c>
      <c r="B204" s="587" t="s">
        <v>634</v>
      </c>
      <c r="C204" s="629">
        <v>2124.7511999999997</v>
      </c>
      <c r="D204" s="629">
        <v>2620.5144999999998</v>
      </c>
      <c r="E204" s="630">
        <f t="shared" si="23"/>
        <v>495.76330000000007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851.01960000000008</v>
      </c>
      <c r="D205" s="629">
        <f>D206+D207</f>
        <v>1424.3066999999999</v>
      </c>
      <c r="E205" s="630">
        <f t="shared" si="23"/>
        <v>573.28709999999978</v>
      </c>
    </row>
    <row r="206" spans="1:5" s="421" customFormat="1" x14ac:dyDescent="0.2">
      <c r="A206" s="588">
        <v>4</v>
      </c>
      <c r="B206" s="587" t="s">
        <v>115</v>
      </c>
      <c r="C206" s="629">
        <v>851.01960000000008</v>
      </c>
      <c r="D206" s="629">
        <v>1424.3066999999999</v>
      </c>
      <c r="E206" s="630">
        <f t="shared" si="23"/>
        <v>573.28709999999978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22.732299999999999</v>
      </c>
      <c r="D208" s="629">
        <v>39.290399999999998</v>
      </c>
      <c r="E208" s="630">
        <f t="shared" si="23"/>
        <v>16.5581</v>
      </c>
    </row>
    <row r="209" spans="1:5" s="421" customFormat="1" x14ac:dyDescent="0.2">
      <c r="A209" s="588">
        <v>7</v>
      </c>
      <c r="B209" s="587" t="s">
        <v>757</v>
      </c>
      <c r="C209" s="629">
        <v>53.960600000000007</v>
      </c>
      <c r="D209" s="629">
        <v>24.635299999999997</v>
      </c>
      <c r="E209" s="630">
        <f t="shared" si="23"/>
        <v>-29.325300000000009</v>
      </c>
    </row>
    <row r="210" spans="1:5" s="421" customFormat="1" x14ac:dyDescent="0.2">
      <c r="A210" s="588"/>
      <c r="B210" s="592" t="s">
        <v>822</v>
      </c>
      <c r="C210" s="631">
        <f>C204+C205+C208</f>
        <v>2998.5030999999999</v>
      </c>
      <c r="D210" s="631">
        <f>D204+D205+D208</f>
        <v>4084.1115999999993</v>
      </c>
      <c r="E210" s="632">
        <f t="shared" si="23"/>
        <v>1085.6084999999994</v>
      </c>
    </row>
    <row r="211" spans="1:5" s="421" customFormat="1" x14ac:dyDescent="0.2">
      <c r="A211" s="588"/>
      <c r="B211" s="592" t="s">
        <v>723</v>
      </c>
      <c r="C211" s="631">
        <f>C210+C203</f>
        <v>4667.5783000000001</v>
      </c>
      <c r="D211" s="631">
        <f>D210+D203</f>
        <v>5171.3440999999993</v>
      </c>
      <c r="E211" s="632">
        <f t="shared" si="23"/>
        <v>503.76579999999922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7548.1281773406172</v>
      </c>
      <c r="D215" s="633">
        <f>IF(D14*D137=0,0,D25/D14*D137)</f>
        <v>4462.2879004674705</v>
      </c>
      <c r="E215" s="633">
        <f t="shared" ref="E215:E223" si="24">D215-C215</f>
        <v>-3085.8402768731466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3072.6658480957317</v>
      </c>
      <c r="D216" s="633">
        <f>IF(D15*D138=0,0,D26/D15*D138)</f>
        <v>3432.9632181286297</v>
      </c>
      <c r="E216" s="633">
        <f t="shared" si="24"/>
        <v>360.29737003289802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2228.8682499634851</v>
      </c>
      <c r="D217" s="633">
        <f>D218+D219</f>
        <v>2992.6521078400233</v>
      </c>
      <c r="E217" s="633">
        <f t="shared" si="24"/>
        <v>763.78385787653815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2228.8682499634851</v>
      </c>
      <c r="D218" s="633">
        <f t="shared" si="25"/>
        <v>2992.6521078400233</v>
      </c>
      <c r="E218" s="633">
        <f t="shared" si="24"/>
        <v>763.78385787653815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90.367687079327709</v>
      </c>
      <c r="D220" s="633">
        <f t="shared" si="25"/>
        <v>181.852516391313</v>
      </c>
      <c r="E220" s="633">
        <f t="shared" si="24"/>
        <v>91.484829311985294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327.37115465095775</v>
      </c>
      <c r="D221" s="633">
        <f t="shared" si="25"/>
        <v>150.15496231382807</v>
      </c>
      <c r="E221" s="633">
        <f t="shared" si="24"/>
        <v>-177.21619233712968</v>
      </c>
    </row>
    <row r="222" spans="1:5" s="421" customFormat="1" x14ac:dyDescent="0.2">
      <c r="A222" s="588"/>
      <c r="B222" s="592" t="s">
        <v>824</v>
      </c>
      <c r="C222" s="634">
        <f>C216+C218+C219+C220</f>
        <v>5391.9017851385452</v>
      </c>
      <c r="D222" s="634">
        <f>D216+D218+D219+D220</f>
        <v>6607.4678423599653</v>
      </c>
      <c r="E222" s="634">
        <f t="shared" si="24"/>
        <v>1215.5660572214201</v>
      </c>
    </row>
    <row r="223" spans="1:5" s="421" customFormat="1" x14ac:dyDescent="0.2">
      <c r="A223" s="588"/>
      <c r="B223" s="592" t="s">
        <v>825</v>
      </c>
      <c r="C223" s="634">
        <f>C215+C222</f>
        <v>12940.029962479162</v>
      </c>
      <c r="D223" s="634">
        <f>D215+D222</f>
        <v>11069.755742827436</v>
      </c>
      <c r="E223" s="634">
        <f t="shared" si="24"/>
        <v>-1870.2742196517265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5314.5849869436679</v>
      </c>
      <c r="D227" s="636">
        <f t="shared" si="26"/>
        <v>8510.1144419431894</v>
      </c>
      <c r="E227" s="636">
        <f t="shared" ref="E227:E235" si="27">D227-C227</f>
        <v>3195.5294549995215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8352.0508189382381</v>
      </c>
      <c r="D228" s="636">
        <f t="shared" si="26"/>
        <v>7209.5479723542849</v>
      </c>
      <c r="E228" s="636">
        <f t="shared" si="27"/>
        <v>-1142.5028465839532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7390.382078156601</v>
      </c>
      <c r="D229" s="636">
        <f t="shared" si="26"/>
        <v>4057.4224638555729</v>
      </c>
      <c r="E229" s="636">
        <f t="shared" si="27"/>
        <v>-3332.9596143010281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7390.382078156601</v>
      </c>
      <c r="D230" s="636">
        <f t="shared" si="26"/>
        <v>4057.4224638555729</v>
      </c>
      <c r="E230" s="636">
        <f t="shared" si="27"/>
        <v>-3332.9596143010281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4862.508413139014</v>
      </c>
      <c r="D232" s="636">
        <f t="shared" si="26"/>
        <v>2645.735345020667</v>
      </c>
      <c r="E232" s="636">
        <f t="shared" si="27"/>
        <v>-2216.7730681183471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103.03814264481862</v>
      </c>
      <c r="D233" s="636">
        <f t="shared" si="26"/>
        <v>138.90636606820297</v>
      </c>
      <c r="E233" s="636">
        <f t="shared" si="27"/>
        <v>35.86822342338435</v>
      </c>
    </row>
    <row r="234" spans="1:5" x14ac:dyDescent="0.2">
      <c r="A234" s="588"/>
      <c r="B234" s="592" t="s">
        <v>827</v>
      </c>
      <c r="C234" s="637">
        <f t="shared" si="26"/>
        <v>8052.6600089224521</v>
      </c>
      <c r="D234" s="637">
        <f t="shared" si="26"/>
        <v>6066.3599398214301</v>
      </c>
      <c r="E234" s="637">
        <f t="shared" si="27"/>
        <v>-1986.300069101022</v>
      </c>
    </row>
    <row r="235" spans="1:5" s="421" customFormat="1" x14ac:dyDescent="0.2">
      <c r="A235" s="588"/>
      <c r="B235" s="592" t="s">
        <v>828</v>
      </c>
      <c r="C235" s="637">
        <f t="shared" si="26"/>
        <v>7073.5541811907042</v>
      </c>
      <c r="D235" s="637">
        <f t="shared" si="26"/>
        <v>6580.139194373085</v>
      </c>
      <c r="E235" s="637">
        <f t="shared" si="27"/>
        <v>-493.41498681761914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5221.3204484671969</v>
      </c>
      <c r="D239" s="636">
        <f t="shared" si="28"/>
        <v>7999.4336529161419</v>
      </c>
      <c r="E239" s="638">
        <f t="shared" ref="E239:E247" si="29">D239-C239</f>
        <v>2778.113204448945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7153.4911658624278</v>
      </c>
      <c r="D240" s="636">
        <f t="shared" si="28"/>
        <v>6550.2708800527089</v>
      </c>
      <c r="E240" s="638">
        <f t="shared" si="29"/>
        <v>-603.22028580971892</v>
      </c>
    </row>
    <row r="241" spans="1:5" x14ac:dyDescent="0.2">
      <c r="A241" s="588">
        <v>3</v>
      </c>
      <c r="B241" s="587" t="s">
        <v>776</v>
      </c>
      <c r="C241" s="636">
        <f t="shared" si="28"/>
        <v>4768.1952489448895</v>
      </c>
      <c r="D241" s="636">
        <f t="shared" si="28"/>
        <v>3930.6824101549787</v>
      </c>
      <c r="E241" s="638">
        <f t="shared" si="29"/>
        <v>-837.5128387899108</v>
      </c>
    </row>
    <row r="242" spans="1:5" x14ac:dyDescent="0.2">
      <c r="A242" s="588">
        <v>4</v>
      </c>
      <c r="B242" s="587" t="s">
        <v>115</v>
      </c>
      <c r="C242" s="636">
        <f t="shared" si="28"/>
        <v>4768.1952489448895</v>
      </c>
      <c r="D242" s="636">
        <f t="shared" si="28"/>
        <v>3930.6824101549787</v>
      </c>
      <c r="E242" s="638">
        <f t="shared" si="29"/>
        <v>-837.5128387899108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3645.7721852589771</v>
      </c>
      <c r="D244" s="636">
        <f t="shared" si="28"/>
        <v>1880.9912933178425</v>
      </c>
      <c r="E244" s="638">
        <f t="shared" si="29"/>
        <v>-1764.7808919411345</v>
      </c>
    </row>
    <row r="245" spans="1:5" x14ac:dyDescent="0.2">
      <c r="A245" s="588">
        <v>7</v>
      </c>
      <c r="B245" s="587" t="s">
        <v>757</v>
      </c>
      <c r="C245" s="636">
        <f t="shared" si="28"/>
        <v>94.003395115281791</v>
      </c>
      <c r="D245" s="636">
        <f t="shared" si="28"/>
        <v>150.27142394961686</v>
      </c>
      <c r="E245" s="638">
        <f t="shared" si="29"/>
        <v>56.26802883433507</v>
      </c>
    </row>
    <row r="246" spans="1:5" ht="25.5" x14ac:dyDescent="0.2">
      <c r="A246" s="588"/>
      <c r="B246" s="592" t="s">
        <v>830</v>
      </c>
      <c r="C246" s="637">
        <f t="shared" si="28"/>
        <v>6108.6845258910207</v>
      </c>
      <c r="D246" s="637">
        <f t="shared" si="28"/>
        <v>5235.2985781077787</v>
      </c>
      <c r="E246" s="639">
        <f t="shared" si="29"/>
        <v>-873.38594778324205</v>
      </c>
    </row>
    <row r="247" spans="1:5" x14ac:dyDescent="0.2">
      <c r="A247" s="588"/>
      <c r="B247" s="592" t="s">
        <v>831</v>
      </c>
      <c r="C247" s="637">
        <f t="shared" si="28"/>
        <v>5591.0707478871118</v>
      </c>
      <c r="D247" s="637">
        <f t="shared" si="28"/>
        <v>6349.5387461952332</v>
      </c>
      <c r="E247" s="639">
        <f t="shared" si="29"/>
        <v>758.46799830812142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5316510.3359850403</v>
      </c>
      <c r="D251" s="622">
        <f>((IF((IF(D15=0,0,D26/D15)*D138)=0,0,D59/(IF(D15=0,0,D26/D15)*D138)))-(IF((IF(D17=0,0,D28/D17)*D140)=0,0,D61/(IF(D17=0,0,D28/D17)*D140))))*(IF(D17=0,0,D28/D17)*D140)</f>
        <v>7839516.9561128635</v>
      </c>
      <c r="E251" s="622">
        <f>D251-C251</f>
        <v>2523006.6201278232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2756194.3361742077</v>
      </c>
      <c r="D253" s="622">
        <f>IF(D233=0,0,(D228-D233)*D209+IF(D221=0,0,(D240-D245)*D221))</f>
        <v>1135179.0543030193</v>
      </c>
      <c r="E253" s="622">
        <f>D253-C253</f>
        <v>-1621015.2818711884</v>
      </c>
    </row>
    <row r="254" spans="1:5" ht="15" customHeight="1" x14ac:dyDescent="0.2">
      <c r="A254" s="588"/>
      <c r="B254" s="592" t="s">
        <v>758</v>
      </c>
      <c r="C254" s="640">
        <f>+C251+C252+C253</f>
        <v>8072704.672159248</v>
      </c>
      <c r="D254" s="640">
        <f>+D251+D252+D253</f>
        <v>8974696.0104158819</v>
      </c>
      <c r="E254" s="640">
        <f>D254-C254</f>
        <v>901991.33825663384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224868002</v>
      </c>
      <c r="D258" s="625">
        <f>+D44</f>
        <v>243567848</v>
      </c>
      <c r="E258" s="622">
        <f t="shared" ref="E258:E271" si="30">D258-C258</f>
        <v>18699846</v>
      </c>
    </row>
    <row r="259" spans="1:5" x14ac:dyDescent="0.2">
      <c r="A259" s="588">
        <v>2</v>
      </c>
      <c r="B259" s="587" t="s">
        <v>741</v>
      </c>
      <c r="C259" s="622">
        <f>+(C43-C76)</f>
        <v>85770422</v>
      </c>
      <c r="D259" s="625">
        <f>+(D43-D76)</f>
        <v>101789614</v>
      </c>
      <c r="E259" s="622">
        <f t="shared" si="30"/>
        <v>16019192</v>
      </c>
    </row>
    <row r="260" spans="1:5" x14ac:dyDescent="0.2">
      <c r="A260" s="588">
        <v>3</v>
      </c>
      <c r="B260" s="587" t="s">
        <v>745</v>
      </c>
      <c r="C260" s="622">
        <f>C195</f>
        <v>3673233</v>
      </c>
      <c r="D260" s="622">
        <f>D195</f>
        <v>4570977</v>
      </c>
      <c r="E260" s="622">
        <f t="shared" si="30"/>
        <v>897744</v>
      </c>
    </row>
    <row r="261" spans="1:5" x14ac:dyDescent="0.2">
      <c r="A261" s="588">
        <v>4</v>
      </c>
      <c r="B261" s="587" t="s">
        <v>746</v>
      </c>
      <c r="C261" s="622">
        <f>C188</f>
        <v>33732589</v>
      </c>
      <c r="D261" s="622">
        <f>D188</f>
        <v>39787832</v>
      </c>
      <c r="E261" s="622">
        <f t="shared" si="30"/>
        <v>6055243</v>
      </c>
    </row>
    <row r="262" spans="1:5" x14ac:dyDescent="0.2">
      <c r="A262" s="588">
        <v>5</v>
      </c>
      <c r="B262" s="587" t="s">
        <v>747</v>
      </c>
      <c r="C262" s="622">
        <f>C191</f>
        <v>1670648</v>
      </c>
      <c r="D262" s="622">
        <f>D191</f>
        <v>1066416</v>
      </c>
      <c r="E262" s="622">
        <f t="shared" si="30"/>
        <v>-604232</v>
      </c>
    </row>
    <row r="263" spans="1:5" x14ac:dyDescent="0.2">
      <c r="A263" s="588">
        <v>6</v>
      </c>
      <c r="B263" s="587" t="s">
        <v>748</v>
      </c>
      <c r="C263" s="622">
        <f>+C259+C260+C261+C262</f>
        <v>124846892</v>
      </c>
      <c r="D263" s="622">
        <f>+D259+D260+D261+D262</f>
        <v>147214839</v>
      </c>
      <c r="E263" s="622">
        <f t="shared" si="30"/>
        <v>22367947</v>
      </c>
    </row>
    <row r="264" spans="1:5" x14ac:dyDescent="0.2">
      <c r="A264" s="588">
        <v>7</v>
      </c>
      <c r="B264" s="587" t="s">
        <v>653</v>
      </c>
      <c r="C264" s="622">
        <f>+C258-C263</f>
        <v>100021110</v>
      </c>
      <c r="D264" s="622">
        <f>+D258-D263</f>
        <v>96353009</v>
      </c>
      <c r="E264" s="622">
        <f t="shared" si="30"/>
        <v>-3668101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100021110</v>
      </c>
      <c r="D266" s="622">
        <f>+D264+D265</f>
        <v>96353009</v>
      </c>
      <c r="E266" s="641">
        <f t="shared" si="30"/>
        <v>-3668101</v>
      </c>
    </row>
    <row r="267" spans="1:5" x14ac:dyDescent="0.2">
      <c r="A267" s="588">
        <v>10</v>
      </c>
      <c r="B267" s="587" t="s">
        <v>836</v>
      </c>
      <c r="C267" s="642">
        <f>IF(C258=0,0,C266/C258)</f>
        <v>0.44479921158369168</v>
      </c>
      <c r="D267" s="642">
        <f>IF(D258=0,0,D266/D258)</f>
        <v>0.39559001646227132</v>
      </c>
      <c r="E267" s="643">
        <f t="shared" si="30"/>
        <v>-4.9209195121420357E-2</v>
      </c>
    </row>
    <row r="268" spans="1:5" x14ac:dyDescent="0.2">
      <c r="A268" s="588">
        <v>11</v>
      </c>
      <c r="B268" s="587" t="s">
        <v>715</v>
      </c>
      <c r="C268" s="622">
        <f>+C260*C267</f>
        <v>1633851.1423631986</v>
      </c>
      <c r="D268" s="644">
        <f>+D260*D267</f>
        <v>1808232.8666786635</v>
      </c>
      <c r="E268" s="622">
        <f t="shared" si="30"/>
        <v>174381.72431546496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5075307.6404856928</v>
      </c>
      <c r="D269" s="644">
        <f>((D17+D18+D28+D29)*D267)-(D50+D51+D61+D62)</f>
        <v>3867662.6064693443</v>
      </c>
      <c r="E269" s="622">
        <f t="shared" si="30"/>
        <v>-1207645.0340163484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839</v>
      </c>
      <c r="C271" s="622">
        <f>+C268+C269+C270</f>
        <v>6709158.7828488909</v>
      </c>
      <c r="D271" s="622">
        <f>+D268+D269+D270</f>
        <v>5675895.4731480079</v>
      </c>
      <c r="E271" s="625">
        <f t="shared" si="30"/>
        <v>-1033263.309700883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0.58060272199436724</v>
      </c>
      <c r="D276" s="623">
        <f t="shared" si="31"/>
        <v>0.59726289158838375</v>
      </c>
      <c r="E276" s="650">
        <f t="shared" ref="E276:E284" si="32">D276-C276</f>
        <v>1.6660169594016505E-2</v>
      </c>
    </row>
    <row r="277" spans="1:5" x14ac:dyDescent="0.2">
      <c r="A277" s="588">
        <v>2</v>
      </c>
      <c r="B277" s="587" t="s">
        <v>634</v>
      </c>
      <c r="C277" s="623">
        <f t="shared" si="31"/>
        <v>0.52183103159757127</v>
      </c>
      <c r="D277" s="623">
        <f t="shared" si="31"/>
        <v>0.47065111405285831</v>
      </c>
      <c r="E277" s="650">
        <f t="shared" si="32"/>
        <v>-5.1179917544712961E-2</v>
      </c>
    </row>
    <row r="278" spans="1:5" x14ac:dyDescent="0.2">
      <c r="A278" s="588">
        <v>3</v>
      </c>
      <c r="B278" s="587" t="s">
        <v>776</v>
      </c>
      <c r="C278" s="623">
        <f t="shared" si="31"/>
        <v>0.42627489666526253</v>
      </c>
      <c r="D278" s="623">
        <f t="shared" si="31"/>
        <v>0.36059326089704702</v>
      </c>
      <c r="E278" s="650">
        <f t="shared" si="32"/>
        <v>-6.5681635768215507E-2</v>
      </c>
    </row>
    <row r="279" spans="1:5" x14ac:dyDescent="0.2">
      <c r="A279" s="588">
        <v>4</v>
      </c>
      <c r="B279" s="587" t="s">
        <v>115</v>
      </c>
      <c r="C279" s="623">
        <f t="shared" si="31"/>
        <v>0.42627489666526253</v>
      </c>
      <c r="D279" s="623">
        <f t="shared" si="31"/>
        <v>0.36059326089704702</v>
      </c>
      <c r="E279" s="650">
        <f t="shared" si="32"/>
        <v>-6.5681635768215507E-2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0.29233434272641923</v>
      </c>
      <c r="D281" s="623">
        <f t="shared" si="31"/>
        <v>0.31774541119652766</v>
      </c>
      <c r="E281" s="650">
        <f t="shared" si="32"/>
        <v>2.5411068470108433E-2</v>
      </c>
    </row>
    <row r="282" spans="1:5" x14ac:dyDescent="0.2">
      <c r="A282" s="588">
        <v>7</v>
      </c>
      <c r="B282" s="587" t="s">
        <v>757</v>
      </c>
      <c r="C282" s="623">
        <f t="shared" si="31"/>
        <v>1.1811416711455162E-2</v>
      </c>
      <c r="D282" s="623">
        <f t="shared" si="31"/>
        <v>9.5139860042648908E-3</v>
      </c>
      <c r="E282" s="650">
        <f t="shared" si="32"/>
        <v>-2.2974307071902712E-3</v>
      </c>
    </row>
    <row r="283" spans="1:5" ht="29.25" customHeight="1" x14ac:dyDescent="0.2">
      <c r="A283" s="588"/>
      <c r="B283" s="592" t="s">
        <v>843</v>
      </c>
      <c r="C283" s="651">
        <f t="shared" si="31"/>
        <v>0.49137424525205586</v>
      </c>
      <c r="D283" s="651">
        <f t="shared" si="31"/>
        <v>0.43854476725985292</v>
      </c>
      <c r="E283" s="652">
        <f t="shared" si="32"/>
        <v>-5.2829477992202944E-2</v>
      </c>
    </row>
    <row r="284" spans="1:5" x14ac:dyDescent="0.2">
      <c r="A284" s="588"/>
      <c r="B284" s="592" t="s">
        <v>844</v>
      </c>
      <c r="C284" s="651">
        <f t="shared" si="31"/>
        <v>0.51253666449060409</v>
      </c>
      <c r="D284" s="651">
        <f t="shared" si="31"/>
        <v>0.47270073347997527</v>
      </c>
      <c r="E284" s="652">
        <f t="shared" si="32"/>
        <v>-3.9835931010628822E-2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0.59055165800625442</v>
      </c>
      <c r="D287" s="623">
        <f t="shared" si="33"/>
        <v>0.53341751069927534</v>
      </c>
      <c r="E287" s="650">
        <f t="shared" ref="E287:E295" si="34">D287-C287</f>
        <v>-5.7134147306979077E-2</v>
      </c>
    </row>
    <row r="288" spans="1:5" x14ac:dyDescent="0.2">
      <c r="A288" s="588">
        <v>2</v>
      </c>
      <c r="B288" s="587" t="s">
        <v>634</v>
      </c>
      <c r="C288" s="623">
        <f t="shared" si="33"/>
        <v>0.37947508648353523</v>
      </c>
      <c r="D288" s="623">
        <f t="shared" si="33"/>
        <v>0.34349138434129078</v>
      </c>
      <c r="E288" s="650">
        <f t="shared" si="34"/>
        <v>-3.5983702142244445E-2</v>
      </c>
    </row>
    <row r="289" spans="1:5" x14ac:dyDescent="0.2">
      <c r="A289" s="588">
        <v>3</v>
      </c>
      <c r="B289" s="587" t="s">
        <v>776</v>
      </c>
      <c r="C289" s="623">
        <f t="shared" si="33"/>
        <v>0.3063696014059526</v>
      </c>
      <c r="D289" s="623">
        <f t="shared" si="33"/>
        <v>0.3087859595211252</v>
      </c>
      <c r="E289" s="650">
        <f t="shared" si="34"/>
        <v>2.416358115172601E-3</v>
      </c>
    </row>
    <row r="290" spans="1:5" x14ac:dyDescent="0.2">
      <c r="A290" s="588">
        <v>4</v>
      </c>
      <c r="B290" s="587" t="s">
        <v>115</v>
      </c>
      <c r="C290" s="623">
        <f t="shared" si="33"/>
        <v>0.3063696014059526</v>
      </c>
      <c r="D290" s="623">
        <f t="shared" si="33"/>
        <v>0.3087859595211252</v>
      </c>
      <c r="E290" s="650">
        <f t="shared" si="34"/>
        <v>2.416358115172601E-3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0.29890096331282356</v>
      </c>
      <c r="D292" s="623">
        <f t="shared" si="33"/>
        <v>0.31047524824368727</v>
      </c>
      <c r="E292" s="650">
        <f t="shared" si="34"/>
        <v>1.157428493086371E-2</v>
      </c>
    </row>
    <row r="293" spans="1:5" x14ac:dyDescent="0.2">
      <c r="A293" s="588">
        <v>7</v>
      </c>
      <c r="B293" s="587" t="s">
        <v>757</v>
      </c>
      <c r="C293" s="623">
        <f t="shared" si="33"/>
        <v>1.2181494530915084E-2</v>
      </c>
      <c r="D293" s="623">
        <f t="shared" si="33"/>
        <v>9.6091891171376509E-3</v>
      </c>
      <c r="E293" s="650">
        <f t="shared" si="34"/>
        <v>-2.5723054137774329E-3</v>
      </c>
    </row>
    <row r="294" spans="1:5" ht="29.25" customHeight="1" x14ac:dyDescent="0.2">
      <c r="A294" s="588"/>
      <c r="B294" s="592" t="s">
        <v>846</v>
      </c>
      <c r="C294" s="651">
        <f t="shared" si="33"/>
        <v>0.35146680186355128</v>
      </c>
      <c r="D294" s="651">
        <f t="shared" si="33"/>
        <v>0.33051176846824087</v>
      </c>
      <c r="E294" s="652">
        <f t="shared" si="34"/>
        <v>-2.0955033395310407E-2</v>
      </c>
    </row>
    <row r="295" spans="1:5" x14ac:dyDescent="0.2">
      <c r="A295" s="588"/>
      <c r="B295" s="592" t="s">
        <v>847</v>
      </c>
      <c r="C295" s="651">
        <f t="shared" si="33"/>
        <v>0.45090950177515576</v>
      </c>
      <c r="D295" s="651">
        <f t="shared" si="33"/>
        <v>0.40964780910201604</v>
      </c>
      <c r="E295" s="652">
        <f t="shared" si="34"/>
        <v>-4.1261692673139727E-2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105364991</v>
      </c>
      <c r="D301" s="590">
        <f>+D48+D47+D50+D51+D52+D59+D58+D61+D62+D63</f>
        <v>104316007</v>
      </c>
      <c r="E301" s="590">
        <f>D301-C301</f>
        <v>-1048984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105364991</v>
      </c>
      <c r="D303" s="593">
        <f>+D301+D302</f>
        <v>104316007</v>
      </c>
      <c r="E303" s="593">
        <f>D303-C303</f>
        <v>-1048984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-517655</v>
      </c>
      <c r="D305" s="654">
        <v>1955218</v>
      </c>
      <c r="E305" s="655">
        <f>D305-C305</f>
        <v>2472873</v>
      </c>
    </row>
    <row r="306" spans="1:5" x14ac:dyDescent="0.2">
      <c r="A306" s="588">
        <v>4</v>
      </c>
      <c r="B306" s="592" t="s">
        <v>854</v>
      </c>
      <c r="C306" s="593">
        <f>+C303+C305+C194+C190-C191</f>
        <v>109537349</v>
      </c>
      <c r="D306" s="593">
        <f>+D303+D305</f>
        <v>106271225</v>
      </c>
      <c r="E306" s="656">
        <f>D306-C306</f>
        <v>-3266124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104847336</v>
      </c>
      <c r="D308" s="589">
        <v>106271224</v>
      </c>
      <c r="E308" s="590">
        <f>D308-C308</f>
        <v>1423888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4690013</v>
      </c>
      <c r="D310" s="658">
        <f>D306-D308</f>
        <v>1</v>
      </c>
      <c r="E310" s="656">
        <f>D310-C310</f>
        <v>-4690012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224868002</v>
      </c>
      <c r="D314" s="590">
        <f>+D14+D15+D16+D19+D25+D26+D27+D30</f>
        <v>243567848</v>
      </c>
      <c r="E314" s="590">
        <f>D314-C314</f>
        <v>18699846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224868002</v>
      </c>
      <c r="D316" s="657">
        <f>D314+D315</f>
        <v>243567848</v>
      </c>
      <c r="E316" s="593">
        <f>D316-C316</f>
        <v>18699846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224868002</v>
      </c>
      <c r="D318" s="589">
        <v>243567848</v>
      </c>
      <c r="E318" s="590">
        <f>D318-C318</f>
        <v>18699846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3673233</v>
      </c>
      <c r="D324" s="589">
        <f>+D193+D194</f>
        <v>4570977</v>
      </c>
      <c r="E324" s="590">
        <f>D324-C324</f>
        <v>897744</v>
      </c>
    </row>
    <row r="325" spans="1:5" x14ac:dyDescent="0.2">
      <c r="A325" s="588">
        <v>2</v>
      </c>
      <c r="B325" s="587" t="s">
        <v>864</v>
      </c>
      <c r="C325" s="589">
        <v>100093</v>
      </c>
      <c r="D325" s="589">
        <v>78428</v>
      </c>
      <c r="E325" s="590">
        <f>D325-C325</f>
        <v>-21665</v>
      </c>
    </row>
    <row r="326" spans="1:5" x14ac:dyDescent="0.2">
      <c r="A326" s="588"/>
      <c r="B326" s="592" t="s">
        <v>865</v>
      </c>
      <c r="C326" s="657">
        <f>C324+C325</f>
        <v>3773326</v>
      </c>
      <c r="D326" s="657">
        <f>D324+D325</f>
        <v>4649405</v>
      </c>
      <c r="E326" s="593">
        <f>D326-C326</f>
        <v>876079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3773326</v>
      </c>
      <c r="D328" s="589">
        <v>4649405</v>
      </c>
      <c r="E328" s="590">
        <f>D328-C328</f>
        <v>876079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FILING&amp;RDAY KIMBALL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15491458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40141677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16026406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16026406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327155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359681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56495238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71986696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66919018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65465511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38094883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38094883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1101740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2348169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104662134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171581152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82410476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161157372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243567848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9252473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18892725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5779014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5779014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103952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3422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24775691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34028164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35695776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22486839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11763165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11763165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342063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22564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34592067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70287843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44948249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59367758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104316007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1033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2105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1259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1259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54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23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3418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4451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1.0525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1.2448999999999999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1.1313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1.1313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0.72760000000000002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1.0710999999999999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1.1948834406085429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1.1618387104021566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84758645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44970813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39787832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0.4694250598272306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2788324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1066416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477319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4093658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4570977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3119124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111527723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104316007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104316007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1955218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106271225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106271224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243567848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243567848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243567848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4570977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78428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4649405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4649405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FILING&amp;RDAY KIMBALL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366</v>
      </c>
      <c r="D12" s="185">
        <v>228</v>
      </c>
      <c r="E12" s="185">
        <f>+D12-C12</f>
        <v>-138</v>
      </c>
      <c r="F12" s="77">
        <f>IF(C12=0,0,+E12/C12)</f>
        <v>-0.37704918032786883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357</v>
      </c>
      <c r="D13" s="185">
        <v>217</v>
      </c>
      <c r="E13" s="185">
        <f>+D13-C13</f>
        <v>-140</v>
      </c>
      <c r="F13" s="77">
        <f>IF(C13=0,0,+E13/C13)</f>
        <v>-0.39215686274509803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522721</v>
      </c>
      <c r="D15" s="76">
        <v>477319</v>
      </c>
      <c r="E15" s="76">
        <f>+D15-C15</f>
        <v>-45402</v>
      </c>
      <c r="F15" s="77">
        <f>IF(C15=0,0,+E15/C15)</f>
        <v>-8.6857042284507413E-2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1464.2044817927172</v>
      </c>
      <c r="D16" s="79">
        <f>IF(D13=0,0,+D15/+D13)</f>
        <v>2199.6267281105993</v>
      </c>
      <c r="E16" s="79">
        <f>+D16-C16</f>
        <v>735.42224631788213</v>
      </c>
      <c r="F16" s="80">
        <f>IF(C16=0,0,+E16/C16)</f>
        <v>0.50226744656419753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0.499307</v>
      </c>
      <c r="D18" s="704">
        <v>0.47183900000000001</v>
      </c>
      <c r="E18" s="704">
        <f>+D18-C18</f>
        <v>-2.7467999999999992E-2</v>
      </c>
      <c r="F18" s="77">
        <f>IF(C18=0,0,+E18/C18)</f>
        <v>-5.5012246974306372E-2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260998.25434700001</v>
      </c>
      <c r="D19" s="79">
        <f>+D15*D18</f>
        <v>225217.719641</v>
      </c>
      <c r="E19" s="79">
        <f>+D19-C19</f>
        <v>-35780.534706000006</v>
      </c>
      <c r="F19" s="80">
        <f>IF(C19=0,0,+E19/C19)</f>
        <v>-0.13709108819720073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731.08754719047624</v>
      </c>
      <c r="D20" s="79">
        <f>IF(D13=0,0,+D19/D13)</f>
        <v>1037.869675764977</v>
      </c>
      <c r="E20" s="79">
        <f>+D20-C20</f>
        <v>306.7821285745008</v>
      </c>
      <c r="F20" s="80">
        <f>IF(C20=0,0,+E20/C20)</f>
        <v>0.41962433877234723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195670</v>
      </c>
      <c r="D22" s="76">
        <v>142016</v>
      </c>
      <c r="E22" s="76">
        <f>+D22-C22</f>
        <v>-53654</v>
      </c>
      <c r="F22" s="77">
        <f>IF(C22=0,0,+E22/C22)</f>
        <v>-0.27420657229008022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113687</v>
      </c>
      <c r="D23" s="185">
        <v>80265</v>
      </c>
      <c r="E23" s="185">
        <f>+D23-C23</f>
        <v>-33422</v>
      </c>
      <c r="F23" s="77">
        <f>IF(C23=0,0,+E23/C23)</f>
        <v>-0.29398260135283716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213364</v>
      </c>
      <c r="D24" s="185">
        <v>255038</v>
      </c>
      <c r="E24" s="185">
        <f>+D24-C24</f>
        <v>41674</v>
      </c>
      <c r="F24" s="77">
        <f>IF(C24=0,0,+E24/C24)</f>
        <v>0.1953187979227986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522721</v>
      </c>
      <c r="D25" s="79">
        <f>+D22+D23+D24</f>
        <v>477319</v>
      </c>
      <c r="E25" s="79">
        <f>+E22+E23+E24</f>
        <v>-45402</v>
      </c>
      <c r="F25" s="80">
        <f>IF(C25=0,0,+E25/C25)</f>
        <v>-8.6857042284507413E-2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450</v>
      </c>
      <c r="D27" s="185">
        <v>280</v>
      </c>
      <c r="E27" s="185">
        <f>+D27-C27</f>
        <v>-170</v>
      </c>
      <c r="F27" s="77">
        <f>IF(C27=0,0,+E27/C27)</f>
        <v>-0.37777777777777777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98</v>
      </c>
      <c r="D28" s="185">
        <v>62</v>
      </c>
      <c r="E28" s="185">
        <f>+D28-C28</f>
        <v>-36</v>
      </c>
      <c r="F28" s="77">
        <f>IF(C28=0,0,+E28/C28)</f>
        <v>-0.36734693877551022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220</v>
      </c>
      <c r="D29" s="185">
        <v>81</v>
      </c>
      <c r="E29" s="185">
        <f>+D29-C29</f>
        <v>-139</v>
      </c>
      <c r="F29" s="77">
        <f>IF(C29=0,0,+E29/C29)</f>
        <v>-0.63181818181818183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779</v>
      </c>
      <c r="D30" s="185">
        <v>377</v>
      </c>
      <c r="E30" s="185">
        <f>+D30-C30</f>
        <v>-402</v>
      </c>
      <c r="F30" s="77">
        <f>IF(C30=0,0,+E30/C30)</f>
        <v>-0.5160462130937099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934365</v>
      </c>
      <c r="D33" s="76">
        <v>593580</v>
      </c>
      <c r="E33" s="76">
        <f>+D33-C33</f>
        <v>-340785</v>
      </c>
      <c r="F33" s="77">
        <f>IF(C33=0,0,+E33/C33)</f>
        <v>-0.36472363583824308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945992</v>
      </c>
      <c r="D34" s="185">
        <v>2063409</v>
      </c>
      <c r="E34" s="185">
        <f>+D34-C34</f>
        <v>1117417</v>
      </c>
      <c r="F34" s="77">
        <f>IF(C34=0,0,+E34/C34)</f>
        <v>1.1812118918553223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1270155</v>
      </c>
      <c r="D35" s="185">
        <v>1436669</v>
      </c>
      <c r="E35" s="185">
        <f>+D35-C35</f>
        <v>166514</v>
      </c>
      <c r="F35" s="77">
        <f>IF(C35=0,0,+E35/C35)</f>
        <v>0.13109738575213262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3150512</v>
      </c>
      <c r="D36" s="79">
        <f>+D33+D34+D35</f>
        <v>4093658</v>
      </c>
      <c r="E36" s="79">
        <f>+E33+E34+E35</f>
        <v>943146</v>
      </c>
      <c r="F36" s="80">
        <f>IF(C36=0,0,+E36/C36)</f>
        <v>0.29936277024178926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522721</v>
      </c>
      <c r="D39" s="76">
        <f>+D25</f>
        <v>477319</v>
      </c>
      <c r="E39" s="76">
        <f>+D39-C39</f>
        <v>-45402</v>
      </c>
      <c r="F39" s="77">
        <f>IF(C39=0,0,+E39/C39)</f>
        <v>-8.6857042284507413E-2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3150512</v>
      </c>
      <c r="D40" s="185">
        <f>+D36</f>
        <v>4093658</v>
      </c>
      <c r="E40" s="185">
        <f>+D40-C40</f>
        <v>943146</v>
      </c>
      <c r="F40" s="77">
        <f>IF(C40=0,0,+E40/C40)</f>
        <v>0.29936277024178926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3673233</v>
      </c>
      <c r="D41" s="79">
        <f>+D39+D40</f>
        <v>4570977</v>
      </c>
      <c r="E41" s="79">
        <f>+E39+E40</f>
        <v>897744</v>
      </c>
      <c r="F41" s="80">
        <f>IF(C41=0,0,+E41/C41)</f>
        <v>0.24440159390923472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1130035</v>
      </c>
      <c r="D43" s="76">
        <f t="shared" si="0"/>
        <v>735596</v>
      </c>
      <c r="E43" s="76">
        <f>+D43-C43</f>
        <v>-394439</v>
      </c>
      <c r="F43" s="77">
        <f>IF(C43=0,0,+E43/C43)</f>
        <v>-0.34905025065595313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1059679</v>
      </c>
      <c r="D44" s="185">
        <f t="shared" si="0"/>
        <v>2143674</v>
      </c>
      <c r="E44" s="185">
        <f>+D44-C44</f>
        <v>1083995</v>
      </c>
      <c r="F44" s="77">
        <f>IF(C44=0,0,+E44/C44)</f>
        <v>1.0229465715561032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1483519</v>
      </c>
      <c r="D45" s="185">
        <f t="shared" si="0"/>
        <v>1691707</v>
      </c>
      <c r="E45" s="185">
        <f>+D45-C45</f>
        <v>208188</v>
      </c>
      <c r="F45" s="77">
        <f>IF(C45=0,0,+E45/C45)</f>
        <v>0.14033389528546653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3673233</v>
      </c>
      <c r="D46" s="79">
        <f>+D43+D44+D45</f>
        <v>4570977</v>
      </c>
      <c r="E46" s="79">
        <f>+E43+E44+E45</f>
        <v>897744</v>
      </c>
      <c r="F46" s="80">
        <f>IF(C46=0,0,+E46/C46)</f>
        <v>0.24440159390923472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FILING&amp;RDAY KIMBALL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82014227</v>
      </c>
      <c r="D15" s="76">
        <v>84758645</v>
      </c>
      <c r="E15" s="76">
        <f>+D15-C15</f>
        <v>2744418</v>
      </c>
      <c r="F15" s="77">
        <f>IF(C15=0,0,E15/C15)</f>
        <v>3.3462706415558853E-2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33732589</v>
      </c>
      <c r="D17" s="76">
        <v>39787832</v>
      </c>
      <c r="E17" s="76">
        <f>+D17-C17</f>
        <v>6055243</v>
      </c>
      <c r="F17" s="77">
        <f>IF(C17=0,0,E17/C17)</f>
        <v>0.17950721185379515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48281638</v>
      </c>
      <c r="D19" s="79">
        <f>+D15-D17</f>
        <v>44970813</v>
      </c>
      <c r="E19" s="79">
        <f>+D19-C19</f>
        <v>-3310825</v>
      </c>
      <c r="F19" s="80">
        <f>IF(C19=0,0,E19/C19)</f>
        <v>-6.8573170611982967E-2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0.41130167574462417</v>
      </c>
      <c r="D21" s="720">
        <f>IF(D15=0,0,D17/D15)</f>
        <v>0.4694250598272306</v>
      </c>
      <c r="E21" s="720">
        <f>+D21-C21</f>
        <v>5.8123384082606422E-2</v>
      </c>
      <c r="F21" s="80">
        <f>IF(C21=0,0,E21/C21)</f>
        <v>0.14131569966832577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FILING&amp;R&amp;12DAY KIMBALL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H10" sqref="H10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63684617</v>
      </c>
      <c r="D10" s="744">
        <v>64417573</v>
      </c>
      <c r="E10" s="744">
        <v>71986696</v>
      </c>
    </row>
    <row r="11" spans="1:6" ht="26.1" customHeight="1" x14ac:dyDescent="0.25">
      <c r="A11" s="742">
        <v>2</v>
      </c>
      <c r="B11" s="743" t="s">
        <v>931</v>
      </c>
      <c r="C11" s="744">
        <v>153064782</v>
      </c>
      <c r="D11" s="744">
        <v>160450429</v>
      </c>
      <c r="E11" s="744">
        <v>171581152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216749399</v>
      </c>
      <c r="D12" s="744">
        <f>+D11+D10</f>
        <v>224868002</v>
      </c>
      <c r="E12" s="744">
        <f>+E11+E10</f>
        <v>243567848</v>
      </c>
    </row>
    <row r="13" spans="1:6" ht="26.1" customHeight="1" x14ac:dyDescent="0.25">
      <c r="A13" s="742">
        <v>4</v>
      </c>
      <c r="B13" s="743" t="s">
        <v>506</v>
      </c>
      <c r="C13" s="744">
        <v>104649330</v>
      </c>
      <c r="D13" s="744">
        <v>104847336</v>
      </c>
      <c r="E13" s="744">
        <v>106271224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110624592</v>
      </c>
      <c r="D16" s="744">
        <v>109004882</v>
      </c>
      <c r="E16" s="744">
        <v>111527723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16124</v>
      </c>
      <c r="D19" s="747">
        <v>16844</v>
      </c>
      <c r="E19" s="747">
        <v>16760</v>
      </c>
    </row>
    <row r="20" spans="1:5" ht="26.1" customHeight="1" x14ac:dyDescent="0.25">
      <c r="A20" s="742">
        <v>2</v>
      </c>
      <c r="B20" s="743" t="s">
        <v>381</v>
      </c>
      <c r="C20" s="748">
        <v>4331</v>
      </c>
      <c r="D20" s="748">
        <v>4511</v>
      </c>
      <c r="E20" s="748">
        <v>4451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3.7229277303163242</v>
      </c>
      <c r="D21" s="749">
        <f>IF(D20=0,0,+D19/D20)</f>
        <v>3.7339835956550655</v>
      </c>
      <c r="E21" s="749">
        <f>IF(E20=0,0,+E19/E20)</f>
        <v>3.7654459671983824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54877.731453986766</v>
      </c>
      <c r="D22" s="748">
        <f>IF(D10=0,0,D19*(D12/D10))</f>
        <v>58798.809847865581</v>
      </c>
      <c r="E22" s="748">
        <f>IF(E10=0,0,E19*(E12/E10))</f>
        <v>56707.660711084725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14740.477234384562</v>
      </c>
      <c r="D23" s="748">
        <f>IF(D10=0,0,D20*(D12/D10))</f>
        <v>15746.938448333034</v>
      </c>
      <c r="E23" s="748">
        <f>IF(E10=0,0,E20*(E12/E10))</f>
        <v>15060.011803403229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1.0683783652736087</v>
      </c>
      <c r="D26" s="750">
        <v>1.034710330303702</v>
      </c>
      <c r="E26" s="750">
        <v>1.1618387104021566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17226.532761671668</v>
      </c>
      <c r="D27" s="748">
        <f>D19*D26</f>
        <v>17428.660803635557</v>
      </c>
      <c r="E27" s="748">
        <f>E19*E26</f>
        <v>19472.416786340145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4627.1466999999993</v>
      </c>
      <c r="D28" s="748">
        <f>D20*D26</f>
        <v>4667.5782999999992</v>
      </c>
      <c r="E28" s="748">
        <f>E20*E26</f>
        <v>5171.3440999999993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58630.181020734482</v>
      </c>
      <c r="D29" s="748">
        <f>D22*D26</f>
        <v>60839.735959149562</v>
      </c>
      <c r="E29" s="748">
        <f>E22*E26</f>
        <v>65885.155390489716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15748.406971024624</v>
      </c>
      <c r="D30" s="748">
        <f>D23*D26</f>
        <v>16293.519883146737</v>
      </c>
      <c r="E30" s="748">
        <f>E23*E26</f>
        <v>17497.304692307265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13442.656846936245</v>
      </c>
      <c r="D33" s="744">
        <f>IF(D19=0,0,D12/D19)</f>
        <v>13350.035739729281</v>
      </c>
      <c r="E33" s="744">
        <f>IF(E19=0,0,E12/E19)</f>
        <v>14532.68782816229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50046.039944585544</v>
      </c>
      <c r="D34" s="744">
        <f>IF(D20=0,0,D12/D20)</f>
        <v>49848.81445355797</v>
      </c>
      <c r="E34" s="744">
        <f>IF(E20=0,0,E12/E20)</f>
        <v>54722.05077510672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3949.6785537087567</v>
      </c>
      <c r="D35" s="744">
        <f>IF(D22=0,0,D12/D22)</f>
        <v>3824.3631560199478</v>
      </c>
      <c r="E35" s="744">
        <f>IF(E22=0,0,E12/E22)</f>
        <v>4295.1489260143198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14704.367813438004</v>
      </c>
      <c r="D36" s="744">
        <f>IF(D23=0,0,D12/D23)</f>
        <v>14280.109288406118</v>
      </c>
      <c r="E36" s="744">
        <f>IF(E23=0,0,E12/E23)</f>
        <v>16173.151201977083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3696.8911783394778</v>
      </c>
      <c r="D37" s="744">
        <f>IF(D29=0,0,D12/D29)</f>
        <v>3696.0713003584719</v>
      </c>
      <c r="E37" s="744">
        <f>IF(E29=0,0,E12/E29)</f>
        <v>3696.8547248073751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13763.258683801834</v>
      </c>
      <c r="D38" s="744">
        <f>IF(D30=0,0,D12/D30)</f>
        <v>13801.069603910022</v>
      </c>
      <c r="E38" s="744">
        <f>IF(E30=0,0,E12/E30)</f>
        <v>13920.306714844213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1160.4819534750179</v>
      </c>
      <c r="D39" s="744">
        <f>IF(D22=0,0,D10/D22)</f>
        <v>1095.5591306469</v>
      </c>
      <c r="E39" s="744">
        <f>IF(E22=0,0,E10/E22)</f>
        <v>1269.4351185946321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4320.3904451238031</v>
      </c>
      <c r="D40" s="744">
        <f>IF(D23=0,0,D10/D23)</f>
        <v>4090.7998219056494</v>
      </c>
      <c r="E40" s="744">
        <f>IF(E23=0,0,E10/E23)</f>
        <v>4779.9893479321572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6490.2834284296705</v>
      </c>
      <c r="D43" s="744">
        <f>IF(D19=0,0,D13/D19)</f>
        <v>6224.6103063405371</v>
      </c>
      <c r="E43" s="744">
        <f>IF(E19=0,0,E13/E19)</f>
        <v>6340.7651551312647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24162.856153313322</v>
      </c>
      <c r="D44" s="744">
        <f>IF(D20=0,0,D13/D20)</f>
        <v>23242.592773221015</v>
      </c>
      <c r="E44" s="744">
        <f>IF(E20=0,0,E13/E20)</f>
        <v>23875.808582341047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1906.9543734282299</v>
      </c>
      <c r="D45" s="744">
        <f>IF(D22=0,0,D13/D22)</f>
        <v>1783.1540514387809</v>
      </c>
      <c r="E45" s="744">
        <f>IF(E22=0,0,E13/E22)</f>
        <v>1874.0188303910588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7099.4533172839483</v>
      </c>
      <c r="D46" s="744">
        <f>IF(D23=0,0,D13/D23)</f>
        <v>6658.2679765982766</v>
      </c>
      <c r="E46" s="744">
        <f>IF(E23=0,0,E13/E23)</f>
        <v>7056.5166473498421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1784.905456167548</v>
      </c>
      <c r="D47" s="744">
        <f>IF(D29=0,0,D13/D29)</f>
        <v>1723.3364732285993</v>
      </c>
      <c r="E47" s="744">
        <f>IF(E29=0,0,E13/E29)</f>
        <v>1612.9767528079606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6645.0740187590727</v>
      </c>
      <c r="D48" s="744">
        <f>IF(D30=0,0,D13/D30)</f>
        <v>6434.9101208296452</v>
      </c>
      <c r="E48" s="744">
        <f>IF(E30=0,0,E13/E30)</f>
        <v>6073.5768090454767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6860.8652939717194</v>
      </c>
      <c r="D51" s="744">
        <f>IF(D19=0,0,D16/D19)</f>
        <v>6471.4368321063885</v>
      </c>
      <c r="E51" s="744">
        <f>IF(E19=0,0,E16/E19)</f>
        <v>6654.3987470167067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25542.505656892172</v>
      </c>
      <c r="D52" s="744">
        <f>IF(D20=0,0,D16/D20)</f>
        <v>24164.238971403236</v>
      </c>
      <c r="E52" s="744">
        <f>IF(E20=0,0,E16/E20)</f>
        <v>25056.778926084025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2015.837555033688</v>
      </c>
      <c r="D53" s="744">
        <f>IF(D22=0,0,D16/D22)</f>
        <v>1853.8620472427287</v>
      </c>
      <c r="E53" s="744">
        <f>IF(E22=0,0,E16/E22)</f>
        <v>1966.7135198578121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7504.8175334479765</v>
      </c>
      <c r="D54" s="744">
        <f>IF(D23=0,0,D16/D23)</f>
        <v>6922.2904730118653</v>
      </c>
      <c r="E54" s="744">
        <f>IF(E23=0,0,E16/E23)</f>
        <v>7405.5534919831343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1886.8198950448025</v>
      </c>
      <c r="D55" s="744">
        <f>IF(D29=0,0,D16/D29)</f>
        <v>1791.6725028719816</v>
      </c>
      <c r="E55" s="744">
        <f>IF(E29=0,0,E16/E29)</f>
        <v>1692.7595046106337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7024.4941093748312</v>
      </c>
      <c r="D56" s="744">
        <f>IF(D30=0,0,D16/D30)</f>
        <v>6690.0757345102338</v>
      </c>
      <c r="E56" s="744">
        <f>IF(E30=0,0,E16/E30)</f>
        <v>6373.9944500728416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17402531</v>
      </c>
      <c r="D59" s="752">
        <v>16787759</v>
      </c>
      <c r="E59" s="752">
        <v>16595516</v>
      </c>
    </row>
    <row r="60" spans="1:6" ht="26.1" customHeight="1" x14ac:dyDescent="0.25">
      <c r="A60" s="742">
        <v>2</v>
      </c>
      <c r="B60" s="743" t="s">
        <v>967</v>
      </c>
      <c r="C60" s="752">
        <v>6244691</v>
      </c>
      <c r="D60" s="752">
        <v>6015407</v>
      </c>
      <c r="E60" s="752">
        <v>5698238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23647222</v>
      </c>
      <c r="D61" s="755">
        <f>D59+D60</f>
        <v>22803166</v>
      </c>
      <c r="E61" s="755">
        <f>E59+E60</f>
        <v>22293754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1443401</v>
      </c>
      <c r="D64" s="744">
        <v>1080913</v>
      </c>
      <c r="E64" s="752">
        <v>954964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517947</v>
      </c>
      <c r="D65" s="752">
        <v>387314</v>
      </c>
      <c r="E65" s="752">
        <v>327897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1961348</v>
      </c>
      <c r="D66" s="757">
        <f>D64+D65</f>
        <v>1468227</v>
      </c>
      <c r="E66" s="757">
        <f>E64+E65</f>
        <v>1282861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28859814</v>
      </c>
      <c r="D69" s="752">
        <v>29778061</v>
      </c>
      <c r="E69" s="752">
        <v>29020212</v>
      </c>
    </row>
    <row r="70" spans="1:6" ht="26.1" customHeight="1" x14ac:dyDescent="0.25">
      <c r="A70" s="742">
        <v>2</v>
      </c>
      <c r="B70" s="743" t="s">
        <v>975</v>
      </c>
      <c r="C70" s="752">
        <v>10356001</v>
      </c>
      <c r="D70" s="752">
        <v>10670104</v>
      </c>
      <c r="E70" s="752">
        <v>9964383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39215815</v>
      </c>
      <c r="D71" s="755">
        <f>D69+D70</f>
        <v>40448165</v>
      </c>
      <c r="E71" s="755">
        <f>E69+E70</f>
        <v>38984595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47705746</v>
      </c>
      <c r="D75" s="744">
        <f t="shared" si="0"/>
        <v>47646733</v>
      </c>
      <c r="E75" s="744">
        <f t="shared" si="0"/>
        <v>46570692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17118639</v>
      </c>
      <c r="D76" s="744">
        <f t="shared" si="0"/>
        <v>17072825</v>
      </c>
      <c r="E76" s="744">
        <f t="shared" si="0"/>
        <v>15990518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64824385</v>
      </c>
      <c r="D77" s="757">
        <f>D75+D76</f>
        <v>64719558</v>
      </c>
      <c r="E77" s="757">
        <f>E75+E76</f>
        <v>62561210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284.10000000000002</v>
      </c>
      <c r="D80" s="749">
        <v>276.39999999999998</v>
      </c>
      <c r="E80" s="749">
        <v>271.10000000000002</v>
      </c>
    </row>
    <row r="81" spans="1:5" ht="26.1" customHeight="1" x14ac:dyDescent="0.25">
      <c r="A81" s="742">
        <v>2</v>
      </c>
      <c r="B81" s="743" t="s">
        <v>616</v>
      </c>
      <c r="C81" s="749">
        <v>5.6</v>
      </c>
      <c r="D81" s="749">
        <v>5</v>
      </c>
      <c r="E81" s="749">
        <v>4.2</v>
      </c>
    </row>
    <row r="82" spans="1:5" ht="26.1" customHeight="1" x14ac:dyDescent="0.25">
      <c r="A82" s="742">
        <v>3</v>
      </c>
      <c r="B82" s="743" t="s">
        <v>981</v>
      </c>
      <c r="C82" s="749">
        <v>517</v>
      </c>
      <c r="D82" s="749">
        <v>502.5</v>
      </c>
      <c r="E82" s="749">
        <v>482.8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806.7</v>
      </c>
      <c r="D83" s="759">
        <f>D80+D81+D82</f>
        <v>783.9</v>
      </c>
      <c r="E83" s="759">
        <f>E80+E81+E82</f>
        <v>758.1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61254.948961633221</v>
      </c>
      <c r="D86" s="752">
        <f>IF(D80=0,0,D59/D80)</f>
        <v>60737.188856729386</v>
      </c>
      <c r="E86" s="752">
        <f>IF(E80=0,0,E59/E80)</f>
        <v>61215.477683511614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21980.608940513903</v>
      </c>
      <c r="D87" s="752">
        <f>IF(D80=0,0,D60/D80)</f>
        <v>21763.411722141824</v>
      </c>
      <c r="E87" s="752">
        <f>IF(E80=0,0,E60/E80)</f>
        <v>21018.952416082626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83235.55790214712</v>
      </c>
      <c r="D88" s="755">
        <f>+D86+D87</f>
        <v>82500.600578871206</v>
      </c>
      <c r="E88" s="755">
        <f>+E86+E87</f>
        <v>82234.430099594232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257750.17857142858</v>
      </c>
      <c r="D91" s="744">
        <f>IF(D81=0,0,D64/D81)</f>
        <v>216182.6</v>
      </c>
      <c r="E91" s="744">
        <f>IF(E81=0,0,E64/E81)</f>
        <v>227372.38095238095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92490.535714285725</v>
      </c>
      <c r="D92" s="744">
        <f>IF(D81=0,0,D65/D81)</f>
        <v>77462.8</v>
      </c>
      <c r="E92" s="744">
        <f>IF(E81=0,0,E65/E81)</f>
        <v>78070.714285714275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350240.71428571432</v>
      </c>
      <c r="D93" s="757">
        <f>+D91+D92</f>
        <v>293645.40000000002</v>
      </c>
      <c r="E93" s="757">
        <f>+E91+E92</f>
        <v>305443.09523809521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55821.690522243713</v>
      </c>
      <c r="D96" s="752">
        <f>IF(D82=0,0,D69/D82)</f>
        <v>59259.822885572139</v>
      </c>
      <c r="E96" s="752">
        <f>IF(E82=0,0,E69/E82)</f>
        <v>60108.144159072079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20030.949709864602</v>
      </c>
      <c r="D97" s="752">
        <f>IF(D82=0,0,D70/D82)</f>
        <v>21234.037810945272</v>
      </c>
      <c r="E97" s="752">
        <f>IF(E82=0,0,E70/E82)</f>
        <v>20638.738608119304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75852.640232108315</v>
      </c>
      <c r="D98" s="757">
        <f>+D96+D97</f>
        <v>80493.860696517411</v>
      </c>
      <c r="E98" s="757">
        <f>+E96+E97</f>
        <v>80746.88276719139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59136.91087145159</v>
      </c>
      <c r="D101" s="744">
        <f>IF(D83=0,0,D75/D83)</f>
        <v>60781.646893736448</v>
      </c>
      <c r="E101" s="744">
        <f>IF(E83=0,0,E75/E83)</f>
        <v>61430.803324099725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21220.57642246188</v>
      </c>
      <c r="D102" s="761">
        <f>IF(D83=0,0,D76/D83)</f>
        <v>21779.340477101672</v>
      </c>
      <c r="E102" s="761">
        <f>IF(E83=0,0,E76/E83)</f>
        <v>21092.887481862552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80357.487293913466</v>
      </c>
      <c r="D103" s="757">
        <f>+D101+D102</f>
        <v>82560.98737083812</v>
      </c>
      <c r="E103" s="757">
        <f>+E101+E102</f>
        <v>82523.69080596228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4020.3662242619698</v>
      </c>
      <c r="D108" s="744">
        <f>IF(D19=0,0,D77/D19)</f>
        <v>3842.2914984564236</v>
      </c>
      <c r="E108" s="744">
        <f>IF(E19=0,0,E77/E19)</f>
        <v>3732.7690930787589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14967.532902332025</v>
      </c>
      <c r="D109" s="744">
        <f>IF(D20=0,0,D77/D20)</f>
        <v>14347.053424961206</v>
      </c>
      <c r="E109" s="744">
        <f>IF(E20=0,0,E77/E20)</f>
        <v>14055.540328016175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1181.2511793486433</v>
      </c>
      <c r="D110" s="744">
        <f>IF(D22=0,0,D77/D22)</f>
        <v>1100.6950339208158</v>
      </c>
      <c r="E110" s="744">
        <f>IF(E22=0,0,E77/E22)</f>
        <v>1103.2232544159783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4397.7127720659255</v>
      </c>
      <c r="D111" s="744">
        <f>IF(D23=0,0,D77/D23)</f>
        <v>4109.9772004793222</v>
      </c>
      <c r="E111" s="744">
        <f>IF(E23=0,0,E77/E23)</f>
        <v>4154.1275542601206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1105.6487268404467</v>
      </c>
      <c r="D112" s="744">
        <f>IF(D29=0,0,D77/D29)</f>
        <v>1063.7711847312341</v>
      </c>
      <c r="E112" s="744">
        <f>IF(E29=0,0,E77/E29)</f>
        <v>949.54940349173842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4116.2503051432377</v>
      </c>
      <c r="D113" s="744">
        <f>IF(D30=0,0,D77/D30)</f>
        <v>3972.1041533169832</v>
      </c>
      <c r="E113" s="744">
        <f>IF(E30=0,0,E77/E30)</f>
        <v>3575.4769720335953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FILING&amp;R&amp;"Arial,Bold"&amp;12DAY KIMBALL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224868002</v>
      </c>
      <c r="D12" s="76">
        <v>243567842</v>
      </c>
      <c r="E12" s="76">
        <f t="shared" ref="E12:E21" si="0">D12-C12</f>
        <v>18699840</v>
      </c>
      <c r="F12" s="77">
        <f t="shared" ref="F12:F21" si="1">IF(C12=0,0,E12/C12)</f>
        <v>8.3159185983250741E-2</v>
      </c>
    </row>
    <row r="13" spans="1:8" ht="23.1" customHeight="1" x14ac:dyDescent="0.2">
      <c r="A13" s="74">
        <v>2</v>
      </c>
      <c r="B13" s="75" t="s">
        <v>72</v>
      </c>
      <c r="C13" s="76">
        <v>116247340</v>
      </c>
      <c r="D13" s="76">
        <v>132647214</v>
      </c>
      <c r="E13" s="76">
        <f t="shared" si="0"/>
        <v>16399874</v>
      </c>
      <c r="F13" s="77">
        <f t="shared" si="1"/>
        <v>0.14107741304016075</v>
      </c>
    </row>
    <row r="14" spans="1:8" ht="23.1" customHeight="1" x14ac:dyDescent="0.2">
      <c r="A14" s="74">
        <v>3</v>
      </c>
      <c r="B14" s="75" t="s">
        <v>73</v>
      </c>
      <c r="C14" s="76">
        <v>522721</v>
      </c>
      <c r="D14" s="76">
        <v>477319</v>
      </c>
      <c r="E14" s="76">
        <f t="shared" si="0"/>
        <v>-45402</v>
      </c>
      <c r="F14" s="77">
        <f t="shared" si="1"/>
        <v>-8.6857042284507413E-2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108097941</v>
      </c>
      <c r="D16" s="79">
        <f>D12-D13-D14-D15</f>
        <v>110443309</v>
      </c>
      <c r="E16" s="79">
        <f t="shared" si="0"/>
        <v>2345368</v>
      </c>
      <c r="F16" s="80">
        <f t="shared" si="1"/>
        <v>2.169669448190507E-2</v>
      </c>
    </row>
    <row r="17" spans="1:7" ht="23.1" customHeight="1" x14ac:dyDescent="0.2">
      <c r="A17" s="74">
        <v>5</v>
      </c>
      <c r="B17" s="75" t="s">
        <v>76</v>
      </c>
      <c r="C17" s="76">
        <v>3250605</v>
      </c>
      <c r="D17" s="76">
        <v>4172085</v>
      </c>
      <c r="E17" s="76">
        <f t="shared" si="0"/>
        <v>921480</v>
      </c>
      <c r="F17" s="77">
        <f t="shared" si="1"/>
        <v>0.28347953688621041</v>
      </c>
      <c r="G17" s="65"/>
    </row>
    <row r="18" spans="1:7" ht="31.5" customHeight="1" x14ac:dyDescent="0.25">
      <c r="A18" s="71"/>
      <c r="B18" s="81" t="s">
        <v>77</v>
      </c>
      <c r="C18" s="79">
        <f>C16-C17</f>
        <v>104847336</v>
      </c>
      <c r="D18" s="79">
        <f>D16-D17</f>
        <v>106271224</v>
      </c>
      <c r="E18" s="79">
        <f t="shared" si="0"/>
        <v>1423888</v>
      </c>
      <c r="F18" s="80">
        <f t="shared" si="1"/>
        <v>1.3580583487595718E-2</v>
      </c>
    </row>
    <row r="19" spans="1:7" ht="23.1" customHeight="1" x14ac:dyDescent="0.2">
      <c r="A19" s="74">
        <v>6</v>
      </c>
      <c r="B19" s="75" t="s">
        <v>78</v>
      </c>
      <c r="C19" s="76">
        <v>6153524</v>
      </c>
      <c r="D19" s="76">
        <v>3119128</v>
      </c>
      <c r="E19" s="76">
        <f t="shared" si="0"/>
        <v>-3034396</v>
      </c>
      <c r="F19" s="77">
        <f t="shared" si="1"/>
        <v>-0.49311516457886573</v>
      </c>
      <c r="G19" s="65"/>
    </row>
    <row r="20" spans="1:7" ht="33" customHeight="1" x14ac:dyDescent="0.2">
      <c r="A20" s="74">
        <v>7</v>
      </c>
      <c r="B20" s="82" t="s">
        <v>79</v>
      </c>
      <c r="C20" s="76">
        <v>542228</v>
      </c>
      <c r="D20" s="76">
        <v>279620</v>
      </c>
      <c r="E20" s="76">
        <f t="shared" si="0"/>
        <v>-262608</v>
      </c>
      <c r="F20" s="77">
        <f t="shared" si="1"/>
        <v>-0.4843128720759533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111543088</v>
      </c>
      <c r="D21" s="79">
        <f>SUM(D18:D20)</f>
        <v>109669972</v>
      </c>
      <c r="E21" s="79">
        <f t="shared" si="0"/>
        <v>-1873116</v>
      </c>
      <c r="F21" s="80">
        <f t="shared" si="1"/>
        <v>-1.679275725269503E-2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47646733</v>
      </c>
      <c r="D24" s="76">
        <v>46570692</v>
      </c>
      <c r="E24" s="76">
        <f t="shared" ref="E24:E33" si="2">D24-C24</f>
        <v>-1076041</v>
      </c>
      <c r="F24" s="77">
        <f t="shared" ref="F24:F33" si="3">IF(C24=0,0,E24/C24)</f>
        <v>-2.2583730976896151E-2</v>
      </c>
    </row>
    <row r="25" spans="1:7" ht="23.1" customHeight="1" x14ac:dyDescent="0.2">
      <c r="A25" s="74">
        <v>2</v>
      </c>
      <c r="B25" s="75" t="s">
        <v>83</v>
      </c>
      <c r="C25" s="76">
        <v>17072825</v>
      </c>
      <c r="D25" s="76">
        <v>15990518</v>
      </c>
      <c r="E25" s="76">
        <f t="shared" si="2"/>
        <v>-1082307</v>
      </c>
      <c r="F25" s="77">
        <f t="shared" si="3"/>
        <v>-6.3393550862262102E-2</v>
      </c>
    </row>
    <row r="26" spans="1:7" ht="23.1" customHeight="1" x14ac:dyDescent="0.2">
      <c r="A26" s="74">
        <v>3</v>
      </c>
      <c r="B26" s="75" t="s">
        <v>84</v>
      </c>
      <c r="C26" s="76">
        <v>2525960</v>
      </c>
      <c r="D26" s="76">
        <v>2335350</v>
      </c>
      <c r="E26" s="76">
        <f t="shared" si="2"/>
        <v>-190610</v>
      </c>
      <c r="F26" s="77">
        <f t="shared" si="3"/>
        <v>-7.5460419009010432E-2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13187429</v>
      </c>
      <c r="D27" s="76">
        <v>14426253</v>
      </c>
      <c r="E27" s="76">
        <f t="shared" si="2"/>
        <v>1238824</v>
      </c>
      <c r="F27" s="77">
        <f t="shared" si="3"/>
        <v>9.3939766424524451E-2</v>
      </c>
    </row>
    <row r="28" spans="1:7" ht="23.1" customHeight="1" x14ac:dyDescent="0.2">
      <c r="A28" s="74">
        <v>5</v>
      </c>
      <c r="B28" s="75" t="s">
        <v>86</v>
      </c>
      <c r="C28" s="76">
        <v>5177041</v>
      </c>
      <c r="D28" s="76">
        <v>5804468</v>
      </c>
      <c r="E28" s="76">
        <f t="shared" si="2"/>
        <v>627427</v>
      </c>
      <c r="F28" s="77">
        <f t="shared" si="3"/>
        <v>0.1211941338691349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1343831</v>
      </c>
      <c r="D30" s="76">
        <v>1451212</v>
      </c>
      <c r="E30" s="76">
        <f t="shared" si="2"/>
        <v>107381</v>
      </c>
      <c r="F30" s="77">
        <f t="shared" si="3"/>
        <v>7.9906625163432013E-2</v>
      </c>
    </row>
    <row r="31" spans="1:7" ht="23.1" customHeight="1" x14ac:dyDescent="0.2">
      <c r="A31" s="74">
        <v>8</v>
      </c>
      <c r="B31" s="75" t="s">
        <v>89</v>
      </c>
      <c r="C31" s="76">
        <v>231502</v>
      </c>
      <c r="D31" s="76">
        <v>331712</v>
      </c>
      <c r="E31" s="76">
        <f t="shared" si="2"/>
        <v>100210</v>
      </c>
      <c r="F31" s="77">
        <f t="shared" si="3"/>
        <v>0.43286883050686387</v>
      </c>
    </row>
    <row r="32" spans="1:7" ht="23.1" customHeight="1" x14ac:dyDescent="0.2">
      <c r="A32" s="74">
        <v>9</v>
      </c>
      <c r="B32" s="75" t="s">
        <v>90</v>
      </c>
      <c r="C32" s="76">
        <v>21819561</v>
      </c>
      <c r="D32" s="76">
        <v>24617518</v>
      </c>
      <c r="E32" s="76">
        <f t="shared" si="2"/>
        <v>2797957</v>
      </c>
      <c r="F32" s="77">
        <f t="shared" si="3"/>
        <v>0.12823158999395085</v>
      </c>
    </row>
    <row r="33" spans="1:6" ht="23.1" customHeight="1" x14ac:dyDescent="0.25">
      <c r="A33" s="71"/>
      <c r="B33" s="78" t="s">
        <v>91</v>
      </c>
      <c r="C33" s="79">
        <f>SUM(C24:C32)</f>
        <v>109004882</v>
      </c>
      <c r="D33" s="79">
        <f>SUM(D24:D32)</f>
        <v>111527723</v>
      </c>
      <c r="E33" s="79">
        <f t="shared" si="2"/>
        <v>2522841</v>
      </c>
      <c r="F33" s="80">
        <f t="shared" si="3"/>
        <v>2.3144293665672697E-2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2538206</v>
      </c>
      <c r="D35" s="79">
        <f>+D21-D33</f>
        <v>-1857751</v>
      </c>
      <c r="E35" s="79">
        <f>D35-C35</f>
        <v>-4395957</v>
      </c>
      <c r="F35" s="80">
        <f>IF(C35=0,0,E35/C35)</f>
        <v>-1.7319149824718718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405541</v>
      </c>
      <c r="D38" s="76">
        <v>1022028</v>
      </c>
      <c r="E38" s="76">
        <f>D38-C38</f>
        <v>616487</v>
      </c>
      <c r="F38" s="77">
        <f>IF(C38=0,0,E38/C38)</f>
        <v>1.5201594906556921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258802</v>
      </c>
      <c r="E39" s="76">
        <f>D39-C39</f>
        <v>258802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113623</v>
      </c>
      <c r="D40" s="76">
        <v>0</v>
      </c>
      <c r="E40" s="76">
        <f>D40-C40</f>
        <v>-113623</v>
      </c>
      <c r="F40" s="77">
        <f>IF(C40=0,0,E40/C40)</f>
        <v>-1</v>
      </c>
    </row>
    <row r="41" spans="1:6" ht="23.1" customHeight="1" x14ac:dyDescent="0.25">
      <c r="A41" s="83"/>
      <c r="B41" s="78" t="s">
        <v>97</v>
      </c>
      <c r="C41" s="79">
        <f>SUM(C38:C40)</f>
        <v>519164</v>
      </c>
      <c r="D41" s="79">
        <f>SUM(D38:D40)</f>
        <v>1280830</v>
      </c>
      <c r="E41" s="79">
        <f>D41-C41</f>
        <v>761666</v>
      </c>
      <c r="F41" s="80">
        <f>IF(C41=0,0,E41/C41)</f>
        <v>1.4671009546116449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3057370</v>
      </c>
      <c r="D43" s="79">
        <f>D35+D41</f>
        <v>-576921</v>
      </c>
      <c r="E43" s="79">
        <f>D43-C43</f>
        <v>-3634291</v>
      </c>
      <c r="F43" s="80">
        <f>IF(C43=0,0,E43/C43)</f>
        <v>-1.1886984565165486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3057370</v>
      </c>
      <c r="D50" s="79">
        <f>D43+D48</f>
        <v>-576921</v>
      </c>
      <c r="E50" s="79">
        <f>D50-C50</f>
        <v>-3634291</v>
      </c>
      <c r="F50" s="80">
        <f>IF(C50=0,0,E50/C50)</f>
        <v>-1.1886984565165486</v>
      </c>
    </row>
    <row r="51" spans="1:6" ht="23.1" customHeight="1" x14ac:dyDescent="0.2">
      <c r="A51" s="85"/>
      <c r="B51" s="75" t="s">
        <v>104</v>
      </c>
      <c r="C51" s="76">
        <v>775833</v>
      </c>
      <c r="D51" s="76">
        <v>845833</v>
      </c>
      <c r="E51" s="76">
        <f>D51-C51</f>
        <v>70000</v>
      </c>
      <c r="F51" s="77">
        <f>IF(C51=0,0,E51/C51)</f>
        <v>9.0225602674802438E-2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FILING&amp;RDAY KIMBALL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4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26675745</v>
      </c>
      <c r="D14" s="113">
        <v>30445092</v>
      </c>
      <c r="E14" s="113">
        <f t="shared" ref="E14:E25" si="0">D14-C14</f>
        <v>3769347</v>
      </c>
      <c r="F14" s="114">
        <f t="shared" ref="F14:F25" si="1">IF(C14=0,0,E14/C14)</f>
        <v>0.14130240786152365</v>
      </c>
    </row>
    <row r="15" spans="1:6" x14ac:dyDescent="0.2">
      <c r="A15" s="115">
        <v>2</v>
      </c>
      <c r="B15" s="116" t="s">
        <v>114</v>
      </c>
      <c r="C15" s="113">
        <v>7331489</v>
      </c>
      <c r="D15" s="113">
        <v>9696585</v>
      </c>
      <c r="E15" s="113">
        <f t="shared" si="0"/>
        <v>2365096</v>
      </c>
      <c r="F15" s="114">
        <f t="shared" si="1"/>
        <v>0.32259422335626503</v>
      </c>
    </row>
    <row r="16" spans="1:6" x14ac:dyDescent="0.2">
      <c r="A16" s="115">
        <v>3</v>
      </c>
      <c r="B16" s="116" t="s">
        <v>115</v>
      </c>
      <c r="C16" s="113">
        <v>14650407</v>
      </c>
      <c r="D16" s="113">
        <v>15745951</v>
      </c>
      <c r="E16" s="113">
        <f t="shared" si="0"/>
        <v>1095544</v>
      </c>
      <c r="F16" s="114">
        <f t="shared" si="1"/>
        <v>7.4779082929231938E-2</v>
      </c>
    </row>
    <row r="17" spans="1:6" x14ac:dyDescent="0.2">
      <c r="A17" s="115">
        <v>4</v>
      </c>
      <c r="B17" s="116" t="s">
        <v>116</v>
      </c>
      <c r="C17" s="113">
        <v>103828</v>
      </c>
      <c r="D17" s="113">
        <v>280455</v>
      </c>
      <c r="E17" s="113">
        <f t="shared" si="0"/>
        <v>176627</v>
      </c>
      <c r="F17" s="114">
        <f t="shared" si="1"/>
        <v>1.7011499788111106</v>
      </c>
    </row>
    <row r="18" spans="1:6" x14ac:dyDescent="0.2">
      <c r="A18" s="115">
        <v>5</v>
      </c>
      <c r="B18" s="116" t="s">
        <v>117</v>
      </c>
      <c r="C18" s="113">
        <v>378115</v>
      </c>
      <c r="D18" s="113">
        <v>327155</v>
      </c>
      <c r="E18" s="113">
        <f t="shared" si="0"/>
        <v>-50960</v>
      </c>
      <c r="F18" s="114">
        <f t="shared" si="1"/>
        <v>-0.13477381219999207</v>
      </c>
    </row>
    <row r="19" spans="1:6" x14ac:dyDescent="0.2">
      <c r="A19" s="115">
        <v>6</v>
      </c>
      <c r="B19" s="116" t="s">
        <v>118</v>
      </c>
      <c r="C19" s="113">
        <v>14610787</v>
      </c>
      <c r="D19" s="113">
        <v>14548613</v>
      </c>
      <c r="E19" s="113">
        <f t="shared" si="0"/>
        <v>-62174</v>
      </c>
      <c r="F19" s="114">
        <f t="shared" si="1"/>
        <v>-4.2553491471746183E-3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382798</v>
      </c>
      <c r="E20" s="113">
        <f t="shared" si="0"/>
        <v>382798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196471</v>
      </c>
      <c r="D21" s="113">
        <v>200366</v>
      </c>
      <c r="E21" s="113">
        <f t="shared" si="0"/>
        <v>3895</v>
      </c>
      <c r="F21" s="114">
        <f t="shared" si="1"/>
        <v>1.9824808750400824E-2</v>
      </c>
    </row>
    <row r="22" spans="1:6" x14ac:dyDescent="0.2">
      <c r="A22" s="115">
        <v>9</v>
      </c>
      <c r="B22" s="116" t="s">
        <v>121</v>
      </c>
      <c r="C22" s="113">
        <v>470731</v>
      </c>
      <c r="D22" s="113">
        <v>359681</v>
      </c>
      <c r="E22" s="113">
        <f t="shared" si="0"/>
        <v>-111050</v>
      </c>
      <c r="F22" s="114">
        <f t="shared" si="1"/>
        <v>-0.23590968090055681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64417573</v>
      </c>
      <c r="D25" s="119">
        <f>SUM(D14:D24)</f>
        <v>71986696</v>
      </c>
      <c r="E25" s="119">
        <f t="shared" si="0"/>
        <v>7569123</v>
      </c>
      <c r="F25" s="120">
        <f t="shared" si="1"/>
        <v>0.11750090305327088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44697434</v>
      </c>
      <c r="D27" s="113">
        <v>50211493</v>
      </c>
      <c r="E27" s="113">
        <f t="shared" ref="E27:E38" si="2">D27-C27</f>
        <v>5514059</v>
      </c>
      <c r="F27" s="114">
        <f t="shared" ref="F27:F38" si="3">IF(C27=0,0,E27/C27)</f>
        <v>0.12336410631536476</v>
      </c>
    </row>
    <row r="28" spans="1:6" x14ac:dyDescent="0.2">
      <c r="A28" s="115">
        <v>2</v>
      </c>
      <c r="B28" s="116" t="s">
        <v>114</v>
      </c>
      <c r="C28" s="113">
        <v>13225441</v>
      </c>
      <c r="D28" s="113">
        <v>15254018</v>
      </c>
      <c r="E28" s="113">
        <f t="shared" si="2"/>
        <v>2028577</v>
      </c>
      <c r="F28" s="114">
        <f t="shared" si="3"/>
        <v>0.1533844504693643</v>
      </c>
    </row>
    <row r="29" spans="1:6" x14ac:dyDescent="0.2">
      <c r="A29" s="115">
        <v>3</v>
      </c>
      <c r="B29" s="116" t="s">
        <v>115</v>
      </c>
      <c r="C29" s="113">
        <v>34396241</v>
      </c>
      <c r="D29" s="113">
        <v>37584895</v>
      </c>
      <c r="E29" s="113">
        <f t="shared" si="2"/>
        <v>3188654</v>
      </c>
      <c r="F29" s="114">
        <f t="shared" si="3"/>
        <v>9.270356025241247E-2</v>
      </c>
    </row>
    <row r="30" spans="1:6" x14ac:dyDescent="0.2">
      <c r="A30" s="115">
        <v>4</v>
      </c>
      <c r="B30" s="116" t="s">
        <v>116</v>
      </c>
      <c r="C30" s="113">
        <v>292837</v>
      </c>
      <c r="D30" s="113">
        <v>509988</v>
      </c>
      <c r="E30" s="113">
        <f t="shared" si="2"/>
        <v>217151</v>
      </c>
      <c r="F30" s="114">
        <f t="shared" si="3"/>
        <v>0.7415422231480312</v>
      </c>
    </row>
    <row r="31" spans="1:6" x14ac:dyDescent="0.2">
      <c r="A31" s="115">
        <v>5</v>
      </c>
      <c r="B31" s="116" t="s">
        <v>117</v>
      </c>
      <c r="C31" s="113">
        <v>1102238</v>
      </c>
      <c r="D31" s="113">
        <v>1101740</v>
      </c>
      <c r="E31" s="113">
        <f t="shared" si="2"/>
        <v>-498</v>
      </c>
      <c r="F31" s="114">
        <f t="shared" si="3"/>
        <v>-4.5180804871543169E-4</v>
      </c>
    </row>
    <row r="32" spans="1:6" x14ac:dyDescent="0.2">
      <c r="A32" s="115">
        <v>6</v>
      </c>
      <c r="B32" s="116" t="s">
        <v>118</v>
      </c>
      <c r="C32" s="113">
        <v>62114873</v>
      </c>
      <c r="D32" s="113">
        <v>60837942</v>
      </c>
      <c r="E32" s="113">
        <f t="shared" si="2"/>
        <v>-1276931</v>
      </c>
      <c r="F32" s="114">
        <f t="shared" si="3"/>
        <v>-2.0557572419088743E-2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1571127</v>
      </c>
      <c r="E33" s="113">
        <f t="shared" si="2"/>
        <v>1571127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2095074</v>
      </c>
      <c r="D34" s="113">
        <v>2161780</v>
      </c>
      <c r="E34" s="113">
        <f t="shared" si="2"/>
        <v>66706</v>
      </c>
      <c r="F34" s="114">
        <f t="shared" si="3"/>
        <v>3.1839448153143997E-2</v>
      </c>
    </row>
    <row r="35" spans="1:6" x14ac:dyDescent="0.2">
      <c r="A35" s="115">
        <v>9</v>
      </c>
      <c r="B35" s="116" t="s">
        <v>121</v>
      </c>
      <c r="C35" s="113">
        <v>2526291</v>
      </c>
      <c r="D35" s="113">
        <v>2348169</v>
      </c>
      <c r="E35" s="113">
        <f t="shared" si="2"/>
        <v>-178122</v>
      </c>
      <c r="F35" s="114">
        <f t="shared" si="3"/>
        <v>-7.050731685304662E-2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160450429</v>
      </c>
      <c r="D38" s="119">
        <f>SUM(D27:D37)</f>
        <v>171581152</v>
      </c>
      <c r="E38" s="119">
        <f t="shared" si="2"/>
        <v>11130723</v>
      </c>
      <c r="F38" s="120">
        <f t="shared" si="3"/>
        <v>6.9371724771144117E-2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71373179</v>
      </c>
      <c r="D41" s="119">
        <f t="shared" si="4"/>
        <v>80656585</v>
      </c>
      <c r="E41" s="123">
        <f t="shared" ref="E41:E52" si="5">D41-C41</f>
        <v>9283406</v>
      </c>
      <c r="F41" s="124">
        <f t="shared" ref="F41:F52" si="6">IF(C41=0,0,E41/C41)</f>
        <v>0.13006855138118481</v>
      </c>
    </row>
    <row r="42" spans="1:6" ht="15.75" x14ac:dyDescent="0.25">
      <c r="A42" s="121">
        <v>2</v>
      </c>
      <c r="B42" s="122" t="s">
        <v>114</v>
      </c>
      <c r="C42" s="119">
        <f t="shared" si="4"/>
        <v>20556930</v>
      </c>
      <c r="D42" s="119">
        <f t="shared" si="4"/>
        <v>24950603</v>
      </c>
      <c r="E42" s="123">
        <f t="shared" si="5"/>
        <v>4393673</v>
      </c>
      <c r="F42" s="124">
        <f t="shared" si="6"/>
        <v>0.21373196289523777</v>
      </c>
    </row>
    <row r="43" spans="1:6" ht="15.75" x14ac:dyDescent="0.25">
      <c r="A43" s="121">
        <v>3</v>
      </c>
      <c r="B43" s="122" t="s">
        <v>115</v>
      </c>
      <c r="C43" s="119">
        <f t="shared" si="4"/>
        <v>49046648</v>
      </c>
      <c r="D43" s="119">
        <f t="shared" si="4"/>
        <v>53330846</v>
      </c>
      <c r="E43" s="123">
        <f t="shared" si="5"/>
        <v>4284198</v>
      </c>
      <c r="F43" s="124">
        <f t="shared" si="6"/>
        <v>8.7349455563201797E-2</v>
      </c>
    </row>
    <row r="44" spans="1:6" ht="15.75" x14ac:dyDescent="0.25">
      <c r="A44" s="121">
        <v>4</v>
      </c>
      <c r="B44" s="122" t="s">
        <v>116</v>
      </c>
      <c r="C44" s="119">
        <f t="shared" si="4"/>
        <v>396665</v>
      </c>
      <c r="D44" s="119">
        <f t="shared" si="4"/>
        <v>790443</v>
      </c>
      <c r="E44" s="123">
        <f t="shared" si="5"/>
        <v>393778</v>
      </c>
      <c r="F44" s="124">
        <f t="shared" si="6"/>
        <v>0.99272181815889982</v>
      </c>
    </row>
    <row r="45" spans="1:6" ht="15.75" x14ac:dyDescent="0.25">
      <c r="A45" s="121">
        <v>5</v>
      </c>
      <c r="B45" s="122" t="s">
        <v>117</v>
      </c>
      <c r="C45" s="119">
        <f t="shared" si="4"/>
        <v>1480353</v>
      </c>
      <c r="D45" s="119">
        <f t="shared" si="4"/>
        <v>1428895</v>
      </c>
      <c r="E45" s="123">
        <f t="shared" si="5"/>
        <v>-51458</v>
      </c>
      <c r="F45" s="124">
        <f t="shared" si="6"/>
        <v>-3.476062803939331E-2</v>
      </c>
    </row>
    <row r="46" spans="1:6" ht="15.75" x14ac:dyDescent="0.25">
      <c r="A46" s="121">
        <v>6</v>
      </c>
      <c r="B46" s="122" t="s">
        <v>118</v>
      </c>
      <c r="C46" s="119">
        <f t="shared" si="4"/>
        <v>76725660</v>
      </c>
      <c r="D46" s="119">
        <f t="shared" si="4"/>
        <v>75386555</v>
      </c>
      <c r="E46" s="123">
        <f t="shared" si="5"/>
        <v>-1339105</v>
      </c>
      <c r="F46" s="124">
        <f t="shared" si="6"/>
        <v>-1.7453157131525489E-2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1953925</v>
      </c>
      <c r="E47" s="123">
        <f t="shared" si="5"/>
        <v>1953925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2291545</v>
      </c>
      <c r="D48" s="119">
        <f t="shared" si="4"/>
        <v>2362146</v>
      </c>
      <c r="E48" s="123">
        <f t="shared" si="5"/>
        <v>70601</v>
      </c>
      <c r="F48" s="124">
        <f t="shared" si="6"/>
        <v>3.0809344787032331E-2</v>
      </c>
    </row>
    <row r="49" spans="1:6" ht="15.75" x14ac:dyDescent="0.25">
      <c r="A49" s="121">
        <v>9</v>
      </c>
      <c r="B49" s="122" t="s">
        <v>121</v>
      </c>
      <c r="C49" s="119">
        <f t="shared" si="4"/>
        <v>2997022</v>
      </c>
      <c r="D49" s="119">
        <f t="shared" si="4"/>
        <v>2707850</v>
      </c>
      <c r="E49" s="123">
        <f t="shared" si="5"/>
        <v>-289172</v>
      </c>
      <c r="F49" s="124">
        <f t="shared" si="6"/>
        <v>-9.6486445544944288E-2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224868002</v>
      </c>
      <c r="D52" s="128">
        <f>SUM(D41:D51)</f>
        <v>243567848</v>
      </c>
      <c r="E52" s="127">
        <f t="shared" si="5"/>
        <v>18699846</v>
      </c>
      <c r="F52" s="129">
        <f t="shared" si="6"/>
        <v>8.3159212665570803E-2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14187896</v>
      </c>
      <c r="D57" s="113">
        <v>14771644</v>
      </c>
      <c r="E57" s="113">
        <f t="shared" ref="E57:E68" si="7">D57-C57</f>
        <v>583748</v>
      </c>
      <c r="F57" s="114">
        <f t="shared" ref="F57:F68" si="8">IF(C57=0,0,E57/C57)</f>
        <v>4.1144085070823753E-2</v>
      </c>
    </row>
    <row r="58" spans="1:6" x14ac:dyDescent="0.2">
      <c r="A58" s="115">
        <v>2</v>
      </c>
      <c r="B58" s="116" t="s">
        <v>114</v>
      </c>
      <c r="C58" s="113">
        <v>3558134</v>
      </c>
      <c r="D58" s="113">
        <v>4121081</v>
      </c>
      <c r="E58" s="113">
        <f t="shared" si="7"/>
        <v>562947</v>
      </c>
      <c r="F58" s="114">
        <f t="shared" si="8"/>
        <v>0.15821410885593404</v>
      </c>
    </row>
    <row r="59" spans="1:6" x14ac:dyDescent="0.2">
      <c r="A59" s="115">
        <v>3</v>
      </c>
      <c r="B59" s="116" t="s">
        <v>115</v>
      </c>
      <c r="C59" s="113">
        <v>6239750</v>
      </c>
      <c r="D59" s="113">
        <v>5689897</v>
      </c>
      <c r="E59" s="113">
        <f t="shared" si="7"/>
        <v>-549853</v>
      </c>
      <c r="F59" s="114">
        <f t="shared" si="8"/>
        <v>-8.8120998437437398E-2</v>
      </c>
    </row>
    <row r="60" spans="1:6" x14ac:dyDescent="0.2">
      <c r="A60" s="115">
        <v>4</v>
      </c>
      <c r="B60" s="116" t="s">
        <v>116</v>
      </c>
      <c r="C60" s="113">
        <v>49610</v>
      </c>
      <c r="D60" s="113">
        <v>89117</v>
      </c>
      <c r="E60" s="113">
        <f t="shared" si="7"/>
        <v>39507</v>
      </c>
      <c r="F60" s="114">
        <f t="shared" si="8"/>
        <v>0.79635154202781699</v>
      </c>
    </row>
    <row r="61" spans="1:6" x14ac:dyDescent="0.2">
      <c r="A61" s="115">
        <v>5</v>
      </c>
      <c r="B61" s="116" t="s">
        <v>117</v>
      </c>
      <c r="C61" s="113">
        <v>110536</v>
      </c>
      <c r="D61" s="113">
        <v>103952</v>
      </c>
      <c r="E61" s="113">
        <f t="shared" si="7"/>
        <v>-6584</v>
      </c>
      <c r="F61" s="114">
        <f t="shared" si="8"/>
        <v>-5.9564304841861475E-2</v>
      </c>
    </row>
    <row r="62" spans="1:6" x14ac:dyDescent="0.2">
      <c r="A62" s="115">
        <v>6</v>
      </c>
      <c r="B62" s="116" t="s">
        <v>118</v>
      </c>
      <c r="C62" s="113">
        <v>8771124</v>
      </c>
      <c r="D62" s="113">
        <v>8900199</v>
      </c>
      <c r="E62" s="113">
        <f t="shared" si="7"/>
        <v>129075</v>
      </c>
      <c r="F62" s="114">
        <f t="shared" si="8"/>
        <v>1.4715901861608614E-2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175674</v>
      </c>
      <c r="E63" s="113">
        <f t="shared" si="7"/>
        <v>175674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93758</v>
      </c>
      <c r="D64" s="113">
        <v>173178</v>
      </c>
      <c r="E64" s="113">
        <f t="shared" si="7"/>
        <v>79420</v>
      </c>
      <c r="F64" s="114">
        <f t="shared" si="8"/>
        <v>0.84707438298598514</v>
      </c>
    </row>
    <row r="65" spans="1:6" x14ac:dyDescent="0.2">
      <c r="A65" s="115">
        <v>9</v>
      </c>
      <c r="B65" s="116" t="s">
        <v>121</v>
      </c>
      <c r="C65" s="113">
        <v>5560</v>
      </c>
      <c r="D65" s="113">
        <v>3422</v>
      </c>
      <c r="E65" s="113">
        <f t="shared" si="7"/>
        <v>-2138</v>
      </c>
      <c r="F65" s="114">
        <f t="shared" si="8"/>
        <v>-0.38453237410071944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33016368</v>
      </c>
      <c r="D68" s="119">
        <f>SUM(D57:D67)</f>
        <v>34028164</v>
      </c>
      <c r="E68" s="119">
        <f t="shared" si="7"/>
        <v>1011796</v>
      </c>
      <c r="F68" s="120">
        <f t="shared" si="8"/>
        <v>3.0645284787230383E-2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17439188</v>
      </c>
      <c r="D70" s="113">
        <v>17732393</v>
      </c>
      <c r="E70" s="113">
        <f t="shared" ref="E70:E81" si="9">D70-C70</f>
        <v>293205</v>
      </c>
      <c r="F70" s="114">
        <f t="shared" ref="F70:F81" si="10">IF(C70=0,0,E70/C70)</f>
        <v>1.6812996109681254E-2</v>
      </c>
    </row>
    <row r="71" spans="1:6" x14ac:dyDescent="0.2">
      <c r="A71" s="115">
        <v>2</v>
      </c>
      <c r="B71" s="116" t="s">
        <v>114</v>
      </c>
      <c r="C71" s="113">
        <v>4541100</v>
      </c>
      <c r="D71" s="113">
        <v>4754446</v>
      </c>
      <c r="E71" s="113">
        <f t="shared" si="9"/>
        <v>213346</v>
      </c>
      <c r="F71" s="114">
        <f t="shared" si="10"/>
        <v>4.6981127920547885E-2</v>
      </c>
    </row>
    <row r="72" spans="1:6" x14ac:dyDescent="0.2">
      <c r="A72" s="115">
        <v>3</v>
      </c>
      <c r="B72" s="116" t="s">
        <v>115</v>
      </c>
      <c r="C72" s="113">
        <v>10551689</v>
      </c>
      <c r="D72" s="113">
        <v>11618531</v>
      </c>
      <c r="E72" s="113">
        <f t="shared" si="9"/>
        <v>1066842</v>
      </c>
      <c r="F72" s="114">
        <f t="shared" si="10"/>
        <v>0.10110627786698415</v>
      </c>
    </row>
    <row r="73" spans="1:6" x14ac:dyDescent="0.2">
      <c r="A73" s="115">
        <v>4</v>
      </c>
      <c r="B73" s="116" t="s">
        <v>116</v>
      </c>
      <c r="C73" s="113">
        <v>75990</v>
      </c>
      <c r="D73" s="113">
        <v>144634</v>
      </c>
      <c r="E73" s="113">
        <f t="shared" si="9"/>
        <v>68644</v>
      </c>
      <c r="F73" s="114">
        <f t="shared" si="10"/>
        <v>0.90332938544545338</v>
      </c>
    </row>
    <row r="74" spans="1:6" x14ac:dyDescent="0.2">
      <c r="A74" s="115">
        <v>5</v>
      </c>
      <c r="B74" s="116" t="s">
        <v>117</v>
      </c>
      <c r="C74" s="113">
        <v>329460</v>
      </c>
      <c r="D74" s="113">
        <v>342063</v>
      </c>
      <c r="E74" s="113">
        <f t="shared" si="9"/>
        <v>12603</v>
      </c>
      <c r="F74" s="114">
        <f t="shared" si="10"/>
        <v>3.825350573665999E-2</v>
      </c>
    </row>
    <row r="75" spans="1:6" x14ac:dyDescent="0.2">
      <c r="A75" s="115">
        <v>6</v>
      </c>
      <c r="B75" s="116" t="s">
        <v>118</v>
      </c>
      <c r="C75" s="113">
        <v>37994481</v>
      </c>
      <c r="D75" s="113">
        <v>33757247</v>
      </c>
      <c r="E75" s="113">
        <f t="shared" si="9"/>
        <v>-4237234</v>
      </c>
      <c r="F75" s="114">
        <f t="shared" si="10"/>
        <v>-0.11152235504940836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455358</v>
      </c>
      <c r="E76" s="113">
        <f t="shared" si="9"/>
        <v>455358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1385941</v>
      </c>
      <c r="D77" s="113">
        <v>1460607</v>
      </c>
      <c r="E77" s="113">
        <f t="shared" si="9"/>
        <v>74666</v>
      </c>
      <c r="F77" s="114">
        <f t="shared" si="10"/>
        <v>5.3873866203539691E-2</v>
      </c>
    </row>
    <row r="78" spans="1:6" x14ac:dyDescent="0.2">
      <c r="A78" s="115">
        <v>9</v>
      </c>
      <c r="B78" s="116" t="s">
        <v>121</v>
      </c>
      <c r="C78" s="113">
        <v>30774</v>
      </c>
      <c r="D78" s="113">
        <v>22564</v>
      </c>
      <c r="E78" s="113">
        <f t="shared" si="9"/>
        <v>-8210</v>
      </c>
      <c r="F78" s="114">
        <f t="shared" si="10"/>
        <v>-0.26678364853447717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72348623</v>
      </c>
      <c r="D81" s="119">
        <f>SUM(D70:D80)</f>
        <v>70287843</v>
      </c>
      <c r="E81" s="119">
        <f t="shared" si="9"/>
        <v>-2060780</v>
      </c>
      <c r="F81" s="120">
        <f t="shared" si="10"/>
        <v>-2.8484025190085513E-2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31627084</v>
      </c>
      <c r="D84" s="119">
        <f t="shared" si="11"/>
        <v>32504037</v>
      </c>
      <c r="E84" s="119">
        <f t="shared" ref="E84:E95" si="12">D84-C84</f>
        <v>876953</v>
      </c>
      <c r="F84" s="120">
        <f t="shared" ref="F84:F95" si="13">IF(C84=0,0,E84/C84)</f>
        <v>2.7727911937755628E-2</v>
      </c>
    </row>
    <row r="85" spans="1:6" ht="15.75" x14ac:dyDescent="0.25">
      <c r="A85" s="130">
        <v>2</v>
      </c>
      <c r="B85" s="122" t="s">
        <v>114</v>
      </c>
      <c r="C85" s="119">
        <f t="shared" si="11"/>
        <v>8099234</v>
      </c>
      <c r="D85" s="119">
        <f t="shared" si="11"/>
        <v>8875527</v>
      </c>
      <c r="E85" s="119">
        <f t="shared" si="12"/>
        <v>776293</v>
      </c>
      <c r="F85" s="120">
        <f t="shared" si="13"/>
        <v>9.5847706091711879E-2</v>
      </c>
    </row>
    <row r="86" spans="1:6" ht="15.75" x14ac:dyDescent="0.25">
      <c r="A86" s="130">
        <v>3</v>
      </c>
      <c r="B86" s="122" t="s">
        <v>115</v>
      </c>
      <c r="C86" s="119">
        <f t="shared" si="11"/>
        <v>16791439</v>
      </c>
      <c r="D86" s="119">
        <f t="shared" si="11"/>
        <v>17308428</v>
      </c>
      <c r="E86" s="119">
        <f t="shared" si="12"/>
        <v>516989</v>
      </c>
      <c r="F86" s="120">
        <f t="shared" si="13"/>
        <v>3.0788844243783989E-2</v>
      </c>
    </row>
    <row r="87" spans="1:6" ht="15.75" x14ac:dyDescent="0.25">
      <c r="A87" s="130">
        <v>4</v>
      </c>
      <c r="B87" s="122" t="s">
        <v>116</v>
      </c>
      <c r="C87" s="119">
        <f t="shared" si="11"/>
        <v>125600</v>
      </c>
      <c r="D87" s="119">
        <f t="shared" si="11"/>
        <v>233751</v>
      </c>
      <c r="E87" s="119">
        <f t="shared" si="12"/>
        <v>108151</v>
      </c>
      <c r="F87" s="120">
        <f t="shared" si="13"/>
        <v>0.86107484076433116</v>
      </c>
    </row>
    <row r="88" spans="1:6" ht="15.75" x14ac:dyDescent="0.25">
      <c r="A88" s="130">
        <v>5</v>
      </c>
      <c r="B88" s="122" t="s">
        <v>117</v>
      </c>
      <c r="C88" s="119">
        <f t="shared" si="11"/>
        <v>439996</v>
      </c>
      <c r="D88" s="119">
        <f t="shared" si="11"/>
        <v>446015</v>
      </c>
      <c r="E88" s="119">
        <f t="shared" si="12"/>
        <v>6019</v>
      </c>
      <c r="F88" s="120">
        <f t="shared" si="13"/>
        <v>1.3679669815180137E-2</v>
      </c>
    </row>
    <row r="89" spans="1:6" ht="15.75" x14ac:dyDescent="0.25">
      <c r="A89" s="130">
        <v>6</v>
      </c>
      <c r="B89" s="122" t="s">
        <v>118</v>
      </c>
      <c r="C89" s="119">
        <f t="shared" si="11"/>
        <v>46765605</v>
      </c>
      <c r="D89" s="119">
        <f t="shared" si="11"/>
        <v>42657446</v>
      </c>
      <c r="E89" s="119">
        <f t="shared" si="12"/>
        <v>-4108159</v>
      </c>
      <c r="F89" s="120">
        <f t="shared" si="13"/>
        <v>-8.7845736198644275E-2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631032</v>
      </c>
      <c r="E90" s="119">
        <f t="shared" si="12"/>
        <v>631032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1479699</v>
      </c>
      <c r="D91" s="119">
        <f t="shared" si="11"/>
        <v>1633785</v>
      </c>
      <c r="E91" s="119">
        <f t="shared" si="12"/>
        <v>154086</v>
      </c>
      <c r="F91" s="120">
        <f t="shared" si="13"/>
        <v>0.10413334063211505</v>
      </c>
    </row>
    <row r="92" spans="1:6" ht="15.75" x14ac:dyDescent="0.25">
      <c r="A92" s="130">
        <v>9</v>
      </c>
      <c r="B92" s="122" t="s">
        <v>121</v>
      </c>
      <c r="C92" s="119">
        <f t="shared" si="11"/>
        <v>36334</v>
      </c>
      <c r="D92" s="119">
        <f t="shared" si="11"/>
        <v>25986</v>
      </c>
      <c r="E92" s="119">
        <f t="shared" si="12"/>
        <v>-10348</v>
      </c>
      <c r="F92" s="120">
        <f t="shared" si="13"/>
        <v>-0.28480211372268399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105364991</v>
      </c>
      <c r="D95" s="128">
        <f>SUM(D84:D94)</f>
        <v>104316007</v>
      </c>
      <c r="E95" s="128">
        <f t="shared" si="12"/>
        <v>-1048984</v>
      </c>
      <c r="F95" s="129">
        <f t="shared" si="13"/>
        <v>-9.9557166953110638E-3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1393</v>
      </c>
      <c r="D100" s="133">
        <v>1597</v>
      </c>
      <c r="E100" s="133">
        <f t="shared" ref="E100:E111" si="14">D100-C100</f>
        <v>204</v>
      </c>
      <c r="F100" s="114">
        <f t="shared" ref="F100:F111" si="15">IF(C100=0,0,E100/C100)</f>
        <v>0.14644651830581479</v>
      </c>
    </row>
    <row r="101" spans="1:6" x14ac:dyDescent="0.2">
      <c r="A101" s="115">
        <v>2</v>
      </c>
      <c r="B101" s="116" t="s">
        <v>114</v>
      </c>
      <c r="C101" s="133">
        <v>411</v>
      </c>
      <c r="D101" s="133">
        <v>508</v>
      </c>
      <c r="E101" s="133">
        <f t="shared" si="14"/>
        <v>97</v>
      </c>
      <c r="F101" s="114">
        <f t="shared" si="15"/>
        <v>0.23600973236009731</v>
      </c>
    </row>
    <row r="102" spans="1:6" x14ac:dyDescent="0.2">
      <c r="A102" s="115">
        <v>3</v>
      </c>
      <c r="B102" s="116" t="s">
        <v>115</v>
      </c>
      <c r="C102" s="133">
        <v>940</v>
      </c>
      <c r="D102" s="133">
        <v>1237</v>
      </c>
      <c r="E102" s="133">
        <f t="shared" si="14"/>
        <v>297</v>
      </c>
      <c r="F102" s="114">
        <f t="shared" si="15"/>
        <v>0.31595744680851062</v>
      </c>
    </row>
    <row r="103" spans="1:6" x14ac:dyDescent="0.2">
      <c r="A103" s="115">
        <v>4</v>
      </c>
      <c r="B103" s="116" t="s">
        <v>116</v>
      </c>
      <c r="C103" s="133">
        <v>8</v>
      </c>
      <c r="D103" s="133">
        <v>22</v>
      </c>
      <c r="E103" s="133">
        <f t="shared" si="14"/>
        <v>14</v>
      </c>
      <c r="F103" s="114">
        <f t="shared" si="15"/>
        <v>1.75</v>
      </c>
    </row>
    <row r="104" spans="1:6" x14ac:dyDescent="0.2">
      <c r="A104" s="115">
        <v>5</v>
      </c>
      <c r="B104" s="116" t="s">
        <v>117</v>
      </c>
      <c r="C104" s="133">
        <v>31</v>
      </c>
      <c r="D104" s="133">
        <v>54</v>
      </c>
      <c r="E104" s="133">
        <f t="shared" si="14"/>
        <v>23</v>
      </c>
      <c r="F104" s="114">
        <f t="shared" si="15"/>
        <v>0.74193548387096775</v>
      </c>
    </row>
    <row r="105" spans="1:6" x14ac:dyDescent="0.2">
      <c r="A105" s="115">
        <v>6</v>
      </c>
      <c r="B105" s="116" t="s">
        <v>118</v>
      </c>
      <c r="C105" s="133">
        <v>1619</v>
      </c>
      <c r="D105" s="133">
        <v>971</v>
      </c>
      <c r="E105" s="133">
        <f t="shared" si="14"/>
        <v>-648</v>
      </c>
      <c r="F105" s="114">
        <f t="shared" si="15"/>
        <v>-0.40024706609017913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26</v>
      </c>
      <c r="E106" s="133">
        <f t="shared" si="14"/>
        <v>26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48</v>
      </c>
      <c r="D107" s="133">
        <v>13</v>
      </c>
      <c r="E107" s="133">
        <f t="shared" si="14"/>
        <v>-35</v>
      </c>
      <c r="F107" s="114">
        <f t="shared" si="15"/>
        <v>-0.72916666666666663</v>
      </c>
    </row>
    <row r="108" spans="1:6" x14ac:dyDescent="0.2">
      <c r="A108" s="115">
        <v>9</v>
      </c>
      <c r="B108" s="116" t="s">
        <v>121</v>
      </c>
      <c r="C108" s="133">
        <v>61</v>
      </c>
      <c r="D108" s="133">
        <v>23</v>
      </c>
      <c r="E108" s="133">
        <f t="shared" si="14"/>
        <v>-38</v>
      </c>
      <c r="F108" s="114">
        <f t="shared" si="15"/>
        <v>-0.62295081967213117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4511</v>
      </c>
      <c r="D111" s="134">
        <f>SUM(D100:D110)</f>
        <v>4451</v>
      </c>
      <c r="E111" s="134">
        <f t="shared" si="14"/>
        <v>-60</v>
      </c>
      <c r="F111" s="120">
        <f t="shared" si="15"/>
        <v>-1.3300820217246731E-2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5202</v>
      </c>
      <c r="D113" s="133">
        <v>6780</v>
      </c>
      <c r="E113" s="133">
        <f t="shared" ref="E113:E124" si="16">D113-C113</f>
        <v>1578</v>
      </c>
      <c r="F113" s="114">
        <f t="shared" ref="F113:F124" si="17">IF(C113=0,0,E113/C113)</f>
        <v>0.30334486735870819</v>
      </c>
    </row>
    <row r="114" spans="1:6" x14ac:dyDescent="0.2">
      <c r="A114" s="115">
        <v>2</v>
      </c>
      <c r="B114" s="116" t="s">
        <v>114</v>
      </c>
      <c r="C114" s="133">
        <v>1536</v>
      </c>
      <c r="D114" s="133">
        <v>2160</v>
      </c>
      <c r="E114" s="133">
        <f t="shared" si="16"/>
        <v>624</v>
      </c>
      <c r="F114" s="114">
        <f t="shared" si="17"/>
        <v>0.40625</v>
      </c>
    </row>
    <row r="115" spans="1:6" x14ac:dyDescent="0.2">
      <c r="A115" s="115">
        <v>3</v>
      </c>
      <c r="B115" s="116" t="s">
        <v>115</v>
      </c>
      <c r="C115" s="133">
        <v>3509</v>
      </c>
      <c r="D115" s="133">
        <v>4476</v>
      </c>
      <c r="E115" s="133">
        <f t="shared" si="16"/>
        <v>967</v>
      </c>
      <c r="F115" s="114">
        <f t="shared" si="17"/>
        <v>0.2755770874893132</v>
      </c>
    </row>
    <row r="116" spans="1:6" x14ac:dyDescent="0.2">
      <c r="A116" s="115">
        <v>4</v>
      </c>
      <c r="B116" s="116" t="s">
        <v>116</v>
      </c>
      <c r="C116" s="133">
        <v>29</v>
      </c>
      <c r="D116" s="133">
        <v>80</v>
      </c>
      <c r="E116" s="133">
        <f t="shared" si="16"/>
        <v>51</v>
      </c>
      <c r="F116" s="114">
        <f t="shared" si="17"/>
        <v>1.7586206896551724</v>
      </c>
    </row>
    <row r="117" spans="1:6" x14ac:dyDescent="0.2">
      <c r="A117" s="115">
        <v>5</v>
      </c>
      <c r="B117" s="116" t="s">
        <v>117</v>
      </c>
      <c r="C117" s="133">
        <v>114</v>
      </c>
      <c r="D117" s="133">
        <v>205</v>
      </c>
      <c r="E117" s="133">
        <f t="shared" si="16"/>
        <v>91</v>
      </c>
      <c r="F117" s="114">
        <f t="shared" si="17"/>
        <v>0.79824561403508776</v>
      </c>
    </row>
    <row r="118" spans="1:6" x14ac:dyDescent="0.2">
      <c r="A118" s="115">
        <v>6</v>
      </c>
      <c r="B118" s="116" t="s">
        <v>118</v>
      </c>
      <c r="C118" s="133">
        <v>6050</v>
      </c>
      <c r="D118" s="133">
        <v>2858</v>
      </c>
      <c r="E118" s="133">
        <f t="shared" si="16"/>
        <v>-3192</v>
      </c>
      <c r="F118" s="114">
        <f t="shared" si="17"/>
        <v>-0.52760330578512393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75</v>
      </c>
      <c r="E119" s="133">
        <f t="shared" si="16"/>
        <v>75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178</v>
      </c>
      <c r="D120" s="133">
        <v>39</v>
      </c>
      <c r="E120" s="133">
        <f t="shared" si="16"/>
        <v>-139</v>
      </c>
      <c r="F120" s="114">
        <f t="shared" si="17"/>
        <v>-0.7808988764044944</v>
      </c>
    </row>
    <row r="121" spans="1:6" x14ac:dyDescent="0.2">
      <c r="A121" s="115">
        <v>9</v>
      </c>
      <c r="B121" s="116" t="s">
        <v>121</v>
      </c>
      <c r="C121" s="133">
        <v>226</v>
      </c>
      <c r="D121" s="133">
        <v>87</v>
      </c>
      <c r="E121" s="133">
        <f t="shared" si="16"/>
        <v>-139</v>
      </c>
      <c r="F121" s="114">
        <f t="shared" si="17"/>
        <v>-0.61504424778761058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16844</v>
      </c>
      <c r="D124" s="134">
        <f>SUM(D113:D123)</f>
        <v>16760</v>
      </c>
      <c r="E124" s="134">
        <f t="shared" si="16"/>
        <v>-84</v>
      </c>
      <c r="F124" s="120">
        <f t="shared" si="17"/>
        <v>-4.9869389693659467E-3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57365</v>
      </c>
      <c r="D126" s="133">
        <v>87944</v>
      </c>
      <c r="E126" s="133">
        <f t="shared" ref="E126:E137" si="18">D126-C126</f>
        <v>30579</v>
      </c>
      <c r="F126" s="114">
        <f t="shared" ref="F126:F137" si="19">IF(C126=0,0,E126/C126)</f>
        <v>0.53306022836224176</v>
      </c>
    </row>
    <row r="127" spans="1:6" x14ac:dyDescent="0.2">
      <c r="A127" s="115">
        <v>2</v>
      </c>
      <c r="B127" s="116" t="s">
        <v>114</v>
      </c>
      <c r="C127" s="133">
        <v>19092</v>
      </c>
      <c r="D127" s="133">
        <v>23889</v>
      </c>
      <c r="E127" s="133">
        <f t="shared" si="18"/>
        <v>4797</v>
      </c>
      <c r="F127" s="114">
        <f t="shared" si="19"/>
        <v>0.25125707102451289</v>
      </c>
    </row>
    <row r="128" spans="1:6" x14ac:dyDescent="0.2">
      <c r="A128" s="115">
        <v>3</v>
      </c>
      <c r="B128" s="116" t="s">
        <v>115</v>
      </c>
      <c r="C128" s="133">
        <v>38702</v>
      </c>
      <c r="D128" s="133">
        <v>56337</v>
      </c>
      <c r="E128" s="133">
        <f t="shared" si="18"/>
        <v>17635</v>
      </c>
      <c r="F128" s="114">
        <f t="shared" si="19"/>
        <v>0.45566120613921762</v>
      </c>
    </row>
    <row r="129" spans="1:6" x14ac:dyDescent="0.2">
      <c r="A129" s="115">
        <v>4</v>
      </c>
      <c r="B129" s="116" t="s">
        <v>116</v>
      </c>
      <c r="C129" s="133">
        <v>361</v>
      </c>
      <c r="D129" s="133">
        <v>313</v>
      </c>
      <c r="E129" s="133">
        <f t="shared" si="18"/>
        <v>-48</v>
      </c>
      <c r="F129" s="114">
        <f t="shared" si="19"/>
        <v>-0.1329639889196676</v>
      </c>
    </row>
    <row r="130" spans="1:6" x14ac:dyDescent="0.2">
      <c r="A130" s="115">
        <v>5</v>
      </c>
      <c r="B130" s="116" t="s">
        <v>117</v>
      </c>
      <c r="C130" s="133">
        <v>1256</v>
      </c>
      <c r="D130" s="133">
        <v>1392</v>
      </c>
      <c r="E130" s="133">
        <f t="shared" si="18"/>
        <v>136</v>
      </c>
      <c r="F130" s="114">
        <f t="shared" si="19"/>
        <v>0.10828025477707007</v>
      </c>
    </row>
    <row r="131" spans="1:6" x14ac:dyDescent="0.2">
      <c r="A131" s="115">
        <v>6</v>
      </c>
      <c r="B131" s="116" t="s">
        <v>118</v>
      </c>
      <c r="C131" s="133">
        <v>65183</v>
      </c>
      <c r="D131" s="133">
        <v>64662</v>
      </c>
      <c r="E131" s="133">
        <f t="shared" si="18"/>
        <v>-521</v>
      </c>
      <c r="F131" s="114">
        <f t="shared" si="19"/>
        <v>-7.9928815795529511E-3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1565</v>
      </c>
      <c r="E132" s="133">
        <f t="shared" si="18"/>
        <v>1565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1962</v>
      </c>
      <c r="D133" s="133">
        <v>1315</v>
      </c>
      <c r="E133" s="133">
        <f t="shared" si="18"/>
        <v>-647</v>
      </c>
      <c r="F133" s="114">
        <f t="shared" si="19"/>
        <v>-0.32976554536187563</v>
      </c>
    </row>
    <row r="134" spans="1:6" x14ac:dyDescent="0.2">
      <c r="A134" s="115">
        <v>9</v>
      </c>
      <c r="B134" s="116" t="s">
        <v>121</v>
      </c>
      <c r="C134" s="133">
        <v>2494</v>
      </c>
      <c r="D134" s="133">
        <v>3861</v>
      </c>
      <c r="E134" s="133">
        <f t="shared" si="18"/>
        <v>1367</v>
      </c>
      <c r="F134" s="114">
        <f t="shared" si="19"/>
        <v>0.54811547714514841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1533</v>
      </c>
      <c r="D136" s="133">
        <v>0</v>
      </c>
      <c r="E136" s="133">
        <f t="shared" si="18"/>
        <v>-1533</v>
      </c>
      <c r="F136" s="114">
        <f t="shared" si="19"/>
        <v>-1</v>
      </c>
    </row>
    <row r="137" spans="1:6" ht="15.75" x14ac:dyDescent="0.25">
      <c r="A137" s="117"/>
      <c r="B137" s="118" t="s">
        <v>142</v>
      </c>
      <c r="C137" s="134">
        <f>SUM(C126:C136)</f>
        <v>187948</v>
      </c>
      <c r="D137" s="134">
        <f>SUM(D126:D136)</f>
        <v>241278</v>
      </c>
      <c r="E137" s="134">
        <f t="shared" si="18"/>
        <v>53330</v>
      </c>
      <c r="F137" s="120">
        <f t="shared" si="19"/>
        <v>0.2837486964479537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6430551</v>
      </c>
      <c r="D142" s="113">
        <v>7701709</v>
      </c>
      <c r="E142" s="113">
        <f t="shared" ref="E142:E153" si="20">D142-C142</f>
        <v>1271158</v>
      </c>
      <c r="F142" s="114">
        <f t="shared" ref="F142:F153" si="21">IF(C142=0,0,E142/C142)</f>
        <v>0.19767481822319735</v>
      </c>
    </row>
    <row r="143" spans="1:6" x14ac:dyDescent="0.2">
      <c r="A143" s="115">
        <v>2</v>
      </c>
      <c r="B143" s="116" t="s">
        <v>114</v>
      </c>
      <c r="C143" s="113">
        <v>1702640</v>
      </c>
      <c r="D143" s="113">
        <v>2476007</v>
      </c>
      <c r="E143" s="113">
        <f t="shared" si="20"/>
        <v>773367</v>
      </c>
      <c r="F143" s="114">
        <f t="shared" si="21"/>
        <v>0.45421639336559694</v>
      </c>
    </row>
    <row r="144" spans="1:6" x14ac:dyDescent="0.2">
      <c r="A144" s="115">
        <v>3</v>
      </c>
      <c r="B144" s="116" t="s">
        <v>115</v>
      </c>
      <c r="C144" s="113">
        <v>10526593</v>
      </c>
      <c r="D144" s="113">
        <v>12773719</v>
      </c>
      <c r="E144" s="113">
        <f t="shared" si="20"/>
        <v>2247126</v>
      </c>
      <c r="F144" s="114">
        <f t="shared" si="21"/>
        <v>0.21347134823204431</v>
      </c>
    </row>
    <row r="145" spans="1:6" x14ac:dyDescent="0.2">
      <c r="A145" s="115">
        <v>4</v>
      </c>
      <c r="B145" s="116" t="s">
        <v>116</v>
      </c>
      <c r="C145" s="113">
        <v>188258</v>
      </c>
      <c r="D145" s="113">
        <v>369853</v>
      </c>
      <c r="E145" s="113">
        <f t="shared" si="20"/>
        <v>181595</v>
      </c>
      <c r="F145" s="114">
        <f t="shared" si="21"/>
        <v>0.96460708177076138</v>
      </c>
    </row>
    <row r="146" spans="1:6" x14ac:dyDescent="0.2">
      <c r="A146" s="115">
        <v>5</v>
      </c>
      <c r="B146" s="116" t="s">
        <v>117</v>
      </c>
      <c r="C146" s="113">
        <v>264403</v>
      </c>
      <c r="D146" s="113">
        <v>271813</v>
      </c>
      <c r="E146" s="113">
        <f t="shared" si="20"/>
        <v>7410</v>
      </c>
      <c r="F146" s="114">
        <f t="shared" si="21"/>
        <v>2.8025400619508856E-2</v>
      </c>
    </row>
    <row r="147" spans="1:6" x14ac:dyDescent="0.2">
      <c r="A147" s="115">
        <v>6</v>
      </c>
      <c r="B147" s="116" t="s">
        <v>118</v>
      </c>
      <c r="C147" s="113">
        <v>9367860</v>
      </c>
      <c r="D147" s="113">
        <v>11100111</v>
      </c>
      <c r="E147" s="113">
        <f t="shared" si="20"/>
        <v>1732251</v>
      </c>
      <c r="F147" s="114">
        <f t="shared" si="21"/>
        <v>0.18491427070857164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213452</v>
      </c>
      <c r="E148" s="113">
        <f t="shared" si="20"/>
        <v>213452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637680</v>
      </c>
      <c r="D149" s="113">
        <v>687769</v>
      </c>
      <c r="E149" s="113">
        <f t="shared" si="20"/>
        <v>50089</v>
      </c>
      <c r="F149" s="114">
        <f t="shared" si="21"/>
        <v>7.854880190691256E-2</v>
      </c>
    </row>
    <row r="150" spans="1:6" x14ac:dyDescent="0.2">
      <c r="A150" s="115">
        <v>9</v>
      </c>
      <c r="B150" s="116" t="s">
        <v>121</v>
      </c>
      <c r="C150" s="113">
        <v>1527728</v>
      </c>
      <c r="D150" s="113">
        <v>1559565</v>
      </c>
      <c r="E150" s="113">
        <f t="shared" si="20"/>
        <v>31837</v>
      </c>
      <c r="F150" s="114">
        <f t="shared" si="21"/>
        <v>2.0839442623294201E-2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760450</v>
      </c>
      <c r="D152" s="113">
        <v>0</v>
      </c>
      <c r="E152" s="113">
        <f t="shared" si="20"/>
        <v>-760450</v>
      </c>
      <c r="F152" s="114">
        <f t="shared" si="21"/>
        <v>-1</v>
      </c>
    </row>
    <row r="153" spans="1:6" ht="33.75" customHeight="1" x14ac:dyDescent="0.25">
      <c r="A153" s="117"/>
      <c r="B153" s="118" t="s">
        <v>146</v>
      </c>
      <c r="C153" s="119">
        <f>SUM(C142:C152)</f>
        <v>31406163</v>
      </c>
      <c r="D153" s="119">
        <f>SUM(D142:D152)</f>
        <v>37153998</v>
      </c>
      <c r="E153" s="119">
        <f t="shared" si="20"/>
        <v>5747835</v>
      </c>
      <c r="F153" s="120">
        <f t="shared" si="21"/>
        <v>0.18301614877309272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1789902</v>
      </c>
      <c r="D155" s="113">
        <v>1760917</v>
      </c>
      <c r="E155" s="113">
        <f t="shared" ref="E155:E166" si="22">D155-C155</f>
        <v>-28985</v>
      </c>
      <c r="F155" s="114">
        <f t="shared" ref="F155:F166" si="23">IF(C155=0,0,E155/C155)</f>
        <v>-1.6193624008465267E-2</v>
      </c>
    </row>
    <row r="156" spans="1:6" x14ac:dyDescent="0.2">
      <c r="A156" s="115">
        <v>2</v>
      </c>
      <c r="B156" s="116" t="s">
        <v>114</v>
      </c>
      <c r="C156" s="113">
        <v>462539</v>
      </c>
      <c r="D156" s="113">
        <v>609838</v>
      </c>
      <c r="E156" s="113">
        <f t="shared" si="22"/>
        <v>147299</v>
      </c>
      <c r="F156" s="114">
        <f t="shared" si="23"/>
        <v>0.31845747061328883</v>
      </c>
    </row>
    <row r="157" spans="1:6" x14ac:dyDescent="0.2">
      <c r="A157" s="115">
        <v>3</v>
      </c>
      <c r="B157" s="116" t="s">
        <v>115</v>
      </c>
      <c r="C157" s="113">
        <v>2519246</v>
      </c>
      <c r="D157" s="113">
        <v>2610108</v>
      </c>
      <c r="E157" s="113">
        <f t="shared" si="22"/>
        <v>90862</v>
      </c>
      <c r="F157" s="114">
        <f t="shared" si="23"/>
        <v>3.6067140723851504E-2</v>
      </c>
    </row>
    <row r="158" spans="1:6" x14ac:dyDescent="0.2">
      <c r="A158" s="115">
        <v>4</v>
      </c>
      <c r="B158" s="116" t="s">
        <v>116</v>
      </c>
      <c r="C158" s="113">
        <v>51729</v>
      </c>
      <c r="D158" s="113">
        <v>87702</v>
      </c>
      <c r="E158" s="113">
        <f t="shared" si="22"/>
        <v>35973</v>
      </c>
      <c r="F158" s="114">
        <f t="shared" si="23"/>
        <v>0.69541263121266605</v>
      </c>
    </row>
    <row r="159" spans="1:6" x14ac:dyDescent="0.2">
      <c r="A159" s="115">
        <v>5</v>
      </c>
      <c r="B159" s="116" t="s">
        <v>117</v>
      </c>
      <c r="C159" s="113">
        <v>65191</v>
      </c>
      <c r="D159" s="113">
        <v>65078</v>
      </c>
      <c r="E159" s="113">
        <f t="shared" si="22"/>
        <v>-113</v>
      </c>
      <c r="F159" s="114">
        <f t="shared" si="23"/>
        <v>-1.7333681029589973E-3</v>
      </c>
    </row>
    <row r="160" spans="1:6" x14ac:dyDescent="0.2">
      <c r="A160" s="115">
        <v>6</v>
      </c>
      <c r="B160" s="116" t="s">
        <v>118</v>
      </c>
      <c r="C160" s="113">
        <v>6099862</v>
      </c>
      <c r="D160" s="113">
        <v>6215179</v>
      </c>
      <c r="E160" s="113">
        <f t="shared" si="22"/>
        <v>115317</v>
      </c>
      <c r="F160" s="114">
        <f t="shared" si="23"/>
        <v>1.8904853913088524E-2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47516</v>
      </c>
      <c r="E161" s="113">
        <f t="shared" si="22"/>
        <v>47516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447140</v>
      </c>
      <c r="D162" s="113">
        <v>502639</v>
      </c>
      <c r="E162" s="113">
        <f t="shared" si="22"/>
        <v>55499</v>
      </c>
      <c r="F162" s="114">
        <f t="shared" si="23"/>
        <v>0.12411996242787494</v>
      </c>
    </row>
    <row r="163" spans="1:6" x14ac:dyDescent="0.2">
      <c r="A163" s="115">
        <v>9</v>
      </c>
      <c r="B163" s="116" t="s">
        <v>121</v>
      </c>
      <c r="C163" s="113">
        <v>54251</v>
      </c>
      <c r="D163" s="113">
        <v>59111</v>
      </c>
      <c r="E163" s="113">
        <f t="shared" si="22"/>
        <v>4860</v>
      </c>
      <c r="F163" s="114">
        <f t="shared" si="23"/>
        <v>8.9583602145582572E-2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11489860</v>
      </c>
      <c r="D166" s="119">
        <f>SUM(D155:D165)</f>
        <v>11958088</v>
      </c>
      <c r="E166" s="119">
        <f t="shared" si="22"/>
        <v>468228</v>
      </c>
      <c r="F166" s="120">
        <f t="shared" si="23"/>
        <v>4.0751410374016743E-2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7290</v>
      </c>
      <c r="D168" s="133">
        <v>3653</v>
      </c>
      <c r="E168" s="133">
        <f t="shared" ref="E168:E179" si="24">D168-C168</f>
        <v>-3637</v>
      </c>
      <c r="F168" s="114">
        <f t="shared" ref="F168:F179" si="25">IF(C168=0,0,E168/C168)</f>
        <v>-0.49890260631001371</v>
      </c>
    </row>
    <row r="169" spans="1:6" x14ac:dyDescent="0.2">
      <c r="A169" s="115">
        <v>2</v>
      </c>
      <c r="B169" s="116" t="s">
        <v>114</v>
      </c>
      <c r="C169" s="133">
        <v>2153</v>
      </c>
      <c r="D169" s="133">
        <v>1099</v>
      </c>
      <c r="E169" s="133">
        <f t="shared" si="24"/>
        <v>-1054</v>
      </c>
      <c r="F169" s="114">
        <f t="shared" si="25"/>
        <v>-0.48954946586158848</v>
      </c>
    </row>
    <row r="170" spans="1:6" x14ac:dyDescent="0.2">
      <c r="A170" s="115">
        <v>3</v>
      </c>
      <c r="B170" s="116" t="s">
        <v>115</v>
      </c>
      <c r="C170" s="133">
        <v>4919</v>
      </c>
      <c r="D170" s="133">
        <v>7497</v>
      </c>
      <c r="E170" s="133">
        <f t="shared" si="24"/>
        <v>2578</v>
      </c>
      <c r="F170" s="114">
        <f t="shared" si="25"/>
        <v>0.52409026224842448</v>
      </c>
    </row>
    <row r="171" spans="1:6" x14ac:dyDescent="0.2">
      <c r="A171" s="115">
        <v>4</v>
      </c>
      <c r="B171" s="116" t="s">
        <v>116</v>
      </c>
      <c r="C171" s="133">
        <v>41</v>
      </c>
      <c r="D171" s="133">
        <v>215</v>
      </c>
      <c r="E171" s="133">
        <f t="shared" si="24"/>
        <v>174</v>
      </c>
      <c r="F171" s="114">
        <f t="shared" si="25"/>
        <v>4.2439024390243905</v>
      </c>
    </row>
    <row r="172" spans="1:6" x14ac:dyDescent="0.2">
      <c r="A172" s="115">
        <v>5</v>
      </c>
      <c r="B172" s="116" t="s">
        <v>117</v>
      </c>
      <c r="C172" s="133">
        <v>160</v>
      </c>
      <c r="D172" s="133">
        <v>151</v>
      </c>
      <c r="E172" s="133">
        <f t="shared" si="24"/>
        <v>-9</v>
      </c>
      <c r="F172" s="114">
        <f t="shared" si="25"/>
        <v>-5.6250000000000001E-2</v>
      </c>
    </row>
    <row r="173" spans="1:6" x14ac:dyDescent="0.2">
      <c r="A173" s="115">
        <v>6</v>
      </c>
      <c r="B173" s="116" t="s">
        <v>118</v>
      </c>
      <c r="C173" s="133">
        <v>8285</v>
      </c>
      <c r="D173" s="133">
        <v>4999</v>
      </c>
      <c r="E173" s="133">
        <f t="shared" si="24"/>
        <v>-3286</v>
      </c>
      <c r="F173" s="114">
        <f t="shared" si="25"/>
        <v>-0.39662039831019913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122</v>
      </c>
      <c r="E174" s="133">
        <f t="shared" si="24"/>
        <v>122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249</v>
      </c>
      <c r="D175" s="133">
        <v>533</v>
      </c>
      <c r="E175" s="133">
        <f t="shared" si="24"/>
        <v>284</v>
      </c>
      <c r="F175" s="114">
        <f t="shared" si="25"/>
        <v>1.1405622489959839</v>
      </c>
    </row>
    <row r="176" spans="1:6" x14ac:dyDescent="0.2">
      <c r="A176" s="115">
        <v>9</v>
      </c>
      <c r="B176" s="116" t="s">
        <v>121</v>
      </c>
      <c r="C176" s="133">
        <v>317</v>
      </c>
      <c r="D176" s="133">
        <v>882</v>
      </c>
      <c r="E176" s="133">
        <f t="shared" si="24"/>
        <v>565</v>
      </c>
      <c r="F176" s="114">
        <f t="shared" si="25"/>
        <v>1.7823343848580442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195</v>
      </c>
      <c r="D178" s="133">
        <v>0</v>
      </c>
      <c r="E178" s="133">
        <f t="shared" si="24"/>
        <v>-195</v>
      </c>
      <c r="F178" s="114">
        <f t="shared" si="25"/>
        <v>-1</v>
      </c>
    </row>
    <row r="179" spans="1:6" ht="33.75" customHeight="1" x14ac:dyDescent="0.25">
      <c r="A179" s="117"/>
      <c r="B179" s="118" t="s">
        <v>150</v>
      </c>
      <c r="C179" s="134">
        <f>SUM(C168:C178)</f>
        <v>23609</v>
      </c>
      <c r="D179" s="134">
        <f>SUM(D168:D178)</f>
        <v>19151</v>
      </c>
      <c r="E179" s="134">
        <f t="shared" si="24"/>
        <v>-4458</v>
      </c>
      <c r="F179" s="120">
        <f t="shared" si="25"/>
        <v>-0.1888262950569698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FILING&amp;RDAY KIMBALL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16787759</v>
      </c>
      <c r="D15" s="157">
        <v>16595516</v>
      </c>
      <c r="E15" s="157">
        <f>+D15-C15</f>
        <v>-192243</v>
      </c>
      <c r="F15" s="161">
        <f>IF(C15=0,0,E15/C15)</f>
        <v>-1.145137954386884E-2</v>
      </c>
    </row>
    <row r="16" spans="1:6" ht="15" customHeight="1" x14ac:dyDescent="0.2">
      <c r="A16" s="147">
        <v>2</v>
      </c>
      <c r="B16" s="160" t="s">
        <v>157</v>
      </c>
      <c r="C16" s="157">
        <v>1080913</v>
      </c>
      <c r="D16" s="157">
        <v>954964</v>
      </c>
      <c r="E16" s="157">
        <f>+D16-C16</f>
        <v>-125949</v>
      </c>
      <c r="F16" s="161">
        <f>IF(C16=0,0,E16/C16)</f>
        <v>-0.11652094109331648</v>
      </c>
    </row>
    <row r="17" spans="1:6" ht="15" customHeight="1" x14ac:dyDescent="0.2">
      <c r="A17" s="147">
        <v>3</v>
      </c>
      <c r="B17" s="160" t="s">
        <v>158</v>
      </c>
      <c r="C17" s="157">
        <v>29778061</v>
      </c>
      <c r="D17" s="157">
        <v>29020212</v>
      </c>
      <c r="E17" s="157">
        <f>+D17-C17</f>
        <v>-757849</v>
      </c>
      <c r="F17" s="161">
        <f>IF(C17=0,0,E17/C17)</f>
        <v>-2.5449910926033766E-2</v>
      </c>
    </row>
    <row r="18" spans="1:6" ht="15.75" customHeight="1" x14ac:dyDescent="0.25">
      <c r="A18" s="147"/>
      <c r="B18" s="162" t="s">
        <v>159</v>
      </c>
      <c r="C18" s="158">
        <f>SUM(C15:C17)</f>
        <v>47646733</v>
      </c>
      <c r="D18" s="158">
        <f>SUM(D15:D17)</f>
        <v>46570692</v>
      </c>
      <c r="E18" s="158">
        <f>+D18-C18</f>
        <v>-1076041</v>
      </c>
      <c r="F18" s="159">
        <f>IF(C18=0,0,E18/C18)</f>
        <v>-2.2583730976896151E-2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6015407</v>
      </c>
      <c r="D21" s="157">
        <v>5698238</v>
      </c>
      <c r="E21" s="157">
        <f>+D21-C21</f>
        <v>-317169</v>
      </c>
      <c r="F21" s="161">
        <f>IF(C21=0,0,E21/C21)</f>
        <v>-5.2726108141976098E-2</v>
      </c>
    </row>
    <row r="22" spans="1:6" ht="15" customHeight="1" x14ac:dyDescent="0.2">
      <c r="A22" s="147">
        <v>2</v>
      </c>
      <c r="B22" s="160" t="s">
        <v>162</v>
      </c>
      <c r="C22" s="157">
        <v>387314</v>
      </c>
      <c r="D22" s="157">
        <v>327897</v>
      </c>
      <c r="E22" s="157">
        <f>+D22-C22</f>
        <v>-59417</v>
      </c>
      <c r="F22" s="161">
        <f>IF(C22=0,0,E22/C22)</f>
        <v>-0.15340782930645419</v>
      </c>
    </row>
    <row r="23" spans="1:6" ht="15" customHeight="1" x14ac:dyDescent="0.2">
      <c r="A23" s="147">
        <v>3</v>
      </c>
      <c r="B23" s="160" t="s">
        <v>163</v>
      </c>
      <c r="C23" s="157">
        <v>10670104</v>
      </c>
      <c r="D23" s="157">
        <v>9964383</v>
      </c>
      <c r="E23" s="157">
        <f>+D23-C23</f>
        <v>-705721</v>
      </c>
      <c r="F23" s="161">
        <f>IF(C23=0,0,E23/C23)</f>
        <v>-6.6140030125292126E-2</v>
      </c>
    </row>
    <row r="24" spans="1:6" ht="15.75" customHeight="1" x14ac:dyDescent="0.25">
      <c r="A24" s="147"/>
      <c r="B24" s="162" t="s">
        <v>164</v>
      </c>
      <c r="C24" s="158">
        <f>SUM(C21:C23)</f>
        <v>17072825</v>
      </c>
      <c r="D24" s="158">
        <f>SUM(D21:D23)</f>
        <v>15990518</v>
      </c>
      <c r="E24" s="158">
        <f>+D24-C24</f>
        <v>-1082307</v>
      </c>
      <c r="F24" s="159">
        <f>IF(C24=0,0,E24/C24)</f>
        <v>-6.3393550862262102E-2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2525960</v>
      </c>
      <c r="D28" s="157">
        <v>2335350</v>
      </c>
      <c r="E28" s="157">
        <f>+D28-C28</f>
        <v>-190610</v>
      </c>
      <c r="F28" s="161">
        <f>IF(C28=0,0,E28/C28)</f>
        <v>-7.5460419009010432E-2</v>
      </c>
    </row>
    <row r="29" spans="1:6" ht="15" customHeight="1" x14ac:dyDescent="0.2">
      <c r="A29" s="147">
        <v>3</v>
      </c>
      <c r="B29" s="160" t="s">
        <v>168</v>
      </c>
      <c r="C29" s="157">
        <v>1953420</v>
      </c>
      <c r="D29" s="157">
        <v>1714429</v>
      </c>
      <c r="E29" s="157">
        <f>+D29-C29</f>
        <v>-238991</v>
      </c>
      <c r="F29" s="161">
        <f>IF(C29=0,0,E29/C29)</f>
        <v>-0.12234491302433681</v>
      </c>
    </row>
    <row r="30" spans="1:6" ht="15.75" customHeight="1" x14ac:dyDescent="0.25">
      <c r="A30" s="147"/>
      <c r="B30" s="162" t="s">
        <v>169</v>
      </c>
      <c r="C30" s="158">
        <f>SUM(C27:C29)</f>
        <v>4479380</v>
      </c>
      <c r="D30" s="158">
        <f>SUM(D27:D29)</f>
        <v>4049779</v>
      </c>
      <c r="E30" s="158">
        <f>+D30-C30</f>
        <v>-429601</v>
      </c>
      <c r="F30" s="159">
        <f>IF(C30=0,0,E30/C30)</f>
        <v>-9.5906353111368095E-2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7678478</v>
      </c>
      <c r="D33" s="157">
        <v>8568681</v>
      </c>
      <c r="E33" s="157">
        <f>+D33-C33</f>
        <v>890203</v>
      </c>
      <c r="F33" s="161">
        <f>IF(C33=0,0,E33/C33)</f>
        <v>0.1159348245837261</v>
      </c>
    </row>
    <row r="34" spans="1:6" ht="15" customHeight="1" x14ac:dyDescent="0.2">
      <c r="A34" s="147">
        <v>2</v>
      </c>
      <c r="B34" s="160" t="s">
        <v>173</v>
      </c>
      <c r="C34" s="157">
        <v>5508951</v>
      </c>
      <c r="D34" s="157">
        <v>5857572</v>
      </c>
      <c r="E34" s="157">
        <f>+D34-C34</f>
        <v>348621</v>
      </c>
      <c r="F34" s="161">
        <f>IF(C34=0,0,E34/C34)</f>
        <v>6.3282646732563064E-2</v>
      </c>
    </row>
    <row r="35" spans="1:6" ht="15.75" customHeight="1" x14ac:dyDescent="0.25">
      <c r="A35" s="147"/>
      <c r="B35" s="162" t="s">
        <v>174</v>
      </c>
      <c r="C35" s="158">
        <f>SUM(C33:C34)</f>
        <v>13187429</v>
      </c>
      <c r="D35" s="158">
        <f>SUM(D33:D34)</f>
        <v>14426253</v>
      </c>
      <c r="E35" s="158">
        <f>+D35-C35</f>
        <v>1238824</v>
      </c>
      <c r="F35" s="159">
        <f>IF(C35=0,0,E35/C35)</f>
        <v>9.3939766424524451E-2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2337155</v>
      </c>
      <c r="D38" s="157">
        <v>2521600</v>
      </c>
      <c r="E38" s="157">
        <f>+D38-C38</f>
        <v>184445</v>
      </c>
      <c r="F38" s="161">
        <f>IF(C38=0,0,E38/C38)</f>
        <v>7.8918599750551419E-2</v>
      </c>
    </row>
    <row r="39" spans="1:6" ht="15" customHeight="1" x14ac:dyDescent="0.2">
      <c r="A39" s="147">
        <v>2</v>
      </c>
      <c r="B39" s="160" t="s">
        <v>178</v>
      </c>
      <c r="C39" s="157">
        <v>2795554</v>
      </c>
      <c r="D39" s="157">
        <v>3153136</v>
      </c>
      <c r="E39" s="157">
        <f>+D39-C39</f>
        <v>357582</v>
      </c>
      <c r="F39" s="161">
        <f>IF(C39=0,0,E39/C39)</f>
        <v>0.12791096147668762</v>
      </c>
    </row>
    <row r="40" spans="1:6" ht="15" customHeight="1" x14ac:dyDescent="0.2">
      <c r="A40" s="147">
        <v>3</v>
      </c>
      <c r="B40" s="160" t="s">
        <v>179</v>
      </c>
      <c r="C40" s="157">
        <v>44332</v>
      </c>
      <c r="D40" s="157">
        <v>129732</v>
      </c>
      <c r="E40" s="157">
        <f>+D40-C40</f>
        <v>85400</v>
      </c>
      <c r="F40" s="161">
        <f>IF(C40=0,0,E40/C40)</f>
        <v>1.9263737255255797</v>
      </c>
    </row>
    <row r="41" spans="1:6" ht="15.75" customHeight="1" x14ac:dyDescent="0.25">
      <c r="A41" s="147"/>
      <c r="B41" s="162" t="s">
        <v>180</v>
      </c>
      <c r="C41" s="158">
        <f>SUM(C38:C40)</f>
        <v>5177041</v>
      </c>
      <c r="D41" s="158">
        <f>SUM(D38:D40)</f>
        <v>5804468</v>
      </c>
      <c r="E41" s="158">
        <f>+D41-C41</f>
        <v>627427</v>
      </c>
      <c r="F41" s="159">
        <f>IF(C41=0,0,E41/C41)</f>
        <v>0.1211941338691349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1343831</v>
      </c>
      <c r="D47" s="157">
        <v>1451212</v>
      </c>
      <c r="E47" s="157">
        <f>+D47-C47</f>
        <v>107381</v>
      </c>
      <c r="F47" s="161">
        <f>IF(C47=0,0,E47/C47)</f>
        <v>7.9906625163432013E-2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231502</v>
      </c>
      <c r="D50" s="157">
        <v>331712</v>
      </c>
      <c r="E50" s="157">
        <f>+D50-C50</f>
        <v>100210</v>
      </c>
      <c r="F50" s="161">
        <f>IF(C50=0,0,E50/C50)</f>
        <v>0.43286883050686387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142277</v>
      </c>
      <c r="D53" s="157">
        <v>82238</v>
      </c>
      <c r="E53" s="157">
        <f t="shared" ref="E53:E59" si="0">+D53-C53</f>
        <v>-60039</v>
      </c>
      <c r="F53" s="161">
        <f t="shared" ref="F53:F59" si="1">IF(C53=0,0,E53/C53)</f>
        <v>-0.42198668793972322</v>
      </c>
    </row>
    <row r="54" spans="1:6" ht="15" customHeight="1" x14ac:dyDescent="0.2">
      <c r="A54" s="147">
        <v>2</v>
      </c>
      <c r="B54" s="160" t="s">
        <v>189</v>
      </c>
      <c r="C54" s="157">
        <v>449556</v>
      </c>
      <c r="D54" s="157">
        <v>415412</v>
      </c>
      <c r="E54" s="157">
        <f t="shared" si="0"/>
        <v>-34144</v>
      </c>
      <c r="F54" s="161">
        <f t="shared" si="1"/>
        <v>-7.5950493375686226E-2</v>
      </c>
    </row>
    <row r="55" spans="1:6" ht="15" customHeight="1" x14ac:dyDescent="0.2">
      <c r="A55" s="147">
        <v>3</v>
      </c>
      <c r="B55" s="160" t="s">
        <v>190</v>
      </c>
      <c r="C55" s="157">
        <v>10509</v>
      </c>
      <c r="D55" s="157">
        <v>6673</v>
      </c>
      <c r="E55" s="157">
        <f t="shared" si="0"/>
        <v>-3836</v>
      </c>
      <c r="F55" s="161">
        <f t="shared" si="1"/>
        <v>-0.36502045865448662</v>
      </c>
    </row>
    <row r="56" spans="1:6" ht="15" customHeight="1" x14ac:dyDescent="0.2">
      <c r="A56" s="147">
        <v>4</v>
      </c>
      <c r="B56" s="160" t="s">
        <v>191</v>
      </c>
      <c r="C56" s="157">
        <v>1224914</v>
      </c>
      <c r="D56" s="157">
        <v>1046658</v>
      </c>
      <c r="E56" s="157">
        <f t="shared" si="0"/>
        <v>-178256</v>
      </c>
      <c r="F56" s="161">
        <f t="shared" si="1"/>
        <v>-0.14552531851215678</v>
      </c>
    </row>
    <row r="57" spans="1:6" ht="15" customHeight="1" x14ac:dyDescent="0.2">
      <c r="A57" s="147">
        <v>5</v>
      </c>
      <c r="B57" s="160" t="s">
        <v>192</v>
      </c>
      <c r="C57" s="157">
        <v>522258</v>
      </c>
      <c r="D57" s="157">
        <v>511072</v>
      </c>
      <c r="E57" s="157">
        <f t="shared" si="0"/>
        <v>-11186</v>
      </c>
      <c r="F57" s="161">
        <f t="shared" si="1"/>
        <v>-2.1418532602659988E-2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2349514</v>
      </c>
      <c r="D59" s="158">
        <f>SUM(D53:D58)</f>
        <v>2062053</v>
      </c>
      <c r="E59" s="158">
        <f t="shared" si="0"/>
        <v>-287461</v>
      </c>
      <c r="F59" s="159">
        <f t="shared" si="1"/>
        <v>-0.12234913262913095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75225</v>
      </c>
      <c r="D62" s="157">
        <v>244675</v>
      </c>
      <c r="E62" s="157">
        <f t="shared" ref="E62:E90" si="2">+D62-C62</f>
        <v>169450</v>
      </c>
      <c r="F62" s="161">
        <f t="shared" ref="F62:F90" si="3">IF(C62=0,0,E62/C62)</f>
        <v>2.2525756065137919</v>
      </c>
    </row>
    <row r="63" spans="1:6" ht="15" customHeight="1" x14ac:dyDescent="0.2">
      <c r="A63" s="147">
        <v>2</v>
      </c>
      <c r="B63" s="160" t="s">
        <v>198</v>
      </c>
      <c r="C63" s="157">
        <v>599770</v>
      </c>
      <c r="D63" s="157">
        <v>638280</v>
      </c>
      <c r="E63" s="157">
        <f t="shared" si="2"/>
        <v>38510</v>
      </c>
      <c r="F63" s="161">
        <f t="shared" si="3"/>
        <v>6.4207946379445449E-2</v>
      </c>
    </row>
    <row r="64" spans="1:6" ht="15" customHeight="1" x14ac:dyDescent="0.2">
      <c r="A64" s="147">
        <v>3</v>
      </c>
      <c r="B64" s="160" t="s">
        <v>199</v>
      </c>
      <c r="C64" s="157">
        <v>1255606</v>
      </c>
      <c r="D64" s="157">
        <v>1844713</v>
      </c>
      <c r="E64" s="157">
        <f t="shared" si="2"/>
        <v>589107</v>
      </c>
      <c r="F64" s="161">
        <f t="shared" si="3"/>
        <v>0.46918141518915968</v>
      </c>
    </row>
    <row r="65" spans="1:6" ht="15" customHeight="1" x14ac:dyDescent="0.2">
      <c r="A65" s="147">
        <v>4</v>
      </c>
      <c r="B65" s="160" t="s">
        <v>200</v>
      </c>
      <c r="C65" s="157">
        <v>343871</v>
      </c>
      <c r="D65" s="157">
        <v>312874</v>
      </c>
      <c r="E65" s="157">
        <f t="shared" si="2"/>
        <v>-30997</v>
      </c>
      <c r="F65" s="161">
        <f t="shared" si="3"/>
        <v>-9.0141361149966126E-2</v>
      </c>
    </row>
    <row r="66" spans="1:6" ht="15" customHeight="1" x14ac:dyDescent="0.2">
      <c r="A66" s="147">
        <v>5</v>
      </c>
      <c r="B66" s="160" t="s">
        <v>201</v>
      </c>
      <c r="C66" s="157">
        <v>668525</v>
      </c>
      <c r="D66" s="157">
        <v>693957</v>
      </c>
      <c r="E66" s="157">
        <f t="shared" si="2"/>
        <v>25432</v>
      </c>
      <c r="F66" s="161">
        <f t="shared" si="3"/>
        <v>3.8041958041958042E-2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1659168</v>
      </c>
      <c r="D68" s="157">
        <v>1353283</v>
      </c>
      <c r="E68" s="157">
        <f t="shared" si="2"/>
        <v>-305885</v>
      </c>
      <c r="F68" s="161">
        <f t="shared" si="3"/>
        <v>-0.18436047464753419</v>
      </c>
    </row>
    <row r="69" spans="1:6" ht="15" customHeight="1" x14ac:dyDescent="0.2">
      <c r="A69" s="147">
        <v>8</v>
      </c>
      <c r="B69" s="160" t="s">
        <v>204</v>
      </c>
      <c r="C69" s="157">
        <v>1082578</v>
      </c>
      <c r="D69" s="157">
        <v>780115</v>
      </c>
      <c r="E69" s="157">
        <f t="shared" si="2"/>
        <v>-302463</v>
      </c>
      <c r="F69" s="161">
        <f t="shared" si="3"/>
        <v>-0.27939141567628384</v>
      </c>
    </row>
    <row r="70" spans="1:6" ht="15" customHeight="1" x14ac:dyDescent="0.2">
      <c r="A70" s="147">
        <v>9</v>
      </c>
      <c r="B70" s="160" t="s">
        <v>205</v>
      </c>
      <c r="C70" s="157">
        <v>347522</v>
      </c>
      <c r="D70" s="157">
        <v>310845</v>
      </c>
      <c r="E70" s="157">
        <f t="shared" si="2"/>
        <v>-36677</v>
      </c>
      <c r="F70" s="161">
        <f t="shared" si="3"/>
        <v>-0.10553864215790655</v>
      </c>
    </row>
    <row r="71" spans="1:6" ht="15" customHeight="1" x14ac:dyDescent="0.2">
      <c r="A71" s="147">
        <v>10</v>
      </c>
      <c r="B71" s="160" t="s">
        <v>206</v>
      </c>
      <c r="C71" s="157">
        <v>24763</v>
      </c>
      <c r="D71" s="157">
        <v>26871</v>
      </c>
      <c r="E71" s="157">
        <f t="shared" si="2"/>
        <v>2108</v>
      </c>
      <c r="F71" s="161">
        <f t="shared" si="3"/>
        <v>8.5127003997900089E-2</v>
      </c>
    </row>
    <row r="72" spans="1:6" ht="15" customHeight="1" x14ac:dyDescent="0.2">
      <c r="A72" s="147">
        <v>11</v>
      </c>
      <c r="B72" s="160" t="s">
        <v>207</v>
      </c>
      <c r="C72" s="157">
        <v>92589</v>
      </c>
      <c r="D72" s="157">
        <v>142389</v>
      </c>
      <c r="E72" s="157">
        <f t="shared" si="2"/>
        <v>49800</v>
      </c>
      <c r="F72" s="161">
        <f t="shared" si="3"/>
        <v>0.53786086900171726</v>
      </c>
    </row>
    <row r="73" spans="1:6" ht="15" customHeight="1" x14ac:dyDescent="0.2">
      <c r="A73" s="147">
        <v>12</v>
      </c>
      <c r="B73" s="160" t="s">
        <v>208</v>
      </c>
      <c r="C73" s="157">
        <v>682280</v>
      </c>
      <c r="D73" s="157">
        <v>214082</v>
      </c>
      <c r="E73" s="157">
        <f t="shared" si="2"/>
        <v>-468198</v>
      </c>
      <c r="F73" s="161">
        <f t="shared" si="3"/>
        <v>-0.68622559652928417</v>
      </c>
    </row>
    <row r="74" spans="1:6" ht="15" customHeight="1" x14ac:dyDescent="0.2">
      <c r="A74" s="147">
        <v>13</v>
      </c>
      <c r="B74" s="160" t="s">
        <v>209</v>
      </c>
      <c r="C74" s="157">
        <v>20650</v>
      </c>
      <c r="D74" s="157">
        <v>64172</v>
      </c>
      <c r="E74" s="157">
        <f t="shared" si="2"/>
        <v>43522</v>
      </c>
      <c r="F74" s="161">
        <f t="shared" si="3"/>
        <v>2.1076029055690073</v>
      </c>
    </row>
    <row r="75" spans="1:6" ht="15" customHeight="1" x14ac:dyDescent="0.2">
      <c r="A75" s="147">
        <v>14</v>
      </c>
      <c r="B75" s="160" t="s">
        <v>210</v>
      </c>
      <c r="C75" s="157">
        <v>101028</v>
      </c>
      <c r="D75" s="157">
        <v>182118</v>
      </c>
      <c r="E75" s="157">
        <f t="shared" si="2"/>
        <v>81090</v>
      </c>
      <c r="F75" s="161">
        <f t="shared" si="3"/>
        <v>0.80264877063784301</v>
      </c>
    </row>
    <row r="76" spans="1:6" ht="15" customHeight="1" x14ac:dyDescent="0.2">
      <c r="A76" s="147">
        <v>15</v>
      </c>
      <c r="B76" s="160" t="s">
        <v>211</v>
      </c>
      <c r="C76" s="157">
        <v>501000</v>
      </c>
      <c r="D76" s="157">
        <v>210957</v>
      </c>
      <c r="E76" s="157">
        <f t="shared" si="2"/>
        <v>-290043</v>
      </c>
      <c r="F76" s="161">
        <f t="shared" si="3"/>
        <v>-0.57892814371257484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2350140</v>
      </c>
      <c r="D78" s="157">
        <v>2671019</v>
      </c>
      <c r="E78" s="157">
        <f t="shared" si="2"/>
        <v>320879</v>
      </c>
      <c r="F78" s="161">
        <f t="shared" si="3"/>
        <v>0.13653612125235093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637030</v>
      </c>
      <c r="D80" s="157">
        <v>646445</v>
      </c>
      <c r="E80" s="157">
        <f t="shared" si="2"/>
        <v>9415</v>
      </c>
      <c r="F80" s="161">
        <f t="shared" si="3"/>
        <v>1.4779523727296988E-2</v>
      </c>
    </row>
    <row r="81" spans="1:6" ht="15" customHeight="1" x14ac:dyDescent="0.2">
      <c r="A81" s="147">
        <v>20</v>
      </c>
      <c r="B81" s="160" t="s">
        <v>216</v>
      </c>
      <c r="C81" s="157">
        <v>1800698</v>
      </c>
      <c r="D81" s="157">
        <v>1502961</v>
      </c>
      <c r="E81" s="157">
        <f t="shared" si="2"/>
        <v>-297737</v>
      </c>
      <c r="F81" s="161">
        <f t="shared" si="3"/>
        <v>-0.16534532720089654</v>
      </c>
    </row>
    <row r="82" spans="1:6" ht="15" customHeight="1" x14ac:dyDescent="0.2">
      <c r="A82" s="147">
        <v>21</v>
      </c>
      <c r="B82" s="160" t="s">
        <v>217</v>
      </c>
      <c r="C82" s="157">
        <v>184449</v>
      </c>
      <c r="D82" s="157">
        <v>159527</v>
      </c>
      <c r="E82" s="157">
        <f t="shared" si="2"/>
        <v>-24922</v>
      </c>
      <c r="F82" s="161">
        <f t="shared" si="3"/>
        <v>-0.13511593990750831</v>
      </c>
    </row>
    <row r="83" spans="1:6" ht="15" customHeight="1" x14ac:dyDescent="0.2">
      <c r="A83" s="147">
        <v>22</v>
      </c>
      <c r="B83" s="160" t="s">
        <v>218</v>
      </c>
      <c r="C83" s="157">
        <v>72247</v>
      </c>
      <c r="D83" s="157">
        <v>67515</v>
      </c>
      <c r="E83" s="157">
        <f t="shared" si="2"/>
        <v>-4732</v>
      </c>
      <c r="F83" s="161">
        <f t="shared" si="3"/>
        <v>-6.5497529309175462E-2</v>
      </c>
    </row>
    <row r="84" spans="1:6" ht="15" customHeight="1" x14ac:dyDescent="0.2">
      <c r="A84" s="147">
        <v>23</v>
      </c>
      <c r="B84" s="160" t="s">
        <v>219</v>
      </c>
      <c r="C84" s="157">
        <v>15797</v>
      </c>
      <c r="D84" s="157">
        <v>327069</v>
      </c>
      <c r="E84" s="157">
        <f t="shared" si="2"/>
        <v>311272</v>
      </c>
      <c r="F84" s="161">
        <f t="shared" si="3"/>
        <v>19.704500854592645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132324</v>
      </c>
      <c r="D86" s="157">
        <v>122036</v>
      </c>
      <c r="E86" s="157">
        <f t="shared" si="2"/>
        <v>-10288</v>
      </c>
      <c r="F86" s="161">
        <f t="shared" si="3"/>
        <v>-7.7748556573259575E-2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1246632</v>
      </c>
      <c r="E87" s="157">
        <f t="shared" si="2"/>
        <v>1246632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4597935</v>
      </c>
      <c r="E89" s="157">
        <f t="shared" si="2"/>
        <v>4597935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12647260</v>
      </c>
      <c r="D90" s="158">
        <f>SUM(D62:D89)</f>
        <v>18360470</v>
      </c>
      <c r="E90" s="158">
        <f t="shared" si="2"/>
        <v>5713210</v>
      </c>
      <c r="F90" s="159">
        <f t="shared" si="3"/>
        <v>0.45173500030836716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4869367</v>
      </c>
      <c r="D93" s="157">
        <v>2480566</v>
      </c>
      <c r="E93" s="157">
        <f>+D93-C93</f>
        <v>-2388801</v>
      </c>
      <c r="F93" s="161">
        <f>IF(C93=0,0,E93/C93)</f>
        <v>-0.49057731733919419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109004882</v>
      </c>
      <c r="D95" s="158">
        <f>+D93+D90+D59+D50+D47+D44+D41+D35+D30+D24+D18</f>
        <v>111527723</v>
      </c>
      <c r="E95" s="158">
        <f>+D95-C95</f>
        <v>2522841</v>
      </c>
      <c r="F95" s="159">
        <f>IF(C95=0,0,E95/C95)</f>
        <v>2.3144293665672697E-2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6660043</v>
      </c>
      <c r="D103" s="157">
        <v>6180389</v>
      </c>
      <c r="E103" s="157">
        <f t="shared" ref="E103:E121" si="4">D103-C103</f>
        <v>-479654</v>
      </c>
      <c r="F103" s="161">
        <f t="shared" ref="F103:F121" si="5">IF(C103=0,0,E103/C103)</f>
        <v>-7.2019655128352775E-2</v>
      </c>
    </row>
    <row r="104" spans="1:6" ht="15" customHeight="1" x14ac:dyDescent="0.2">
      <c r="A104" s="147">
        <v>2</v>
      </c>
      <c r="B104" s="169" t="s">
        <v>234</v>
      </c>
      <c r="C104" s="157">
        <v>1230423</v>
      </c>
      <c r="D104" s="157">
        <v>1262449</v>
      </c>
      <c r="E104" s="157">
        <f t="shared" si="4"/>
        <v>32026</v>
      </c>
      <c r="F104" s="161">
        <f t="shared" si="5"/>
        <v>2.6028447127532564E-2</v>
      </c>
    </row>
    <row r="105" spans="1:6" ht="15" customHeight="1" x14ac:dyDescent="0.2">
      <c r="A105" s="147">
        <v>3</v>
      </c>
      <c r="B105" s="169" t="s">
        <v>235</v>
      </c>
      <c r="C105" s="157">
        <v>2919835</v>
      </c>
      <c r="D105" s="157">
        <v>2951851</v>
      </c>
      <c r="E105" s="157">
        <f t="shared" si="4"/>
        <v>32016</v>
      </c>
      <c r="F105" s="161">
        <f t="shared" si="5"/>
        <v>1.0965003159425104E-2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413503</v>
      </c>
      <c r="E107" s="157">
        <f t="shared" si="4"/>
        <v>413503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580250</v>
      </c>
      <c r="D108" s="157">
        <v>731883</v>
      </c>
      <c r="E108" s="157">
        <f t="shared" si="4"/>
        <v>151633</v>
      </c>
      <c r="F108" s="161">
        <f t="shared" si="5"/>
        <v>0.2613235674278328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15860078</v>
      </c>
      <c r="E109" s="157">
        <f t="shared" si="4"/>
        <v>15860078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554626</v>
      </c>
      <c r="E111" s="157">
        <f t="shared" si="4"/>
        <v>554626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1906102</v>
      </c>
      <c r="D112" s="157">
        <v>1932784</v>
      </c>
      <c r="E112" s="157">
        <f t="shared" si="4"/>
        <v>26682</v>
      </c>
      <c r="F112" s="161">
        <f t="shared" si="5"/>
        <v>1.3998201565288741E-2</v>
      </c>
    </row>
    <row r="113" spans="1:6" ht="15" customHeight="1" x14ac:dyDescent="0.2">
      <c r="A113" s="147">
        <v>11</v>
      </c>
      <c r="B113" s="169" t="s">
        <v>243</v>
      </c>
      <c r="C113" s="157">
        <v>1006502</v>
      </c>
      <c r="D113" s="157">
        <v>1053013</v>
      </c>
      <c r="E113" s="157">
        <f t="shared" si="4"/>
        <v>46511</v>
      </c>
      <c r="F113" s="161">
        <f t="shared" si="5"/>
        <v>4.6210539074934776E-2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4172558</v>
      </c>
      <c r="D115" s="157">
        <v>3637811</v>
      </c>
      <c r="E115" s="157">
        <f t="shared" si="4"/>
        <v>-534747</v>
      </c>
      <c r="F115" s="161">
        <f t="shared" si="5"/>
        <v>-0.12815807473497073</v>
      </c>
    </row>
    <row r="116" spans="1:6" ht="15" customHeight="1" x14ac:dyDescent="0.2">
      <c r="A116" s="147">
        <v>14</v>
      </c>
      <c r="B116" s="169" t="s">
        <v>246</v>
      </c>
      <c r="C116" s="157">
        <v>571994</v>
      </c>
      <c r="D116" s="157">
        <v>616856</v>
      </c>
      <c r="E116" s="157">
        <f t="shared" si="4"/>
        <v>44862</v>
      </c>
      <c r="F116" s="161">
        <f t="shared" si="5"/>
        <v>7.8430892631740898E-2</v>
      </c>
    </row>
    <row r="117" spans="1:6" ht="15" customHeight="1" x14ac:dyDescent="0.2">
      <c r="A117" s="147">
        <v>15</v>
      </c>
      <c r="B117" s="169" t="s">
        <v>203</v>
      </c>
      <c r="C117" s="157">
        <v>1224238</v>
      </c>
      <c r="D117" s="157">
        <v>871721</v>
      </c>
      <c r="E117" s="157">
        <f t="shared" si="4"/>
        <v>-352517</v>
      </c>
      <c r="F117" s="161">
        <f t="shared" si="5"/>
        <v>-0.28794809505994751</v>
      </c>
    </row>
    <row r="118" spans="1:6" ht="15" customHeight="1" x14ac:dyDescent="0.2">
      <c r="A118" s="147">
        <v>16</v>
      </c>
      <c r="B118" s="169" t="s">
        <v>247</v>
      </c>
      <c r="C118" s="157">
        <v>270450</v>
      </c>
      <c r="D118" s="157">
        <v>243286</v>
      </c>
      <c r="E118" s="157">
        <f t="shared" si="4"/>
        <v>-27164</v>
      </c>
      <c r="F118" s="161">
        <f t="shared" si="5"/>
        <v>-0.10044000739508227</v>
      </c>
    </row>
    <row r="119" spans="1:6" ht="15" customHeight="1" x14ac:dyDescent="0.2">
      <c r="A119" s="147">
        <v>17</v>
      </c>
      <c r="B119" s="169" t="s">
        <v>248</v>
      </c>
      <c r="C119" s="157">
        <v>6410960</v>
      </c>
      <c r="D119" s="157">
        <v>6684917</v>
      </c>
      <c r="E119" s="157">
        <f t="shared" si="4"/>
        <v>273957</v>
      </c>
      <c r="F119" s="161">
        <f t="shared" si="5"/>
        <v>4.2732601669640741E-2</v>
      </c>
    </row>
    <row r="120" spans="1:6" ht="15" customHeight="1" x14ac:dyDescent="0.2">
      <c r="A120" s="147">
        <v>18</v>
      </c>
      <c r="B120" s="169" t="s">
        <v>249</v>
      </c>
      <c r="C120" s="157">
        <v>2114598</v>
      </c>
      <c r="D120" s="157">
        <v>2051348</v>
      </c>
      <c r="E120" s="157">
        <f t="shared" si="4"/>
        <v>-63250</v>
      </c>
      <c r="F120" s="161">
        <f t="shared" si="5"/>
        <v>-2.9911122586893584E-2</v>
      </c>
    </row>
    <row r="121" spans="1:6" ht="15.75" customHeight="1" x14ac:dyDescent="0.25">
      <c r="A121" s="147"/>
      <c r="B121" s="165" t="s">
        <v>250</v>
      </c>
      <c r="C121" s="158">
        <f>SUM(C103:C120)</f>
        <v>29067953</v>
      </c>
      <c r="D121" s="158">
        <f>SUM(D103:D120)</f>
        <v>45046515</v>
      </c>
      <c r="E121" s="158">
        <f t="shared" si="4"/>
        <v>15978562</v>
      </c>
      <c r="F121" s="159">
        <f t="shared" si="5"/>
        <v>0.54969684311791756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131835</v>
      </c>
      <c r="D124" s="157">
        <v>130423</v>
      </c>
      <c r="E124" s="157">
        <f t="shared" ref="E124:E130" si="6">D124-C124</f>
        <v>-1412</v>
      </c>
      <c r="F124" s="161">
        <f t="shared" ref="F124:F130" si="7">IF(C124=0,0,E124/C124)</f>
        <v>-1.0710357644024728E-2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1535810</v>
      </c>
      <c r="D126" s="157">
        <v>1458627</v>
      </c>
      <c r="E126" s="157">
        <f t="shared" si="6"/>
        <v>-77183</v>
      </c>
      <c r="F126" s="161">
        <f t="shared" si="7"/>
        <v>-5.0255565467082514E-2</v>
      </c>
    </row>
    <row r="127" spans="1:6" ht="15" customHeight="1" x14ac:dyDescent="0.2">
      <c r="A127" s="147">
        <v>4</v>
      </c>
      <c r="B127" s="169" t="s">
        <v>255</v>
      </c>
      <c r="C127" s="157">
        <v>1039389</v>
      </c>
      <c r="D127" s="157">
        <v>1024630</v>
      </c>
      <c r="E127" s="157">
        <f t="shared" si="6"/>
        <v>-14759</v>
      </c>
      <c r="F127" s="161">
        <f t="shared" si="7"/>
        <v>-1.4199688470822763E-2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750568</v>
      </c>
      <c r="E128" s="157">
        <f t="shared" si="6"/>
        <v>750568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116847</v>
      </c>
      <c r="D129" s="157">
        <v>90716</v>
      </c>
      <c r="E129" s="157">
        <f t="shared" si="6"/>
        <v>-26131</v>
      </c>
      <c r="F129" s="161">
        <f t="shared" si="7"/>
        <v>-0.2236343252287179</v>
      </c>
    </row>
    <row r="130" spans="1:6" ht="15.75" customHeight="1" x14ac:dyDescent="0.25">
      <c r="A130" s="147"/>
      <c r="B130" s="165" t="s">
        <v>258</v>
      </c>
      <c r="C130" s="158">
        <f>SUM(C124:C129)</f>
        <v>2823881</v>
      </c>
      <c r="D130" s="158">
        <f>SUM(D124:D129)</f>
        <v>3454964</v>
      </c>
      <c r="E130" s="158">
        <f t="shared" si="6"/>
        <v>631083</v>
      </c>
      <c r="F130" s="159">
        <f t="shared" si="7"/>
        <v>0.22348073449270703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4937103</v>
      </c>
      <c r="D133" s="157">
        <v>6225228</v>
      </c>
      <c r="E133" s="157">
        <f t="shared" ref="E133:E167" si="8">D133-C133</f>
        <v>1288125</v>
      </c>
      <c r="F133" s="161">
        <f t="shared" ref="F133:F167" si="9">IF(C133=0,0,E133/C133)</f>
        <v>0.26090705419757293</v>
      </c>
    </row>
    <row r="134" spans="1:6" ht="15" customHeight="1" x14ac:dyDescent="0.2">
      <c r="A134" s="147">
        <v>2</v>
      </c>
      <c r="B134" s="169" t="s">
        <v>261</v>
      </c>
      <c r="C134" s="157">
        <v>545571</v>
      </c>
      <c r="D134" s="157">
        <v>515903</v>
      </c>
      <c r="E134" s="157">
        <f t="shared" si="8"/>
        <v>-29668</v>
      </c>
      <c r="F134" s="161">
        <f t="shared" si="9"/>
        <v>-5.4379723262416808E-2</v>
      </c>
    </row>
    <row r="135" spans="1:6" ht="15" customHeight="1" x14ac:dyDescent="0.2">
      <c r="A135" s="147">
        <v>3</v>
      </c>
      <c r="B135" s="169" t="s">
        <v>262</v>
      </c>
      <c r="C135" s="157">
        <v>472995</v>
      </c>
      <c r="D135" s="157">
        <v>230943</v>
      </c>
      <c r="E135" s="157">
        <f t="shared" si="8"/>
        <v>-242052</v>
      </c>
      <c r="F135" s="161">
        <f t="shared" si="9"/>
        <v>-0.51174325309992708</v>
      </c>
    </row>
    <row r="136" spans="1:6" ht="15" customHeight="1" x14ac:dyDescent="0.2">
      <c r="A136" s="147">
        <v>4</v>
      </c>
      <c r="B136" s="169" t="s">
        <v>263</v>
      </c>
      <c r="C136" s="157">
        <v>1178547</v>
      </c>
      <c r="D136" s="157">
        <v>1311257</v>
      </c>
      <c r="E136" s="157">
        <f t="shared" si="8"/>
        <v>132710</v>
      </c>
      <c r="F136" s="161">
        <f t="shared" si="9"/>
        <v>0.11260475823195851</v>
      </c>
    </row>
    <row r="137" spans="1:6" ht="15" customHeight="1" x14ac:dyDescent="0.2">
      <c r="A137" s="147">
        <v>5</v>
      </c>
      <c r="B137" s="169" t="s">
        <v>264</v>
      </c>
      <c r="C137" s="157">
        <v>2302907</v>
      </c>
      <c r="D137" s="157">
        <v>2273776</v>
      </c>
      <c r="E137" s="157">
        <f t="shared" si="8"/>
        <v>-29131</v>
      </c>
      <c r="F137" s="161">
        <f t="shared" si="9"/>
        <v>-1.2649664098463378E-2</v>
      </c>
    </row>
    <row r="138" spans="1:6" ht="15" customHeight="1" x14ac:dyDescent="0.2">
      <c r="A138" s="147">
        <v>6</v>
      </c>
      <c r="B138" s="169" t="s">
        <v>265</v>
      </c>
      <c r="C138" s="157">
        <v>911358</v>
      </c>
      <c r="D138" s="157">
        <v>890975</v>
      </c>
      <c r="E138" s="157">
        <f t="shared" si="8"/>
        <v>-20383</v>
      </c>
      <c r="F138" s="161">
        <f t="shared" si="9"/>
        <v>-2.2365524854118798E-2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479844</v>
      </c>
      <c r="D140" s="157">
        <v>477869</v>
      </c>
      <c r="E140" s="157">
        <f t="shared" si="8"/>
        <v>-1975</v>
      </c>
      <c r="F140" s="161">
        <f t="shared" si="9"/>
        <v>-4.1159210076608232E-3</v>
      </c>
    </row>
    <row r="141" spans="1:6" ht="15" customHeight="1" x14ac:dyDescent="0.2">
      <c r="A141" s="147">
        <v>9</v>
      </c>
      <c r="B141" s="169" t="s">
        <v>268</v>
      </c>
      <c r="C141" s="157">
        <v>623751</v>
      </c>
      <c r="D141" s="157">
        <v>633229</v>
      </c>
      <c r="E141" s="157">
        <f t="shared" si="8"/>
        <v>9478</v>
      </c>
      <c r="F141" s="161">
        <f t="shared" si="9"/>
        <v>1.5195166019773916E-2</v>
      </c>
    </row>
    <row r="142" spans="1:6" ht="15" customHeight="1" x14ac:dyDescent="0.2">
      <c r="A142" s="147">
        <v>10</v>
      </c>
      <c r="B142" s="169" t="s">
        <v>269</v>
      </c>
      <c r="C142" s="157">
        <v>6876052</v>
      </c>
      <c r="D142" s="157">
        <v>6505027</v>
      </c>
      <c r="E142" s="157">
        <f t="shared" si="8"/>
        <v>-371025</v>
      </c>
      <c r="F142" s="161">
        <f t="shared" si="9"/>
        <v>-5.3959016016749149E-2</v>
      </c>
    </row>
    <row r="143" spans="1:6" ht="15" customHeight="1" x14ac:dyDescent="0.2">
      <c r="A143" s="147">
        <v>11</v>
      </c>
      <c r="B143" s="169" t="s">
        <v>270</v>
      </c>
      <c r="C143" s="157">
        <v>244777</v>
      </c>
      <c r="D143" s="157">
        <v>312915</v>
      </c>
      <c r="E143" s="157">
        <f t="shared" si="8"/>
        <v>68138</v>
      </c>
      <c r="F143" s="161">
        <f t="shared" si="9"/>
        <v>0.27836765709196531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508686</v>
      </c>
      <c r="D145" s="157">
        <v>414061</v>
      </c>
      <c r="E145" s="157">
        <f t="shared" si="8"/>
        <v>-94625</v>
      </c>
      <c r="F145" s="161">
        <f t="shared" si="9"/>
        <v>-0.18601848684650255</v>
      </c>
    </row>
    <row r="146" spans="1:6" ht="15" customHeight="1" x14ac:dyDescent="0.2">
      <c r="A146" s="147">
        <v>14</v>
      </c>
      <c r="B146" s="169" t="s">
        <v>273</v>
      </c>
      <c r="C146" s="157">
        <v>138658</v>
      </c>
      <c r="D146" s="157">
        <v>126300</v>
      </c>
      <c r="E146" s="157">
        <f t="shared" si="8"/>
        <v>-12358</v>
      </c>
      <c r="F146" s="161">
        <f t="shared" si="9"/>
        <v>-8.9125762667859043E-2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726742</v>
      </c>
      <c r="D150" s="157">
        <v>642307</v>
      </c>
      <c r="E150" s="157">
        <f t="shared" si="8"/>
        <v>-84435</v>
      </c>
      <c r="F150" s="161">
        <f t="shared" si="9"/>
        <v>-0.11618290947819171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337801</v>
      </c>
      <c r="D152" s="157">
        <v>344363</v>
      </c>
      <c r="E152" s="157">
        <f t="shared" si="8"/>
        <v>6562</v>
      </c>
      <c r="F152" s="161">
        <f t="shared" si="9"/>
        <v>1.942563817158623E-2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3432688</v>
      </c>
      <c r="D156" s="157">
        <v>3541472</v>
      </c>
      <c r="E156" s="157">
        <f t="shared" si="8"/>
        <v>108784</v>
      </c>
      <c r="F156" s="161">
        <f t="shared" si="9"/>
        <v>3.1690616799429486E-2</v>
      </c>
    </row>
    <row r="157" spans="1:6" ht="15" customHeight="1" x14ac:dyDescent="0.2">
      <c r="A157" s="147">
        <v>25</v>
      </c>
      <c r="B157" s="169" t="s">
        <v>284</v>
      </c>
      <c r="C157" s="157">
        <v>1528431</v>
      </c>
      <c r="D157" s="157">
        <v>1297166</v>
      </c>
      <c r="E157" s="157">
        <f t="shared" si="8"/>
        <v>-231265</v>
      </c>
      <c r="F157" s="161">
        <f t="shared" si="9"/>
        <v>-0.15130876042163499</v>
      </c>
    </row>
    <row r="158" spans="1:6" ht="15" customHeight="1" x14ac:dyDescent="0.2">
      <c r="A158" s="147">
        <v>26</v>
      </c>
      <c r="B158" s="169" t="s">
        <v>285</v>
      </c>
      <c r="C158" s="157">
        <v>228778</v>
      </c>
      <c r="D158" s="157">
        <v>181930</v>
      </c>
      <c r="E158" s="157">
        <f t="shared" si="8"/>
        <v>-46848</v>
      </c>
      <c r="F158" s="161">
        <f t="shared" si="9"/>
        <v>-0.20477493465280752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803050</v>
      </c>
      <c r="D160" s="157">
        <v>933042</v>
      </c>
      <c r="E160" s="157">
        <f t="shared" si="8"/>
        <v>129992</v>
      </c>
      <c r="F160" s="161">
        <f t="shared" si="9"/>
        <v>0.16187285972230869</v>
      </c>
    </row>
    <row r="161" spans="1:6" ht="15" customHeight="1" x14ac:dyDescent="0.2">
      <c r="A161" s="147">
        <v>29</v>
      </c>
      <c r="B161" s="169" t="s">
        <v>288</v>
      </c>
      <c r="C161" s="157">
        <v>481564</v>
      </c>
      <c r="D161" s="157">
        <v>466766</v>
      </c>
      <c r="E161" s="157">
        <f t="shared" si="8"/>
        <v>-14798</v>
      </c>
      <c r="F161" s="161">
        <f t="shared" si="9"/>
        <v>-3.0729041207399225E-2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300720</v>
      </c>
      <c r="D163" s="157">
        <v>309738</v>
      </c>
      <c r="E163" s="157">
        <f t="shared" si="8"/>
        <v>9018</v>
      </c>
      <c r="F163" s="161">
        <f t="shared" si="9"/>
        <v>2.9988028731045491E-2</v>
      </c>
    </row>
    <row r="164" spans="1:6" ht="15" customHeight="1" x14ac:dyDescent="0.2">
      <c r="A164" s="147">
        <v>32</v>
      </c>
      <c r="B164" s="169" t="s">
        <v>291</v>
      </c>
      <c r="C164" s="157">
        <v>0</v>
      </c>
      <c r="D164" s="157">
        <v>0</v>
      </c>
      <c r="E164" s="157">
        <f t="shared" si="8"/>
        <v>0</v>
      </c>
      <c r="F164" s="161">
        <f t="shared" si="9"/>
        <v>0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2234721</v>
      </c>
      <c r="D166" s="157">
        <v>2220754</v>
      </c>
      <c r="E166" s="157">
        <f t="shared" si="8"/>
        <v>-13967</v>
      </c>
      <c r="F166" s="161">
        <f t="shared" si="9"/>
        <v>-6.2499972032302913E-3</v>
      </c>
    </row>
    <row r="167" spans="1:6" ht="15.75" customHeight="1" x14ac:dyDescent="0.25">
      <c r="A167" s="147"/>
      <c r="B167" s="165" t="s">
        <v>294</v>
      </c>
      <c r="C167" s="158">
        <f>SUM(C133:C166)</f>
        <v>29294744</v>
      </c>
      <c r="D167" s="158">
        <f>SUM(D133:D166)</f>
        <v>29855021</v>
      </c>
      <c r="E167" s="158">
        <f t="shared" si="8"/>
        <v>560277</v>
      </c>
      <c r="F167" s="159">
        <f t="shared" si="9"/>
        <v>1.9125512754096775E-2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3093790</v>
      </c>
      <c r="D170" s="157">
        <v>3097561</v>
      </c>
      <c r="E170" s="157">
        <f t="shared" ref="E170:E183" si="10">D170-C170</f>
        <v>3771</v>
      </c>
      <c r="F170" s="161">
        <f t="shared" ref="F170:F183" si="11">IF(C170=0,0,E170/C170)</f>
        <v>1.2188933314801586E-3</v>
      </c>
    </row>
    <row r="171" spans="1:6" ht="15" customHeight="1" x14ac:dyDescent="0.2">
      <c r="A171" s="147">
        <v>2</v>
      </c>
      <c r="B171" s="169" t="s">
        <v>297</v>
      </c>
      <c r="C171" s="157">
        <v>2629491</v>
      </c>
      <c r="D171" s="157">
        <v>2629471</v>
      </c>
      <c r="E171" s="157">
        <f t="shared" si="10"/>
        <v>-20</v>
      </c>
      <c r="F171" s="161">
        <f t="shared" si="11"/>
        <v>-7.6060347801152389E-6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2563497</v>
      </c>
      <c r="D173" s="157">
        <v>2527982</v>
      </c>
      <c r="E173" s="157">
        <f t="shared" si="10"/>
        <v>-35515</v>
      </c>
      <c r="F173" s="161">
        <f t="shared" si="11"/>
        <v>-1.385412192797573E-2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476708</v>
      </c>
      <c r="D175" s="157">
        <v>404101</v>
      </c>
      <c r="E175" s="157">
        <f t="shared" si="10"/>
        <v>-72607</v>
      </c>
      <c r="F175" s="161">
        <f t="shared" si="11"/>
        <v>-0.15230917039361622</v>
      </c>
    </row>
    <row r="176" spans="1:6" ht="15" customHeight="1" x14ac:dyDescent="0.2">
      <c r="A176" s="147">
        <v>7</v>
      </c>
      <c r="B176" s="169" t="s">
        <v>302</v>
      </c>
      <c r="C176" s="157">
        <v>637972</v>
      </c>
      <c r="D176" s="157">
        <v>632286</v>
      </c>
      <c r="E176" s="157">
        <f t="shared" si="10"/>
        <v>-5686</v>
      </c>
      <c r="F176" s="161">
        <f t="shared" si="11"/>
        <v>-8.9126168546581983E-3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2365875</v>
      </c>
      <c r="D178" s="157">
        <v>2163345</v>
      </c>
      <c r="E178" s="157">
        <f t="shared" si="10"/>
        <v>-202530</v>
      </c>
      <c r="F178" s="161">
        <f t="shared" si="11"/>
        <v>-8.5604691710255185E-2</v>
      </c>
    </row>
    <row r="179" spans="1:6" ht="15" customHeight="1" x14ac:dyDescent="0.2">
      <c r="A179" s="147">
        <v>10</v>
      </c>
      <c r="B179" s="169" t="s">
        <v>305</v>
      </c>
      <c r="C179" s="157">
        <v>1332231</v>
      </c>
      <c r="D179" s="157">
        <v>1399311</v>
      </c>
      <c r="E179" s="157">
        <f t="shared" si="10"/>
        <v>67080</v>
      </c>
      <c r="F179" s="161">
        <f t="shared" si="11"/>
        <v>5.0351628208621477E-2</v>
      </c>
    </row>
    <row r="180" spans="1:6" ht="15" customHeight="1" x14ac:dyDescent="0.2">
      <c r="A180" s="147">
        <v>11</v>
      </c>
      <c r="B180" s="169" t="s">
        <v>306</v>
      </c>
      <c r="C180" s="157">
        <v>5847799</v>
      </c>
      <c r="D180" s="157">
        <v>5444024</v>
      </c>
      <c r="E180" s="157">
        <f t="shared" si="10"/>
        <v>-403775</v>
      </c>
      <c r="F180" s="161">
        <f t="shared" si="11"/>
        <v>-6.904734584755734E-2</v>
      </c>
    </row>
    <row r="181" spans="1:6" ht="15" customHeight="1" x14ac:dyDescent="0.2">
      <c r="A181" s="147">
        <v>12</v>
      </c>
      <c r="B181" s="169" t="s">
        <v>307</v>
      </c>
      <c r="C181" s="157">
        <v>1178427</v>
      </c>
      <c r="D181" s="157">
        <v>1241536</v>
      </c>
      <c r="E181" s="157">
        <f t="shared" si="10"/>
        <v>63109</v>
      </c>
      <c r="F181" s="161">
        <f t="shared" si="11"/>
        <v>5.3553593052433457E-2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20125790</v>
      </c>
      <c r="D183" s="158">
        <f>SUM(D170:D182)</f>
        <v>19539617</v>
      </c>
      <c r="E183" s="158">
        <f t="shared" si="10"/>
        <v>-586173</v>
      </c>
      <c r="F183" s="159">
        <f t="shared" si="11"/>
        <v>-2.9125465385458162E-2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27692514</v>
      </c>
      <c r="D186" s="157">
        <v>13631606</v>
      </c>
      <c r="E186" s="157">
        <f>D186-C186</f>
        <v>-14060908</v>
      </c>
      <c r="F186" s="161">
        <f>IF(C186=0,0,E186/C186)</f>
        <v>-0.50775122836445985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109004882</v>
      </c>
      <c r="D188" s="158">
        <f>+D186+D183+D167+D130+D121</f>
        <v>111527723</v>
      </c>
      <c r="E188" s="158">
        <f>D188-C188</f>
        <v>2522841</v>
      </c>
      <c r="F188" s="159">
        <f>IF(C188=0,0,E188/C188)</f>
        <v>2.3144293665672697E-2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104649330</v>
      </c>
      <c r="D11" s="183">
        <v>104847336</v>
      </c>
      <c r="E11" s="76">
        <v>106271224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6431641</v>
      </c>
      <c r="D12" s="185">
        <v>6695752</v>
      </c>
      <c r="E12" s="185">
        <v>3398748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111080971</v>
      </c>
      <c r="D13" s="76">
        <f>+D11+D12</f>
        <v>111543088</v>
      </c>
      <c r="E13" s="76">
        <f>+E11+E12</f>
        <v>109669972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110624592</v>
      </c>
      <c r="D14" s="185">
        <v>109004882</v>
      </c>
      <c r="E14" s="185">
        <v>111527723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456379</v>
      </c>
      <c r="D15" s="76">
        <f>+D13-D14</f>
        <v>2538206</v>
      </c>
      <c r="E15" s="76">
        <f>+E13-E14</f>
        <v>-1857751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430535</v>
      </c>
      <c r="D16" s="185">
        <v>519164</v>
      </c>
      <c r="E16" s="185">
        <v>1280830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886914</v>
      </c>
      <c r="D17" s="76">
        <f>D15+D16</f>
        <v>3057370</v>
      </c>
      <c r="E17" s="76">
        <f>E15+E16</f>
        <v>-576921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4.0926628683501057E-3</v>
      </c>
      <c r="D20" s="189">
        <f>IF(+D27=0,0,+D24/+D27)</f>
        <v>2.2649964235949855E-2</v>
      </c>
      <c r="E20" s="189">
        <f>IF(+E27=0,0,+E24/+E27)</f>
        <v>-1.674391682179999E-2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3.8609020310424289E-3</v>
      </c>
      <c r="D21" s="189">
        <f>IF(D27=0,0,+D26/D27)</f>
        <v>4.6328178377139876E-3</v>
      </c>
      <c r="E21" s="189">
        <f>IF(E27=0,0,+E26/E27)</f>
        <v>1.1544125656703229E-2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7.9535648993925342E-3</v>
      </c>
      <c r="D22" s="189">
        <f>IF(D27=0,0,+D28/D27)</f>
        <v>2.7282782073663841E-2</v>
      </c>
      <c r="E22" s="189">
        <f>IF(E27=0,0,+E28/E27)</f>
        <v>-5.1997911650967605E-3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456379</v>
      </c>
      <c r="D24" s="76">
        <f>+D15</f>
        <v>2538206</v>
      </c>
      <c r="E24" s="76">
        <f>+E15</f>
        <v>-1857751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111080971</v>
      </c>
      <c r="D25" s="76">
        <f>+D13</f>
        <v>111543088</v>
      </c>
      <c r="E25" s="76">
        <f>+E13</f>
        <v>109669972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430535</v>
      </c>
      <c r="D26" s="76">
        <f>+D16</f>
        <v>519164</v>
      </c>
      <c r="E26" s="76">
        <f>+E16</f>
        <v>1280830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111511506</v>
      </c>
      <c r="D27" s="76">
        <f>+D25+D26</f>
        <v>112062252</v>
      </c>
      <c r="E27" s="76">
        <f>+E25+E26</f>
        <v>110950802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886914</v>
      </c>
      <c r="D28" s="76">
        <f>+D17</f>
        <v>3057370</v>
      </c>
      <c r="E28" s="76">
        <f>+E17</f>
        <v>-576921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7050300</v>
      </c>
      <c r="D31" s="76">
        <v>-2707529</v>
      </c>
      <c r="E31" s="76">
        <v>-17585755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16084923</v>
      </c>
      <c r="D32" s="76">
        <v>4838633</v>
      </c>
      <c r="E32" s="76">
        <v>-10625859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-11331027</v>
      </c>
      <c r="D33" s="76">
        <f>+D32-C32</f>
        <v>-11246290</v>
      </c>
      <c r="E33" s="76">
        <f>+E32-D32</f>
        <v>-15464492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0.58660000000000001</v>
      </c>
      <c r="D34" s="193">
        <f>IF(C32=0,0,+D33/C32)</f>
        <v>-0.69918208498728907</v>
      </c>
      <c r="E34" s="193">
        <f>IF(D32=0,0,+E33/D32)</f>
        <v>-3.1960456600035587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0.49930668894830704</v>
      </c>
      <c r="D38" s="195">
        <f>IF((D40+D41)=0,0,+D39/(D40+D41))</f>
        <v>0.47183863723590846</v>
      </c>
      <c r="E38" s="195">
        <f>IF((E40+E41)=0,0,+E39/(E40+E41))</f>
        <v>0.45210220100314014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110624592</v>
      </c>
      <c r="D39" s="76">
        <v>109004882</v>
      </c>
      <c r="E39" s="196">
        <v>111527723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216749399</v>
      </c>
      <c r="D40" s="76">
        <v>224868002</v>
      </c>
      <c r="E40" s="196">
        <v>243567848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4807000</v>
      </c>
      <c r="D41" s="76">
        <v>6153524</v>
      </c>
      <c r="E41" s="196">
        <v>3119124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1.2046832054168157</v>
      </c>
      <c r="D43" s="197">
        <f>IF(D38=0,0,IF((D46-D47)=0,0,((+D44-D45)/(D46-D47)/D38)))</f>
        <v>1.2940167044700994</v>
      </c>
      <c r="E43" s="197">
        <f>IF(E38=0,0,IF((E46-E47)=0,0,((+E44-E45)/(E46-E47)/E38)))</f>
        <v>1.2466724845963244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47019920</v>
      </c>
      <c r="D44" s="76">
        <v>48281638</v>
      </c>
      <c r="E44" s="196">
        <v>44948249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251298</v>
      </c>
      <c r="D45" s="76">
        <v>36334</v>
      </c>
      <c r="E45" s="196">
        <v>25986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81728750</v>
      </c>
      <c r="D46" s="76">
        <v>82014227</v>
      </c>
      <c r="E46" s="196">
        <v>82410476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3976255</v>
      </c>
      <c r="D47" s="76">
        <v>2997022</v>
      </c>
      <c r="E47" s="76">
        <v>2707850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0.89296566989665982</v>
      </c>
      <c r="D49" s="198">
        <f>IF(D38=0,0,IF(D51=0,0,(D50/D51)/D38))</f>
        <v>0.91585567068460005</v>
      </c>
      <c r="E49" s="198">
        <f>IF(E38=0,0,IF(E51=0,0,(E50/E51)/E38))</f>
        <v>0.86667408412452007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40088820</v>
      </c>
      <c r="D50" s="199">
        <v>39726318</v>
      </c>
      <c r="E50" s="199">
        <v>41379564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89912718</v>
      </c>
      <c r="D51" s="199">
        <v>91930109</v>
      </c>
      <c r="E51" s="199">
        <v>105607188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0.74587745930070237</v>
      </c>
      <c r="D53" s="198">
        <f>IF(D38=0,0,IF(D55=0,0,(D54/D55)/D38))</f>
        <v>0.72514237764613032</v>
      </c>
      <c r="E53" s="198">
        <f>IF(E38=0,0,IF(E55=0,0,(E54/E55)/E38))</f>
        <v>0.71693335348370735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16352315</v>
      </c>
      <c r="D54" s="199">
        <v>16917039</v>
      </c>
      <c r="E54" s="199">
        <v>17542179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43908073</v>
      </c>
      <c r="D55" s="199">
        <v>49443313</v>
      </c>
      <c r="E55" s="199">
        <v>54121289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1859895.946144819</v>
      </c>
      <c r="D57" s="88">
        <f>+D60*D38</f>
        <v>1733173.2529699677</v>
      </c>
      <c r="E57" s="88">
        <f>+E60*E38</f>
        <v>2066548.7624347305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703850</v>
      </c>
      <c r="D58" s="199">
        <v>522721</v>
      </c>
      <c r="E58" s="199">
        <v>477319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3021107</v>
      </c>
      <c r="D59" s="199">
        <v>3150512</v>
      </c>
      <c r="E59" s="199">
        <v>4093658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3724957</v>
      </c>
      <c r="D60" s="76">
        <v>3673233</v>
      </c>
      <c r="E60" s="201">
        <v>4570977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1.681268072965927E-2</v>
      </c>
      <c r="D62" s="202">
        <f>IF(D63=0,0,+D57/D63)</f>
        <v>1.5899959902437834E-2</v>
      </c>
      <c r="E62" s="202">
        <f>IF(E63=0,0,+E57/E63)</f>
        <v>1.8529462512515658E-2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110624592</v>
      </c>
      <c r="D63" s="199">
        <v>109004882</v>
      </c>
      <c r="E63" s="199">
        <v>111527723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1.3589780203487243</v>
      </c>
      <c r="D67" s="203">
        <f>IF(D69=0,0,D68/D69)</f>
        <v>0.96893157796917573</v>
      </c>
      <c r="E67" s="203">
        <f>IF(E69=0,0,E68/E69)</f>
        <v>1.0683445285711177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32034489</v>
      </c>
      <c r="D68" s="204">
        <v>26608830</v>
      </c>
      <c r="E68" s="204">
        <v>25237334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23572485</v>
      </c>
      <c r="D69" s="204">
        <v>27462032</v>
      </c>
      <c r="E69" s="204">
        <v>23622842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27.54262367748305</v>
      </c>
      <c r="D71" s="203">
        <f>IF((D77/365)=0,0,+D74/(D77/365))</f>
        <v>32.32511504308367</v>
      </c>
      <c r="E71" s="203">
        <f>IF((E77/365)=0,0,+E74/(E77/365))</f>
        <v>22.305812472383678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5285678</v>
      </c>
      <c r="D72" s="183">
        <v>6171314</v>
      </c>
      <c r="E72" s="183">
        <v>3619557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2705332</v>
      </c>
      <c r="D73" s="206">
        <v>3023883</v>
      </c>
      <c r="E73" s="206">
        <v>2841383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7991010</v>
      </c>
      <c r="D74" s="204">
        <f>+D72+D73</f>
        <v>9195197</v>
      </c>
      <c r="E74" s="204">
        <f>+E72+E73</f>
        <v>6460940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110624592</v>
      </c>
      <c r="D75" s="204">
        <f>+D14</f>
        <v>109004882</v>
      </c>
      <c r="E75" s="204">
        <f>+E14</f>
        <v>111527723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4726233</v>
      </c>
      <c r="D76" s="204">
        <v>5177041</v>
      </c>
      <c r="E76" s="204">
        <v>5804468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105898359</v>
      </c>
      <c r="D77" s="204">
        <f>+D75-D76</f>
        <v>103827841</v>
      </c>
      <c r="E77" s="204">
        <f>+E75-E76</f>
        <v>105723255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40.893557369168057</v>
      </c>
      <c r="D79" s="203">
        <f>IF((D84/365)=0,0,+D83/(D84/365))</f>
        <v>41.024835290044948</v>
      </c>
      <c r="E79" s="203">
        <f>IF((E84/365)=0,0,+E83/(E84/365))</f>
        <v>25.852672497683848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12792119</v>
      </c>
      <c r="D80" s="212">
        <v>12518755</v>
      </c>
      <c r="E80" s="212">
        <v>10634409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1352274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1067507</v>
      </c>
      <c r="D82" s="212">
        <v>734249</v>
      </c>
      <c r="E82" s="212">
        <v>4459573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11724612</v>
      </c>
      <c r="D83" s="212">
        <f>+D80+D81-D82</f>
        <v>11784506</v>
      </c>
      <c r="E83" s="212">
        <f>+E80+E81-E82</f>
        <v>7527110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104649330</v>
      </c>
      <c r="D84" s="204">
        <f>+D11</f>
        <v>104847336</v>
      </c>
      <c r="E84" s="204">
        <f>+E11</f>
        <v>106271224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81.247312104241388</v>
      </c>
      <c r="D86" s="203">
        <f>IF((D90/365)=0,0,+D87/(D90/365))</f>
        <v>96.540981527295742</v>
      </c>
      <c r="E86" s="203">
        <f>IF((E90/365)=0,0,+E87/(E90/365))</f>
        <v>81.555730855997581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23572485</v>
      </c>
      <c r="D87" s="76">
        <f>+D69</f>
        <v>27462032</v>
      </c>
      <c r="E87" s="76">
        <f>+E69</f>
        <v>23622842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110624592</v>
      </c>
      <c r="D88" s="76">
        <f t="shared" si="0"/>
        <v>109004882</v>
      </c>
      <c r="E88" s="76">
        <f t="shared" si="0"/>
        <v>111527723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4726233</v>
      </c>
      <c r="D89" s="201">
        <f t="shared" si="0"/>
        <v>5177041</v>
      </c>
      <c r="E89" s="201">
        <f t="shared" si="0"/>
        <v>5804468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105898359</v>
      </c>
      <c r="D90" s="76">
        <f>+D88-D89</f>
        <v>103827841</v>
      </c>
      <c r="E90" s="76">
        <f>+E88-E89</f>
        <v>105723255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16.582494169372293</v>
      </c>
      <c r="D94" s="214">
        <f>IF(D96=0,0,(D95/D96)*100)</f>
        <v>5.0458952147634468</v>
      </c>
      <c r="E94" s="214">
        <f>IF(E96=0,0,(E95/E96)*100)</f>
        <v>-11.742333580519402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16084923</v>
      </c>
      <c r="D95" s="76">
        <f>+D32</f>
        <v>4838633</v>
      </c>
      <c r="E95" s="76">
        <f>+E32</f>
        <v>-10625859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96999419</v>
      </c>
      <c r="D96" s="76">
        <v>95892459</v>
      </c>
      <c r="E96" s="76">
        <v>90491885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10.532977009156845</v>
      </c>
      <c r="D98" s="214">
        <f>IF(D104=0,0,(D101/D104)*100)</f>
        <v>14.440336521260519</v>
      </c>
      <c r="E98" s="214">
        <f>IF(E104=0,0,(E101/E104)*100)</f>
        <v>10.164357198997056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886914</v>
      </c>
      <c r="D99" s="76">
        <f>+D28</f>
        <v>3057370</v>
      </c>
      <c r="E99" s="76">
        <f>+E28</f>
        <v>-576921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4726233</v>
      </c>
      <c r="D100" s="201">
        <f>+D76</f>
        <v>5177041</v>
      </c>
      <c r="E100" s="201">
        <f>+E76</f>
        <v>5804468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5613147</v>
      </c>
      <c r="D101" s="76">
        <f>+D99+D100</f>
        <v>8234411</v>
      </c>
      <c r="E101" s="76">
        <f>+E99+E100</f>
        <v>5227547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23572485</v>
      </c>
      <c r="D102" s="204">
        <f>+D69</f>
        <v>27462032</v>
      </c>
      <c r="E102" s="204">
        <f>+E69</f>
        <v>23622842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29718688</v>
      </c>
      <c r="D103" s="216">
        <v>29561646</v>
      </c>
      <c r="E103" s="216">
        <v>27807336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53291173</v>
      </c>
      <c r="D104" s="204">
        <f>+D102+D103</f>
        <v>57023678</v>
      </c>
      <c r="E104" s="204">
        <f>+E102+E103</f>
        <v>51430178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64.882849520314025</v>
      </c>
      <c r="D106" s="214">
        <f>IF(D109=0,0,(D107/D109)*100)</f>
        <v>85.934320474551967</v>
      </c>
      <c r="E106" s="214">
        <f>IF(E109=0,0,(E107/E109)*100)</f>
        <v>161.84485187158239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29718688</v>
      </c>
      <c r="D107" s="204">
        <f>+D103</f>
        <v>29561646</v>
      </c>
      <c r="E107" s="204">
        <f>+E103</f>
        <v>27807336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16084923</v>
      </c>
      <c r="D108" s="204">
        <f>+D32</f>
        <v>4838633</v>
      </c>
      <c r="E108" s="204">
        <f>+E32</f>
        <v>-10625859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45803611</v>
      </c>
      <c r="D109" s="204">
        <f>+D107+D108</f>
        <v>34400279</v>
      </c>
      <c r="E109" s="204">
        <f>+E107+E108</f>
        <v>17181477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4.2479710751635533</v>
      </c>
      <c r="D111" s="214">
        <f>IF((+D113+D115)=0,0,((+D112+D113+D114)/(+D113+D115)))</f>
        <v>4.5187548592607127</v>
      </c>
      <c r="E111" s="214">
        <f>IF((+E113+E115)=0,0,((+E112+E113+E114)/(+E113+E115)))</f>
        <v>2.9075438226068711</v>
      </c>
    </row>
    <row r="112" spans="1:6" ht="24" customHeight="1" x14ac:dyDescent="0.2">
      <c r="A112" s="85">
        <v>16</v>
      </c>
      <c r="B112" s="75" t="s">
        <v>373</v>
      </c>
      <c r="C112" s="218">
        <f>+C17</f>
        <v>886914</v>
      </c>
      <c r="D112" s="76">
        <f>+D17</f>
        <v>3057370</v>
      </c>
      <c r="E112" s="76">
        <f>+E17</f>
        <v>-576921</v>
      </c>
    </row>
    <row r="113" spans="1:8" ht="24" customHeight="1" x14ac:dyDescent="0.2">
      <c r="A113" s="85">
        <v>17</v>
      </c>
      <c r="B113" s="75" t="s">
        <v>88</v>
      </c>
      <c r="C113" s="218">
        <v>952190</v>
      </c>
      <c r="D113" s="76">
        <v>1343831</v>
      </c>
      <c r="E113" s="76">
        <v>1451212</v>
      </c>
    </row>
    <row r="114" spans="1:8" ht="24" customHeight="1" x14ac:dyDescent="0.2">
      <c r="A114" s="85">
        <v>18</v>
      </c>
      <c r="B114" s="75" t="s">
        <v>374</v>
      </c>
      <c r="C114" s="218">
        <v>4726233</v>
      </c>
      <c r="D114" s="76">
        <v>5177041</v>
      </c>
      <c r="E114" s="76">
        <v>5804468</v>
      </c>
    </row>
    <row r="115" spans="1:8" ht="24" customHeight="1" x14ac:dyDescent="0.2">
      <c r="A115" s="85">
        <v>19</v>
      </c>
      <c r="B115" s="75" t="s">
        <v>104</v>
      </c>
      <c r="C115" s="218">
        <v>593333</v>
      </c>
      <c r="D115" s="76">
        <v>775833</v>
      </c>
      <c r="E115" s="76">
        <v>845833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14.973263484893783</v>
      </c>
      <c r="D119" s="214">
        <f>IF(+D121=0,0,(+D120)/(+D121))</f>
        <v>13.932687031066589</v>
      </c>
      <c r="E119" s="214">
        <f>IF(+E121=0,0,(+E120)/(+E121))</f>
        <v>12.615056539203938</v>
      </c>
    </row>
    <row r="120" spans="1:8" ht="24" customHeight="1" x14ac:dyDescent="0.2">
      <c r="A120" s="85">
        <v>21</v>
      </c>
      <c r="B120" s="75" t="s">
        <v>378</v>
      </c>
      <c r="C120" s="218">
        <v>70767132</v>
      </c>
      <c r="D120" s="218">
        <v>72130092</v>
      </c>
      <c r="E120" s="218">
        <v>73223692</v>
      </c>
    </row>
    <row r="121" spans="1:8" ht="24" customHeight="1" x14ac:dyDescent="0.2">
      <c r="A121" s="85">
        <v>22</v>
      </c>
      <c r="B121" s="75" t="s">
        <v>374</v>
      </c>
      <c r="C121" s="218">
        <v>4726233</v>
      </c>
      <c r="D121" s="218">
        <v>5177041</v>
      </c>
      <c r="E121" s="218">
        <v>5804468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16124</v>
      </c>
      <c r="D124" s="218">
        <v>16844</v>
      </c>
      <c r="E124" s="218">
        <v>16760</v>
      </c>
    </row>
    <row r="125" spans="1:8" ht="24" customHeight="1" x14ac:dyDescent="0.2">
      <c r="A125" s="85">
        <v>2</v>
      </c>
      <c r="B125" s="75" t="s">
        <v>381</v>
      </c>
      <c r="C125" s="218">
        <v>4331</v>
      </c>
      <c r="D125" s="218">
        <v>4511</v>
      </c>
      <c r="E125" s="218">
        <v>4451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3.7229277303163242</v>
      </c>
      <c r="D126" s="219">
        <f>IF(D125=0,0,D124/D125)</f>
        <v>3.7339835956550655</v>
      </c>
      <c r="E126" s="219">
        <f>IF(E125=0,0,E124/E125)</f>
        <v>3.7654459671983824</v>
      </c>
    </row>
    <row r="127" spans="1:8" ht="24" customHeight="1" x14ac:dyDescent="0.2">
      <c r="A127" s="85">
        <v>4</v>
      </c>
      <c r="B127" s="75" t="s">
        <v>383</v>
      </c>
      <c r="C127" s="218">
        <v>65</v>
      </c>
      <c r="D127" s="218">
        <v>65</v>
      </c>
      <c r="E127" s="218">
        <v>65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0.67959999999999998</v>
      </c>
      <c r="D130" s="193">
        <v>0.70989999999999998</v>
      </c>
      <c r="E130" s="193">
        <v>0.70640000000000003</v>
      </c>
    </row>
    <row r="131" spans="1:7" ht="24" customHeight="1" x14ac:dyDescent="0.2">
      <c r="A131" s="85">
        <v>8</v>
      </c>
      <c r="B131" s="75" t="s">
        <v>387</v>
      </c>
      <c r="C131" s="193">
        <v>0.36199999999999999</v>
      </c>
      <c r="D131" s="193">
        <v>0.37819999999999998</v>
      </c>
      <c r="E131" s="193">
        <v>0.37630000000000002</v>
      </c>
    </row>
    <row r="132" spans="1:7" ht="24" customHeight="1" x14ac:dyDescent="0.2">
      <c r="A132" s="85">
        <v>9</v>
      </c>
      <c r="B132" s="75" t="s">
        <v>388</v>
      </c>
      <c r="C132" s="219">
        <v>806.7</v>
      </c>
      <c r="D132" s="219">
        <v>783.9</v>
      </c>
      <c r="E132" s="219">
        <v>758.1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0.3587206947688007</v>
      </c>
      <c r="D135" s="227">
        <f>IF(D149=0,0,D143/D149)</f>
        <v>0.35139372563998678</v>
      </c>
      <c r="E135" s="227">
        <f>IF(E149=0,0,E143/E149)</f>
        <v>0.32722966785008506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0.4148233785875457</v>
      </c>
      <c r="D136" s="227">
        <f>IF(D149=0,0,D144/D149)</f>
        <v>0.40881809853942669</v>
      </c>
      <c r="E136" s="227">
        <f>IF(E149=0,0,E144/E149)</f>
        <v>0.43358427176315983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0.20257529295386881</v>
      </c>
      <c r="D137" s="227">
        <f>IF(D149=0,0,D145/D149)</f>
        <v>0.21987705035952604</v>
      </c>
      <c r="E137" s="227">
        <f>IF(E149=0,0,E145/E149)</f>
        <v>0.22220210690534162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1.8344941293239755E-2</v>
      </c>
      <c r="D139" s="227">
        <f>IF(D149=0,0,D147/D149)</f>
        <v>1.3327916703773621E-2</v>
      </c>
      <c r="E139" s="227">
        <f>IF(E149=0,0,E147/E149)</f>
        <v>1.1117436156844478E-2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5.5356923965450069E-3</v>
      </c>
      <c r="D140" s="227">
        <f>IF(D149=0,0,D148/D149)</f>
        <v>6.5832087572868635E-3</v>
      </c>
      <c r="E140" s="227">
        <f>IF(E149=0,0,E148/E149)</f>
        <v>5.866517324569046E-3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77752495</v>
      </c>
      <c r="D143" s="229">
        <f>+D46-D147</f>
        <v>79017205</v>
      </c>
      <c r="E143" s="229">
        <f>+E46-E147</f>
        <v>79702626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89912718</v>
      </c>
      <c r="D144" s="229">
        <f>+D51</f>
        <v>91930109</v>
      </c>
      <c r="E144" s="229">
        <f>+E51</f>
        <v>105607188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43908073</v>
      </c>
      <c r="D145" s="229">
        <f>+D55</f>
        <v>49443313</v>
      </c>
      <c r="E145" s="229">
        <f>+E55</f>
        <v>54121289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3976255</v>
      </c>
      <c r="D147" s="229">
        <f>+D47</f>
        <v>2997022</v>
      </c>
      <c r="E147" s="229">
        <f>+E47</f>
        <v>2707850</v>
      </c>
    </row>
    <row r="148" spans="1:7" ht="20.100000000000001" customHeight="1" x14ac:dyDescent="0.2">
      <c r="A148" s="226">
        <v>13</v>
      </c>
      <c r="B148" s="224" t="s">
        <v>402</v>
      </c>
      <c r="C148" s="230">
        <v>1199858</v>
      </c>
      <c r="D148" s="229">
        <v>1480353</v>
      </c>
      <c r="E148" s="229">
        <v>1428895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216749399</v>
      </c>
      <c r="D149" s="229">
        <f>SUM(D143:D148)</f>
        <v>224868002</v>
      </c>
      <c r="E149" s="229">
        <f>SUM(E143:E148)</f>
        <v>243567848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0.45010357643668669</v>
      </c>
      <c r="D152" s="227">
        <f>IF(D166=0,0,D160/D166)</f>
        <v>0.45788742106948976</v>
      </c>
      <c r="E152" s="227">
        <f>IF(E166=0,0,E160/E166)</f>
        <v>0.43063633561050702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0.38581682515953908</v>
      </c>
      <c r="D153" s="227">
        <f>IF(D166=0,0,D161/D166)</f>
        <v>0.37703527161123185</v>
      </c>
      <c r="E153" s="227">
        <f>IF(E166=0,0,E161/E166)</f>
        <v>0.39667511429957247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0.15737550412580636</v>
      </c>
      <c r="D154" s="227">
        <f>IF(D166=0,0,D162/D166)</f>
        <v>0.16055654576955261</v>
      </c>
      <c r="E154" s="227">
        <f>IF(E166=0,0,E162/E166)</f>
        <v>0.16816382743637801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2.418504623706606E-3</v>
      </c>
      <c r="D156" s="227">
        <f>IF(D166=0,0,D164/D166)</f>
        <v>3.448393973668161E-4</v>
      </c>
      <c r="E156" s="227">
        <f>IF(E166=0,0,E164/E166)</f>
        <v>2.491084613696918E-4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4.2855896542612817E-3</v>
      </c>
      <c r="D157" s="227">
        <f>IF(D166=0,0,D165/D166)</f>
        <v>4.1759221523589365E-3</v>
      </c>
      <c r="E157" s="227">
        <f>IF(E166=0,0,E165/E166)</f>
        <v>4.2756141921728276E-3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1.0000000000000002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46768622</v>
      </c>
      <c r="D160" s="229">
        <f>+D44-D164</f>
        <v>48245304</v>
      </c>
      <c r="E160" s="229">
        <f>+E44-E164</f>
        <v>44922263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40088820</v>
      </c>
      <c r="D161" s="229">
        <f>+D50</f>
        <v>39726318</v>
      </c>
      <c r="E161" s="229">
        <f>+E50</f>
        <v>41379564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16352315</v>
      </c>
      <c r="D162" s="229">
        <f>+D54</f>
        <v>16917039</v>
      </c>
      <c r="E162" s="229">
        <f>+E54</f>
        <v>17542179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251298</v>
      </c>
      <c r="D164" s="229">
        <f>+D45</f>
        <v>36334</v>
      </c>
      <c r="E164" s="229">
        <f>+E45</f>
        <v>25986</v>
      </c>
    </row>
    <row r="165" spans="1:6" ht="20.100000000000001" customHeight="1" x14ac:dyDescent="0.2">
      <c r="A165" s="226">
        <v>13</v>
      </c>
      <c r="B165" s="224" t="s">
        <v>417</v>
      </c>
      <c r="C165" s="230">
        <v>445300</v>
      </c>
      <c r="D165" s="229">
        <v>439996</v>
      </c>
      <c r="E165" s="229">
        <v>446015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103906355</v>
      </c>
      <c r="D166" s="229">
        <f>SUM(D160:D165)</f>
        <v>105364991</v>
      </c>
      <c r="E166" s="229">
        <f>SUM(E160:E165)</f>
        <v>104316007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1099</v>
      </c>
      <c r="D169" s="218">
        <v>1728</v>
      </c>
      <c r="E169" s="218">
        <v>1033</v>
      </c>
    </row>
    <row r="170" spans="1:6" ht="20.100000000000001" customHeight="1" x14ac:dyDescent="0.2">
      <c r="A170" s="226">
        <v>2</v>
      </c>
      <c r="B170" s="224" t="s">
        <v>420</v>
      </c>
      <c r="C170" s="218">
        <v>1947</v>
      </c>
      <c r="D170" s="218">
        <v>1804</v>
      </c>
      <c r="E170" s="218">
        <v>2105</v>
      </c>
    </row>
    <row r="171" spans="1:6" ht="20.100000000000001" customHeight="1" x14ac:dyDescent="0.2">
      <c r="A171" s="226">
        <v>3</v>
      </c>
      <c r="B171" s="224" t="s">
        <v>421</v>
      </c>
      <c r="C171" s="218">
        <v>1265</v>
      </c>
      <c r="D171" s="218">
        <v>948</v>
      </c>
      <c r="E171" s="218">
        <v>1259</v>
      </c>
    </row>
    <row r="172" spans="1:6" ht="20.100000000000001" customHeight="1" x14ac:dyDescent="0.2">
      <c r="A172" s="226">
        <v>4</v>
      </c>
      <c r="B172" s="224" t="s">
        <v>422</v>
      </c>
      <c r="C172" s="218">
        <v>1265</v>
      </c>
      <c r="D172" s="218">
        <v>948</v>
      </c>
      <c r="E172" s="218">
        <v>1259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20</v>
      </c>
      <c r="D174" s="218">
        <v>31</v>
      </c>
      <c r="E174" s="218">
        <v>54</v>
      </c>
    </row>
    <row r="175" spans="1:6" ht="20.100000000000001" customHeight="1" x14ac:dyDescent="0.2">
      <c r="A175" s="226">
        <v>7</v>
      </c>
      <c r="B175" s="224" t="s">
        <v>425</v>
      </c>
      <c r="C175" s="218">
        <v>59</v>
      </c>
      <c r="D175" s="218">
        <v>61</v>
      </c>
      <c r="E175" s="218">
        <v>23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4331</v>
      </c>
      <c r="D176" s="218">
        <f>+D169+D170+D171+D174</f>
        <v>4511</v>
      </c>
      <c r="E176" s="218">
        <f>+E169+E170+E171+E174</f>
        <v>4451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0.95760000000000001</v>
      </c>
      <c r="D179" s="231">
        <v>0.96589999999999998</v>
      </c>
      <c r="E179" s="231">
        <v>1.0525</v>
      </c>
    </row>
    <row r="180" spans="1:6" ht="20.100000000000001" customHeight="1" x14ac:dyDescent="0.2">
      <c r="A180" s="226">
        <v>2</v>
      </c>
      <c r="B180" s="224" t="s">
        <v>420</v>
      </c>
      <c r="C180" s="231">
        <v>1.2448999999999999</v>
      </c>
      <c r="D180" s="231">
        <v>1.1778</v>
      </c>
      <c r="E180" s="231">
        <v>1.2448999999999999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0.89239999999999997</v>
      </c>
      <c r="D181" s="231">
        <v>0.89770000000000005</v>
      </c>
      <c r="E181" s="231">
        <v>1.1313</v>
      </c>
    </row>
    <row r="182" spans="1:6" ht="20.100000000000001" customHeight="1" x14ac:dyDescent="0.2">
      <c r="A182" s="226">
        <v>4</v>
      </c>
      <c r="B182" s="224" t="s">
        <v>422</v>
      </c>
      <c r="C182" s="231">
        <v>0.89239999999999997</v>
      </c>
      <c r="D182" s="231">
        <v>0.89770000000000005</v>
      </c>
      <c r="E182" s="231">
        <v>1.1313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1.1019000000000001</v>
      </c>
      <c r="D184" s="231">
        <v>0.73329999999999995</v>
      </c>
      <c r="E184" s="231">
        <v>0.72760000000000002</v>
      </c>
    </row>
    <row r="185" spans="1:6" ht="20.100000000000001" customHeight="1" x14ac:dyDescent="0.2">
      <c r="A185" s="226">
        <v>7</v>
      </c>
      <c r="B185" s="224" t="s">
        <v>425</v>
      </c>
      <c r="C185" s="231">
        <v>0.89780000000000004</v>
      </c>
      <c r="D185" s="231">
        <v>0.88460000000000005</v>
      </c>
      <c r="E185" s="231">
        <v>1.0710999999999999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1.068378</v>
      </c>
      <c r="D186" s="231">
        <v>1.03471</v>
      </c>
      <c r="E186" s="231">
        <v>1.1618379999999999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2777</v>
      </c>
      <c r="D189" s="218">
        <v>2856</v>
      </c>
      <c r="E189" s="218">
        <v>2870</v>
      </c>
    </row>
    <row r="190" spans="1:6" ht="20.100000000000001" customHeight="1" x14ac:dyDescent="0.2">
      <c r="A190" s="226">
        <v>2</v>
      </c>
      <c r="B190" s="224" t="s">
        <v>433</v>
      </c>
      <c r="C190" s="218">
        <v>21491</v>
      </c>
      <c r="D190" s="218">
        <v>23609</v>
      </c>
      <c r="E190" s="218">
        <v>19151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24268</v>
      </c>
      <c r="D191" s="218">
        <f>+D190+D189</f>
        <v>26465</v>
      </c>
      <c r="E191" s="218">
        <f>+E190+E189</f>
        <v>22021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FILING&amp;RDAY KIMBALL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view="pageBreakPreview" zoomScale="60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94676</v>
      </c>
      <c r="D14" s="258">
        <v>145721</v>
      </c>
      <c r="E14" s="258">
        <f t="shared" ref="E14:E24" si="0">D14-C14</f>
        <v>51045</v>
      </c>
      <c r="F14" s="259">
        <f t="shared" ref="F14:F24" si="1">IF(C14=0,0,E14/C14)</f>
        <v>0.53915459039249647</v>
      </c>
    </row>
    <row r="15" spans="1:7" ht="20.25" customHeight="1" x14ac:dyDescent="0.3">
      <c r="A15" s="256">
        <v>2</v>
      </c>
      <c r="B15" s="257" t="s">
        <v>442</v>
      </c>
      <c r="C15" s="258">
        <v>33916</v>
      </c>
      <c r="D15" s="258">
        <v>35717</v>
      </c>
      <c r="E15" s="258">
        <f t="shared" si="0"/>
        <v>1801</v>
      </c>
      <c r="F15" s="259">
        <f t="shared" si="1"/>
        <v>5.3101780870385661E-2</v>
      </c>
    </row>
    <row r="16" spans="1:7" ht="20.25" customHeight="1" x14ac:dyDescent="0.3">
      <c r="A16" s="256">
        <v>3</v>
      </c>
      <c r="B16" s="257" t="s">
        <v>443</v>
      </c>
      <c r="C16" s="258">
        <v>125020</v>
      </c>
      <c r="D16" s="258">
        <v>92194</v>
      </c>
      <c r="E16" s="258">
        <f t="shared" si="0"/>
        <v>-32826</v>
      </c>
      <c r="F16" s="259">
        <f t="shared" si="1"/>
        <v>-0.26256598944168935</v>
      </c>
    </row>
    <row r="17" spans="1:6" ht="20.25" customHeight="1" x14ac:dyDescent="0.3">
      <c r="A17" s="256">
        <v>4</v>
      </c>
      <c r="B17" s="257" t="s">
        <v>444</v>
      </c>
      <c r="C17" s="258">
        <v>78844</v>
      </c>
      <c r="D17" s="258">
        <v>27074</v>
      </c>
      <c r="E17" s="258">
        <f t="shared" si="0"/>
        <v>-51770</v>
      </c>
      <c r="F17" s="259">
        <f t="shared" si="1"/>
        <v>-0.65661305869818887</v>
      </c>
    </row>
    <row r="18" spans="1:6" ht="20.25" customHeight="1" x14ac:dyDescent="0.3">
      <c r="A18" s="256">
        <v>5</v>
      </c>
      <c r="B18" s="257" t="s">
        <v>381</v>
      </c>
      <c r="C18" s="260">
        <v>5</v>
      </c>
      <c r="D18" s="260">
        <v>8</v>
      </c>
      <c r="E18" s="260">
        <f t="shared" si="0"/>
        <v>3</v>
      </c>
      <c r="F18" s="259">
        <f t="shared" si="1"/>
        <v>0.6</v>
      </c>
    </row>
    <row r="19" spans="1:6" ht="20.25" customHeight="1" x14ac:dyDescent="0.3">
      <c r="A19" s="256">
        <v>6</v>
      </c>
      <c r="B19" s="257" t="s">
        <v>380</v>
      </c>
      <c r="C19" s="260">
        <v>75</v>
      </c>
      <c r="D19" s="260">
        <v>32</v>
      </c>
      <c r="E19" s="260">
        <f t="shared" si="0"/>
        <v>-43</v>
      </c>
      <c r="F19" s="259">
        <f t="shared" si="1"/>
        <v>-0.57333333333333336</v>
      </c>
    </row>
    <row r="20" spans="1:6" ht="20.25" customHeight="1" x14ac:dyDescent="0.3">
      <c r="A20" s="256">
        <v>7</v>
      </c>
      <c r="B20" s="257" t="s">
        <v>445</v>
      </c>
      <c r="C20" s="260">
        <v>112</v>
      </c>
      <c r="D20" s="260">
        <v>342</v>
      </c>
      <c r="E20" s="260">
        <f t="shared" si="0"/>
        <v>230</v>
      </c>
      <c r="F20" s="259">
        <f t="shared" si="1"/>
        <v>2.0535714285714284</v>
      </c>
    </row>
    <row r="21" spans="1:6" ht="20.25" customHeight="1" x14ac:dyDescent="0.3">
      <c r="A21" s="256">
        <v>8</v>
      </c>
      <c r="B21" s="257" t="s">
        <v>446</v>
      </c>
      <c r="C21" s="260">
        <v>51</v>
      </c>
      <c r="D21" s="260">
        <v>17</v>
      </c>
      <c r="E21" s="260">
        <f t="shared" si="0"/>
        <v>-34</v>
      </c>
      <c r="F21" s="259">
        <f t="shared" si="1"/>
        <v>-0.66666666666666663</v>
      </c>
    </row>
    <row r="22" spans="1:6" ht="20.25" customHeight="1" x14ac:dyDescent="0.3">
      <c r="A22" s="256">
        <v>9</v>
      </c>
      <c r="B22" s="257" t="s">
        <v>447</v>
      </c>
      <c r="C22" s="260">
        <v>2</v>
      </c>
      <c r="D22" s="260">
        <v>7</v>
      </c>
      <c r="E22" s="260">
        <f t="shared" si="0"/>
        <v>5</v>
      </c>
      <c r="F22" s="259">
        <f t="shared" si="1"/>
        <v>2.5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219696</v>
      </c>
      <c r="D23" s="263">
        <f>+D14+D16</f>
        <v>237915</v>
      </c>
      <c r="E23" s="263">
        <f t="shared" si="0"/>
        <v>18219</v>
      </c>
      <c r="F23" s="264">
        <f t="shared" si="1"/>
        <v>8.292822809700677E-2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112760</v>
      </c>
      <c r="D24" s="263">
        <f>+D15+D17</f>
        <v>62791</v>
      </c>
      <c r="E24" s="263">
        <f t="shared" si="0"/>
        <v>-49969</v>
      </c>
      <c r="F24" s="264">
        <f t="shared" si="1"/>
        <v>-0.44314473217452999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225</v>
      </c>
      <c r="D29" s="258">
        <v>0</v>
      </c>
      <c r="E29" s="258">
        <f t="shared" si="2"/>
        <v>-225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225</v>
      </c>
      <c r="D30" s="258">
        <v>0</v>
      </c>
      <c r="E30" s="258">
        <f t="shared" si="2"/>
        <v>-225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0</v>
      </c>
      <c r="E33" s="260">
        <f t="shared" si="2"/>
        <v>-1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225</v>
      </c>
      <c r="D36" s="263">
        <f>+D27+D29</f>
        <v>0</v>
      </c>
      <c r="E36" s="263">
        <f t="shared" si="2"/>
        <v>-225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225</v>
      </c>
      <c r="D37" s="263">
        <f>+D28+D30</f>
        <v>0</v>
      </c>
      <c r="E37" s="263">
        <f t="shared" si="2"/>
        <v>-225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2496261</v>
      </c>
      <c r="D40" s="258">
        <v>3697850</v>
      </c>
      <c r="E40" s="258">
        <f t="shared" ref="E40:E50" si="4">D40-C40</f>
        <v>1201589</v>
      </c>
      <c r="F40" s="259">
        <f t="shared" ref="F40:F50" si="5">IF(C40=0,0,E40/C40)</f>
        <v>0.48135551530869569</v>
      </c>
    </row>
    <row r="41" spans="1:6" ht="20.25" customHeight="1" x14ac:dyDescent="0.3">
      <c r="A41" s="256">
        <v>2</v>
      </c>
      <c r="B41" s="257" t="s">
        <v>442</v>
      </c>
      <c r="C41" s="258">
        <v>1234454</v>
      </c>
      <c r="D41" s="258">
        <v>1619164</v>
      </c>
      <c r="E41" s="258">
        <f t="shared" si="4"/>
        <v>384710</v>
      </c>
      <c r="F41" s="259">
        <f t="shared" si="5"/>
        <v>0.31164385226180968</v>
      </c>
    </row>
    <row r="42" spans="1:6" ht="20.25" customHeight="1" x14ac:dyDescent="0.3">
      <c r="A42" s="256">
        <v>3</v>
      </c>
      <c r="B42" s="257" t="s">
        <v>443</v>
      </c>
      <c r="C42" s="258">
        <v>5243879</v>
      </c>
      <c r="D42" s="258">
        <v>6690301</v>
      </c>
      <c r="E42" s="258">
        <f t="shared" si="4"/>
        <v>1446422</v>
      </c>
      <c r="F42" s="259">
        <f t="shared" si="5"/>
        <v>0.27583054452629435</v>
      </c>
    </row>
    <row r="43" spans="1:6" ht="20.25" customHeight="1" x14ac:dyDescent="0.3">
      <c r="A43" s="256">
        <v>4</v>
      </c>
      <c r="B43" s="257" t="s">
        <v>444</v>
      </c>
      <c r="C43" s="258">
        <v>1854117</v>
      </c>
      <c r="D43" s="258">
        <v>2077980</v>
      </c>
      <c r="E43" s="258">
        <f t="shared" si="4"/>
        <v>223863</v>
      </c>
      <c r="F43" s="259">
        <f t="shared" si="5"/>
        <v>0.12073833528304848</v>
      </c>
    </row>
    <row r="44" spans="1:6" ht="20.25" customHeight="1" x14ac:dyDescent="0.3">
      <c r="A44" s="256">
        <v>5</v>
      </c>
      <c r="B44" s="257" t="s">
        <v>381</v>
      </c>
      <c r="C44" s="260">
        <v>134</v>
      </c>
      <c r="D44" s="260">
        <v>194</v>
      </c>
      <c r="E44" s="260">
        <f t="shared" si="4"/>
        <v>60</v>
      </c>
      <c r="F44" s="259">
        <f t="shared" si="5"/>
        <v>0.44776119402985076</v>
      </c>
    </row>
    <row r="45" spans="1:6" ht="20.25" customHeight="1" x14ac:dyDescent="0.3">
      <c r="A45" s="256">
        <v>6</v>
      </c>
      <c r="B45" s="257" t="s">
        <v>380</v>
      </c>
      <c r="C45" s="260">
        <v>500</v>
      </c>
      <c r="D45" s="260">
        <v>824</v>
      </c>
      <c r="E45" s="260">
        <f t="shared" si="4"/>
        <v>324</v>
      </c>
      <c r="F45" s="259">
        <f t="shared" si="5"/>
        <v>0.64800000000000002</v>
      </c>
    </row>
    <row r="46" spans="1:6" ht="20.25" customHeight="1" x14ac:dyDescent="0.3">
      <c r="A46" s="256">
        <v>7</v>
      </c>
      <c r="B46" s="257" t="s">
        <v>445</v>
      </c>
      <c r="C46" s="260">
        <v>6478</v>
      </c>
      <c r="D46" s="260">
        <v>8691</v>
      </c>
      <c r="E46" s="260">
        <f t="shared" si="4"/>
        <v>2213</v>
      </c>
      <c r="F46" s="259">
        <f t="shared" si="5"/>
        <v>0.34161778326644027</v>
      </c>
    </row>
    <row r="47" spans="1:6" ht="20.25" customHeight="1" x14ac:dyDescent="0.3">
      <c r="A47" s="256">
        <v>8</v>
      </c>
      <c r="B47" s="257" t="s">
        <v>446</v>
      </c>
      <c r="C47" s="260">
        <v>656</v>
      </c>
      <c r="D47" s="260">
        <v>419</v>
      </c>
      <c r="E47" s="260">
        <f t="shared" si="4"/>
        <v>-237</v>
      </c>
      <c r="F47" s="259">
        <f t="shared" si="5"/>
        <v>-0.36128048780487804</v>
      </c>
    </row>
    <row r="48" spans="1:6" ht="20.25" customHeight="1" x14ac:dyDescent="0.3">
      <c r="A48" s="256">
        <v>9</v>
      </c>
      <c r="B48" s="257" t="s">
        <v>447</v>
      </c>
      <c r="C48" s="260">
        <v>105</v>
      </c>
      <c r="D48" s="260">
        <v>146</v>
      </c>
      <c r="E48" s="260">
        <f t="shared" si="4"/>
        <v>41</v>
      </c>
      <c r="F48" s="259">
        <f t="shared" si="5"/>
        <v>0.39047619047619048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7740140</v>
      </c>
      <c r="D49" s="263">
        <f>+D40+D42</f>
        <v>10388151</v>
      </c>
      <c r="E49" s="263">
        <f t="shared" si="4"/>
        <v>2648011</v>
      </c>
      <c r="F49" s="264">
        <f t="shared" si="5"/>
        <v>0.34211409612746024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3088571</v>
      </c>
      <c r="D50" s="263">
        <f>+D41+D43</f>
        <v>3697144</v>
      </c>
      <c r="E50" s="263">
        <f t="shared" si="4"/>
        <v>608573</v>
      </c>
      <c r="F50" s="264">
        <f t="shared" si="5"/>
        <v>0.19704031411290204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71523</v>
      </c>
      <c r="D66" s="258">
        <v>132040</v>
      </c>
      <c r="E66" s="258">
        <f t="shared" ref="E66:E76" si="8">D66-C66</f>
        <v>60517</v>
      </c>
      <c r="F66" s="259">
        <f t="shared" ref="F66:F76" si="9">IF(C66=0,0,E66/C66)</f>
        <v>0.84611943011339008</v>
      </c>
    </row>
    <row r="67" spans="1:6" ht="20.25" customHeight="1" x14ac:dyDescent="0.3">
      <c r="A67" s="256">
        <v>2</v>
      </c>
      <c r="B67" s="257" t="s">
        <v>442</v>
      </c>
      <c r="C67" s="258">
        <v>71370</v>
      </c>
      <c r="D67" s="258">
        <v>48818</v>
      </c>
      <c r="E67" s="258">
        <f t="shared" si="8"/>
        <v>-22552</v>
      </c>
      <c r="F67" s="259">
        <f t="shared" si="9"/>
        <v>-0.3159871094297324</v>
      </c>
    </row>
    <row r="68" spans="1:6" ht="20.25" customHeight="1" x14ac:dyDescent="0.3">
      <c r="A68" s="256">
        <v>3</v>
      </c>
      <c r="B68" s="257" t="s">
        <v>443</v>
      </c>
      <c r="C68" s="258">
        <v>116611</v>
      </c>
      <c r="D68" s="258">
        <v>49018</v>
      </c>
      <c r="E68" s="258">
        <f t="shared" si="8"/>
        <v>-67593</v>
      </c>
      <c r="F68" s="259">
        <f t="shared" si="9"/>
        <v>-0.57964514496917097</v>
      </c>
    </row>
    <row r="69" spans="1:6" ht="20.25" customHeight="1" x14ac:dyDescent="0.3">
      <c r="A69" s="256">
        <v>4</v>
      </c>
      <c r="B69" s="257" t="s">
        <v>444</v>
      </c>
      <c r="C69" s="258">
        <v>9200</v>
      </c>
      <c r="D69" s="258">
        <v>17674</v>
      </c>
      <c r="E69" s="258">
        <f t="shared" si="8"/>
        <v>8474</v>
      </c>
      <c r="F69" s="259">
        <f t="shared" si="9"/>
        <v>0.92108695652173911</v>
      </c>
    </row>
    <row r="70" spans="1:6" ht="20.25" customHeight="1" x14ac:dyDescent="0.3">
      <c r="A70" s="256">
        <v>5</v>
      </c>
      <c r="B70" s="257" t="s">
        <v>381</v>
      </c>
      <c r="C70" s="260">
        <v>6</v>
      </c>
      <c r="D70" s="260">
        <v>6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29</v>
      </c>
      <c r="D71" s="260">
        <v>30</v>
      </c>
      <c r="E71" s="260">
        <f t="shared" si="8"/>
        <v>1</v>
      </c>
      <c r="F71" s="259">
        <f t="shared" si="9"/>
        <v>3.4482758620689655E-2</v>
      </c>
    </row>
    <row r="72" spans="1:6" ht="20.25" customHeight="1" x14ac:dyDescent="0.3">
      <c r="A72" s="256">
        <v>7</v>
      </c>
      <c r="B72" s="257" t="s">
        <v>445</v>
      </c>
      <c r="C72" s="260">
        <v>55</v>
      </c>
      <c r="D72" s="260">
        <v>310</v>
      </c>
      <c r="E72" s="260">
        <f t="shared" si="8"/>
        <v>255</v>
      </c>
      <c r="F72" s="259">
        <f t="shared" si="9"/>
        <v>4.6363636363636367</v>
      </c>
    </row>
    <row r="73" spans="1:6" ht="20.25" customHeight="1" x14ac:dyDescent="0.3">
      <c r="A73" s="256">
        <v>8</v>
      </c>
      <c r="B73" s="257" t="s">
        <v>446</v>
      </c>
      <c r="C73" s="260">
        <v>50</v>
      </c>
      <c r="D73" s="260">
        <v>14</v>
      </c>
      <c r="E73" s="260">
        <f t="shared" si="8"/>
        <v>-36</v>
      </c>
      <c r="F73" s="259">
        <f t="shared" si="9"/>
        <v>-0.72</v>
      </c>
    </row>
    <row r="74" spans="1:6" ht="20.25" customHeight="1" x14ac:dyDescent="0.3">
      <c r="A74" s="256">
        <v>9</v>
      </c>
      <c r="B74" s="257" t="s">
        <v>447</v>
      </c>
      <c r="C74" s="260">
        <v>6</v>
      </c>
      <c r="D74" s="260">
        <v>32</v>
      </c>
      <c r="E74" s="260">
        <f t="shared" si="8"/>
        <v>26</v>
      </c>
      <c r="F74" s="259">
        <f t="shared" si="9"/>
        <v>4.333333333333333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188134</v>
      </c>
      <c r="D75" s="263">
        <f>+D66+D68</f>
        <v>181058</v>
      </c>
      <c r="E75" s="263">
        <f t="shared" si="8"/>
        <v>-7076</v>
      </c>
      <c r="F75" s="264">
        <f t="shared" si="9"/>
        <v>-3.76114896828856E-2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80570</v>
      </c>
      <c r="D76" s="263">
        <f>+D67+D69</f>
        <v>66492</v>
      </c>
      <c r="E76" s="263">
        <f t="shared" si="8"/>
        <v>-14078</v>
      </c>
      <c r="F76" s="264">
        <f t="shared" si="9"/>
        <v>-0.17473004840511355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4566877</v>
      </c>
      <c r="D92" s="258">
        <v>5495497</v>
      </c>
      <c r="E92" s="258">
        <f t="shared" ref="E92:E102" si="12">D92-C92</f>
        <v>928620</v>
      </c>
      <c r="F92" s="259">
        <f t="shared" ref="F92:F102" si="13">IF(C92=0,0,E92/C92)</f>
        <v>0.20333807983004579</v>
      </c>
    </row>
    <row r="93" spans="1:6" ht="20.25" customHeight="1" x14ac:dyDescent="0.3">
      <c r="A93" s="256">
        <v>2</v>
      </c>
      <c r="B93" s="257" t="s">
        <v>442</v>
      </c>
      <c r="C93" s="258">
        <v>2180397</v>
      </c>
      <c r="D93" s="258">
        <v>2335684</v>
      </c>
      <c r="E93" s="258">
        <f t="shared" si="12"/>
        <v>155287</v>
      </c>
      <c r="F93" s="259">
        <f t="shared" si="13"/>
        <v>7.121959899963172E-2</v>
      </c>
    </row>
    <row r="94" spans="1:6" ht="20.25" customHeight="1" x14ac:dyDescent="0.3">
      <c r="A94" s="256">
        <v>3</v>
      </c>
      <c r="B94" s="257" t="s">
        <v>443</v>
      </c>
      <c r="C94" s="258">
        <v>7515095</v>
      </c>
      <c r="D94" s="258">
        <v>8185338</v>
      </c>
      <c r="E94" s="258">
        <f t="shared" si="12"/>
        <v>670243</v>
      </c>
      <c r="F94" s="259">
        <f t="shared" si="13"/>
        <v>8.9186231178714312E-2</v>
      </c>
    </row>
    <row r="95" spans="1:6" ht="20.25" customHeight="1" x14ac:dyDescent="0.3">
      <c r="A95" s="256">
        <v>4</v>
      </c>
      <c r="B95" s="257" t="s">
        <v>444</v>
      </c>
      <c r="C95" s="258">
        <v>2525812</v>
      </c>
      <c r="D95" s="258">
        <v>2550778</v>
      </c>
      <c r="E95" s="258">
        <f t="shared" si="12"/>
        <v>24966</v>
      </c>
      <c r="F95" s="259">
        <f t="shared" si="13"/>
        <v>9.8843461033521103E-3</v>
      </c>
    </row>
    <row r="96" spans="1:6" ht="20.25" customHeight="1" x14ac:dyDescent="0.3">
      <c r="A96" s="256">
        <v>5</v>
      </c>
      <c r="B96" s="257" t="s">
        <v>381</v>
      </c>
      <c r="C96" s="260">
        <v>260</v>
      </c>
      <c r="D96" s="260">
        <v>288</v>
      </c>
      <c r="E96" s="260">
        <f t="shared" si="12"/>
        <v>28</v>
      </c>
      <c r="F96" s="259">
        <f t="shared" si="13"/>
        <v>0.1076923076923077</v>
      </c>
    </row>
    <row r="97" spans="1:6" ht="20.25" customHeight="1" x14ac:dyDescent="0.3">
      <c r="A97" s="256">
        <v>6</v>
      </c>
      <c r="B97" s="257" t="s">
        <v>380</v>
      </c>
      <c r="C97" s="260">
        <v>904</v>
      </c>
      <c r="D97" s="260">
        <v>1224</v>
      </c>
      <c r="E97" s="260">
        <f t="shared" si="12"/>
        <v>320</v>
      </c>
      <c r="F97" s="259">
        <f t="shared" si="13"/>
        <v>0.35398230088495575</v>
      </c>
    </row>
    <row r="98" spans="1:6" ht="20.25" customHeight="1" x14ac:dyDescent="0.3">
      <c r="A98" s="256">
        <v>7</v>
      </c>
      <c r="B98" s="257" t="s">
        <v>445</v>
      </c>
      <c r="C98" s="260">
        <v>10037</v>
      </c>
      <c r="D98" s="260">
        <v>12916</v>
      </c>
      <c r="E98" s="260">
        <f t="shared" si="12"/>
        <v>2879</v>
      </c>
      <c r="F98" s="259">
        <f t="shared" si="13"/>
        <v>0.2868386968217595</v>
      </c>
    </row>
    <row r="99" spans="1:6" ht="20.25" customHeight="1" x14ac:dyDescent="0.3">
      <c r="A99" s="256">
        <v>8</v>
      </c>
      <c r="B99" s="257" t="s">
        <v>446</v>
      </c>
      <c r="C99" s="260">
        <v>1358</v>
      </c>
      <c r="D99" s="260">
        <v>623</v>
      </c>
      <c r="E99" s="260">
        <f t="shared" si="12"/>
        <v>-735</v>
      </c>
      <c r="F99" s="259">
        <f t="shared" si="13"/>
        <v>-0.54123711340206182</v>
      </c>
    </row>
    <row r="100" spans="1:6" ht="20.25" customHeight="1" x14ac:dyDescent="0.3">
      <c r="A100" s="256">
        <v>9</v>
      </c>
      <c r="B100" s="257" t="s">
        <v>447</v>
      </c>
      <c r="C100" s="260">
        <v>201</v>
      </c>
      <c r="D100" s="260">
        <v>208</v>
      </c>
      <c r="E100" s="260">
        <f t="shared" si="12"/>
        <v>7</v>
      </c>
      <c r="F100" s="259">
        <f t="shared" si="13"/>
        <v>3.482587064676617E-2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12081972</v>
      </c>
      <c r="D101" s="263">
        <f>+D92+D94</f>
        <v>13680835</v>
      </c>
      <c r="E101" s="263">
        <f t="shared" si="12"/>
        <v>1598863</v>
      </c>
      <c r="F101" s="264">
        <f t="shared" si="13"/>
        <v>0.13233460564219152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4706209</v>
      </c>
      <c r="D102" s="263">
        <f>+D93+D95</f>
        <v>4886462</v>
      </c>
      <c r="E102" s="263">
        <f t="shared" si="12"/>
        <v>180253</v>
      </c>
      <c r="F102" s="264">
        <f t="shared" si="13"/>
        <v>3.8301103924623832E-2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71612</v>
      </c>
      <c r="D118" s="258">
        <v>217272</v>
      </c>
      <c r="E118" s="258">
        <f t="shared" ref="E118:E128" si="16">D118-C118</f>
        <v>145660</v>
      </c>
      <c r="F118" s="259">
        <f t="shared" ref="F118:F128" si="17">IF(C118=0,0,E118/C118)</f>
        <v>2.0340166452549853</v>
      </c>
    </row>
    <row r="119" spans="1:6" ht="20.25" customHeight="1" x14ac:dyDescent="0.3">
      <c r="A119" s="256">
        <v>2</v>
      </c>
      <c r="B119" s="257" t="s">
        <v>442</v>
      </c>
      <c r="C119" s="258">
        <v>31120</v>
      </c>
      <c r="D119" s="258">
        <v>73493</v>
      </c>
      <c r="E119" s="258">
        <f t="shared" si="16"/>
        <v>42373</v>
      </c>
      <c r="F119" s="259">
        <f t="shared" si="17"/>
        <v>1.3616002570694088</v>
      </c>
    </row>
    <row r="120" spans="1:6" ht="20.25" customHeight="1" x14ac:dyDescent="0.3">
      <c r="A120" s="256">
        <v>3</v>
      </c>
      <c r="B120" s="257" t="s">
        <v>443</v>
      </c>
      <c r="C120" s="258">
        <v>181080</v>
      </c>
      <c r="D120" s="258">
        <v>220904</v>
      </c>
      <c r="E120" s="258">
        <f t="shared" si="16"/>
        <v>39824</v>
      </c>
      <c r="F120" s="259">
        <f t="shared" si="17"/>
        <v>0.21992489507400045</v>
      </c>
    </row>
    <row r="121" spans="1:6" ht="20.25" customHeight="1" x14ac:dyDescent="0.3">
      <c r="A121" s="256">
        <v>4</v>
      </c>
      <c r="B121" s="257" t="s">
        <v>444</v>
      </c>
      <c r="C121" s="258">
        <v>60902</v>
      </c>
      <c r="D121" s="258">
        <v>73228</v>
      </c>
      <c r="E121" s="258">
        <f t="shared" si="16"/>
        <v>12326</v>
      </c>
      <c r="F121" s="259">
        <f t="shared" si="17"/>
        <v>0.20239072608452924</v>
      </c>
    </row>
    <row r="122" spans="1:6" ht="20.25" customHeight="1" x14ac:dyDescent="0.3">
      <c r="A122" s="256">
        <v>5</v>
      </c>
      <c r="B122" s="257" t="s">
        <v>381</v>
      </c>
      <c r="C122" s="260">
        <v>4</v>
      </c>
      <c r="D122" s="260">
        <v>11</v>
      </c>
      <c r="E122" s="260">
        <f t="shared" si="16"/>
        <v>7</v>
      </c>
      <c r="F122" s="259">
        <f t="shared" si="17"/>
        <v>1.75</v>
      </c>
    </row>
    <row r="123" spans="1:6" ht="20.25" customHeight="1" x14ac:dyDescent="0.3">
      <c r="A123" s="256">
        <v>6</v>
      </c>
      <c r="B123" s="257" t="s">
        <v>380</v>
      </c>
      <c r="C123" s="260">
        <v>21</v>
      </c>
      <c r="D123" s="260">
        <v>48</v>
      </c>
      <c r="E123" s="260">
        <f t="shared" si="16"/>
        <v>27</v>
      </c>
      <c r="F123" s="259">
        <f t="shared" si="17"/>
        <v>1.2857142857142858</v>
      </c>
    </row>
    <row r="124" spans="1:6" ht="20.25" customHeight="1" x14ac:dyDescent="0.3">
      <c r="A124" s="256">
        <v>7</v>
      </c>
      <c r="B124" s="257" t="s">
        <v>445</v>
      </c>
      <c r="C124" s="260">
        <v>247</v>
      </c>
      <c r="D124" s="260">
        <v>511</v>
      </c>
      <c r="E124" s="260">
        <f t="shared" si="16"/>
        <v>264</v>
      </c>
      <c r="F124" s="259">
        <f t="shared" si="17"/>
        <v>1.0688259109311742</v>
      </c>
    </row>
    <row r="125" spans="1:6" ht="20.25" customHeight="1" x14ac:dyDescent="0.3">
      <c r="A125" s="256">
        <v>8</v>
      </c>
      <c r="B125" s="257" t="s">
        <v>446</v>
      </c>
      <c r="C125" s="260">
        <v>26</v>
      </c>
      <c r="D125" s="260">
        <v>25</v>
      </c>
      <c r="E125" s="260">
        <f t="shared" si="16"/>
        <v>-1</v>
      </c>
      <c r="F125" s="259">
        <f t="shared" si="17"/>
        <v>-3.8461538461538464E-2</v>
      </c>
    </row>
    <row r="126" spans="1:6" ht="20.25" customHeight="1" x14ac:dyDescent="0.3">
      <c r="A126" s="256">
        <v>9</v>
      </c>
      <c r="B126" s="257" t="s">
        <v>447</v>
      </c>
      <c r="C126" s="260">
        <v>5</v>
      </c>
      <c r="D126" s="260">
        <v>7</v>
      </c>
      <c r="E126" s="260">
        <f t="shared" si="16"/>
        <v>2</v>
      </c>
      <c r="F126" s="259">
        <f t="shared" si="17"/>
        <v>0.4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252692</v>
      </c>
      <c r="D127" s="263">
        <f>+D118+D120</f>
        <v>438176</v>
      </c>
      <c r="E127" s="263">
        <f t="shared" si="16"/>
        <v>185484</v>
      </c>
      <c r="F127" s="264">
        <f t="shared" si="17"/>
        <v>0.73403194402672023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92022</v>
      </c>
      <c r="D128" s="263">
        <f>+D119+D121</f>
        <v>146721</v>
      </c>
      <c r="E128" s="263">
        <f t="shared" si="16"/>
        <v>54699</v>
      </c>
      <c r="F128" s="264">
        <f t="shared" si="17"/>
        <v>0.59441220577687948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30540</v>
      </c>
      <c r="D131" s="258">
        <v>8205</v>
      </c>
      <c r="E131" s="258">
        <f t="shared" ref="E131:E141" si="18">D131-C131</f>
        <v>-22335</v>
      </c>
      <c r="F131" s="259">
        <f t="shared" ref="F131:F141" si="19">IF(C131=0,0,E131/C131)</f>
        <v>-0.73133595284872299</v>
      </c>
    </row>
    <row r="132" spans="1:6" ht="20.25" customHeight="1" x14ac:dyDescent="0.3">
      <c r="A132" s="256">
        <v>2</v>
      </c>
      <c r="B132" s="257" t="s">
        <v>442</v>
      </c>
      <c r="C132" s="258">
        <v>6877</v>
      </c>
      <c r="D132" s="258">
        <v>8205</v>
      </c>
      <c r="E132" s="258">
        <f t="shared" si="18"/>
        <v>1328</v>
      </c>
      <c r="F132" s="259">
        <f t="shared" si="19"/>
        <v>0.19310745964810236</v>
      </c>
    </row>
    <row r="133" spans="1:6" ht="20.25" customHeight="1" x14ac:dyDescent="0.3">
      <c r="A133" s="256">
        <v>3</v>
      </c>
      <c r="B133" s="257" t="s">
        <v>443</v>
      </c>
      <c r="C133" s="258">
        <v>40117</v>
      </c>
      <c r="D133" s="258">
        <v>16263</v>
      </c>
      <c r="E133" s="258">
        <f t="shared" si="18"/>
        <v>-23854</v>
      </c>
      <c r="F133" s="259">
        <f t="shared" si="19"/>
        <v>-0.5946107635167136</v>
      </c>
    </row>
    <row r="134" spans="1:6" ht="20.25" customHeight="1" x14ac:dyDescent="0.3">
      <c r="A134" s="256">
        <v>4</v>
      </c>
      <c r="B134" s="257" t="s">
        <v>444</v>
      </c>
      <c r="C134" s="258">
        <v>10866</v>
      </c>
      <c r="D134" s="258">
        <v>7712</v>
      </c>
      <c r="E134" s="258">
        <f t="shared" si="18"/>
        <v>-3154</v>
      </c>
      <c r="F134" s="259">
        <f t="shared" si="19"/>
        <v>-0.29026320633167679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1</v>
      </c>
      <c r="E135" s="260">
        <f t="shared" si="18"/>
        <v>-1</v>
      </c>
      <c r="F135" s="259">
        <f t="shared" si="19"/>
        <v>-0.5</v>
      </c>
    </row>
    <row r="136" spans="1:6" ht="20.25" customHeight="1" x14ac:dyDescent="0.3">
      <c r="A136" s="256">
        <v>6</v>
      </c>
      <c r="B136" s="257" t="s">
        <v>380</v>
      </c>
      <c r="C136" s="260">
        <v>7</v>
      </c>
      <c r="D136" s="260">
        <v>2</v>
      </c>
      <c r="E136" s="260">
        <f t="shared" si="18"/>
        <v>-5</v>
      </c>
      <c r="F136" s="259">
        <f t="shared" si="19"/>
        <v>-0.7142857142857143</v>
      </c>
    </row>
    <row r="137" spans="1:6" ht="20.25" customHeight="1" x14ac:dyDescent="0.3">
      <c r="A137" s="256">
        <v>7</v>
      </c>
      <c r="B137" s="257" t="s">
        <v>445</v>
      </c>
      <c r="C137" s="260">
        <v>1</v>
      </c>
      <c r="D137" s="260">
        <v>20</v>
      </c>
      <c r="E137" s="260">
        <f t="shared" si="18"/>
        <v>19</v>
      </c>
      <c r="F137" s="259">
        <f t="shared" si="19"/>
        <v>19</v>
      </c>
    </row>
    <row r="138" spans="1:6" ht="20.25" customHeight="1" x14ac:dyDescent="0.3">
      <c r="A138" s="256">
        <v>8</v>
      </c>
      <c r="B138" s="257" t="s">
        <v>446</v>
      </c>
      <c r="C138" s="260">
        <v>12</v>
      </c>
      <c r="D138" s="260">
        <v>1</v>
      </c>
      <c r="E138" s="260">
        <f t="shared" si="18"/>
        <v>-11</v>
      </c>
      <c r="F138" s="259">
        <f t="shared" si="19"/>
        <v>-0.91666666666666663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0</v>
      </c>
      <c r="E139" s="260">
        <f t="shared" si="18"/>
        <v>-2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70657</v>
      </c>
      <c r="D140" s="263">
        <f>+D131+D133</f>
        <v>24468</v>
      </c>
      <c r="E140" s="263">
        <f t="shared" si="18"/>
        <v>-46189</v>
      </c>
      <c r="F140" s="264">
        <f t="shared" si="19"/>
        <v>-0.65370734675969822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17743</v>
      </c>
      <c r="D141" s="263">
        <f>+D132+D134</f>
        <v>15917</v>
      </c>
      <c r="E141" s="263">
        <f t="shared" si="18"/>
        <v>-1826</v>
      </c>
      <c r="F141" s="264">
        <f t="shared" si="19"/>
        <v>-0.10291382517048978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3414</v>
      </c>
      <c r="D185" s="258">
        <v>0</v>
      </c>
      <c r="E185" s="258">
        <f t="shared" si="26"/>
        <v>-3414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1134</v>
      </c>
      <c r="D186" s="258">
        <v>0</v>
      </c>
      <c r="E186" s="258">
        <f t="shared" si="26"/>
        <v>-1134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8</v>
      </c>
      <c r="D189" s="260">
        <v>0</v>
      </c>
      <c r="E189" s="260">
        <f t="shared" si="26"/>
        <v>-8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3414</v>
      </c>
      <c r="D192" s="263">
        <f>+D183+D185</f>
        <v>0</v>
      </c>
      <c r="E192" s="263">
        <f t="shared" si="26"/>
        <v>-3414</v>
      </c>
      <c r="F192" s="264">
        <f t="shared" si="27"/>
        <v>-1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1134</v>
      </c>
      <c r="D193" s="263">
        <f>+D184+D186</f>
        <v>0</v>
      </c>
      <c r="E193" s="263">
        <f t="shared" si="26"/>
        <v>-1134</v>
      </c>
      <c r="F193" s="264">
        <f t="shared" si="27"/>
        <v>-1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7331489</v>
      </c>
      <c r="D198" s="263">
        <f t="shared" si="28"/>
        <v>9696585</v>
      </c>
      <c r="E198" s="263">
        <f t="shared" ref="E198:E208" si="29">D198-C198</f>
        <v>2365096</v>
      </c>
      <c r="F198" s="273">
        <f t="shared" ref="F198:F208" si="30">IF(C198=0,0,E198/C198)</f>
        <v>0.32259422335626503</v>
      </c>
    </row>
    <row r="199" spans="1:9" ht="20.25" customHeight="1" x14ac:dyDescent="0.3">
      <c r="A199" s="271"/>
      <c r="B199" s="272" t="s">
        <v>466</v>
      </c>
      <c r="C199" s="263">
        <f t="shared" si="28"/>
        <v>3558134</v>
      </c>
      <c r="D199" s="263">
        <f t="shared" si="28"/>
        <v>4121081</v>
      </c>
      <c r="E199" s="263">
        <f t="shared" si="29"/>
        <v>562947</v>
      </c>
      <c r="F199" s="273">
        <f t="shared" si="30"/>
        <v>0.15821410885593404</v>
      </c>
    </row>
    <row r="200" spans="1:9" ht="20.25" customHeight="1" x14ac:dyDescent="0.3">
      <c r="A200" s="271"/>
      <c r="B200" s="272" t="s">
        <v>467</v>
      </c>
      <c r="C200" s="263">
        <f t="shared" si="28"/>
        <v>13225441</v>
      </c>
      <c r="D200" s="263">
        <f t="shared" si="28"/>
        <v>15254018</v>
      </c>
      <c r="E200" s="263">
        <f t="shared" si="29"/>
        <v>2028577</v>
      </c>
      <c r="F200" s="273">
        <f t="shared" si="30"/>
        <v>0.1533844504693643</v>
      </c>
    </row>
    <row r="201" spans="1:9" ht="20.25" customHeight="1" x14ac:dyDescent="0.3">
      <c r="A201" s="271"/>
      <c r="B201" s="272" t="s">
        <v>468</v>
      </c>
      <c r="C201" s="263">
        <f t="shared" si="28"/>
        <v>4541100</v>
      </c>
      <c r="D201" s="263">
        <f t="shared" si="28"/>
        <v>4754446</v>
      </c>
      <c r="E201" s="263">
        <f t="shared" si="29"/>
        <v>213346</v>
      </c>
      <c r="F201" s="273">
        <f t="shared" si="30"/>
        <v>4.6981127920547885E-2</v>
      </c>
    </row>
    <row r="202" spans="1:9" ht="20.25" customHeight="1" x14ac:dyDescent="0.3">
      <c r="A202" s="271"/>
      <c r="B202" s="272" t="s">
        <v>138</v>
      </c>
      <c r="C202" s="274">
        <f t="shared" si="28"/>
        <v>411</v>
      </c>
      <c r="D202" s="274">
        <f t="shared" si="28"/>
        <v>508</v>
      </c>
      <c r="E202" s="274">
        <f t="shared" si="29"/>
        <v>97</v>
      </c>
      <c r="F202" s="273">
        <f t="shared" si="30"/>
        <v>0.23600973236009731</v>
      </c>
    </row>
    <row r="203" spans="1:9" ht="20.25" customHeight="1" x14ac:dyDescent="0.3">
      <c r="A203" s="271"/>
      <c r="B203" s="272" t="s">
        <v>140</v>
      </c>
      <c r="C203" s="274">
        <f t="shared" si="28"/>
        <v>1536</v>
      </c>
      <c r="D203" s="274">
        <f t="shared" si="28"/>
        <v>2160</v>
      </c>
      <c r="E203" s="274">
        <f t="shared" si="29"/>
        <v>624</v>
      </c>
      <c r="F203" s="273">
        <f t="shared" si="30"/>
        <v>0.40625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16939</v>
      </c>
      <c r="D204" s="274">
        <f t="shared" si="28"/>
        <v>22790</v>
      </c>
      <c r="E204" s="274">
        <f t="shared" si="29"/>
        <v>5851</v>
      </c>
      <c r="F204" s="273">
        <f t="shared" si="30"/>
        <v>0.3454159041265718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2153</v>
      </c>
      <c r="D205" s="274">
        <f t="shared" si="28"/>
        <v>1099</v>
      </c>
      <c r="E205" s="274">
        <f t="shared" si="29"/>
        <v>-1054</v>
      </c>
      <c r="F205" s="273">
        <f t="shared" si="30"/>
        <v>-0.48954946586158848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321</v>
      </c>
      <c r="D206" s="274">
        <f t="shared" si="28"/>
        <v>400</v>
      </c>
      <c r="E206" s="274">
        <f t="shared" si="29"/>
        <v>79</v>
      </c>
      <c r="F206" s="273">
        <f t="shared" si="30"/>
        <v>0.24610591900311526</v>
      </c>
    </row>
    <row r="207" spans="1:9" ht="20.25" customHeight="1" x14ac:dyDescent="0.3">
      <c r="A207" s="271"/>
      <c r="B207" s="262" t="s">
        <v>471</v>
      </c>
      <c r="C207" s="263">
        <f>+C198+C200</f>
        <v>20556930</v>
      </c>
      <c r="D207" s="263">
        <f>+D198+D200</f>
        <v>24950603</v>
      </c>
      <c r="E207" s="263">
        <f t="shared" si="29"/>
        <v>4393673</v>
      </c>
      <c r="F207" s="273">
        <f t="shared" si="30"/>
        <v>0.21373196289523777</v>
      </c>
    </row>
    <row r="208" spans="1:9" ht="20.25" customHeight="1" x14ac:dyDescent="0.3">
      <c r="A208" s="271"/>
      <c r="B208" s="262" t="s">
        <v>472</v>
      </c>
      <c r="C208" s="263">
        <f>+C199+C201</f>
        <v>8099234</v>
      </c>
      <c r="D208" s="263">
        <f>+D199+D201</f>
        <v>8875527</v>
      </c>
      <c r="E208" s="263">
        <f t="shared" si="29"/>
        <v>776293</v>
      </c>
      <c r="F208" s="273">
        <f t="shared" si="30"/>
        <v>9.5847706091711879E-2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FILING&amp;RDAY KIMBALL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103828</v>
      </c>
      <c r="D50" s="258">
        <v>280455</v>
      </c>
      <c r="E50" s="258">
        <f t="shared" ref="E50:E60" si="6">D50-C50</f>
        <v>176627</v>
      </c>
      <c r="F50" s="259">
        <f t="shared" ref="F50:F60" si="7">IF(C50=0,0,E50/C50)</f>
        <v>1.7011499788111106</v>
      </c>
    </row>
    <row r="51" spans="1:6" ht="20.25" customHeight="1" x14ac:dyDescent="0.3">
      <c r="A51" s="256">
        <v>2</v>
      </c>
      <c r="B51" s="257" t="s">
        <v>442</v>
      </c>
      <c r="C51" s="258">
        <v>49610</v>
      </c>
      <c r="D51" s="258">
        <v>89117</v>
      </c>
      <c r="E51" s="258">
        <f t="shared" si="6"/>
        <v>39507</v>
      </c>
      <c r="F51" s="259">
        <f t="shared" si="7"/>
        <v>0.79635154202781699</v>
      </c>
    </row>
    <row r="52" spans="1:6" ht="20.25" customHeight="1" x14ac:dyDescent="0.3">
      <c r="A52" s="256">
        <v>3</v>
      </c>
      <c r="B52" s="257" t="s">
        <v>443</v>
      </c>
      <c r="C52" s="258">
        <v>292837</v>
      </c>
      <c r="D52" s="258">
        <v>509988</v>
      </c>
      <c r="E52" s="258">
        <f t="shared" si="6"/>
        <v>217151</v>
      </c>
      <c r="F52" s="259">
        <f t="shared" si="7"/>
        <v>0.7415422231480312</v>
      </c>
    </row>
    <row r="53" spans="1:6" ht="20.25" customHeight="1" x14ac:dyDescent="0.3">
      <c r="A53" s="256">
        <v>4</v>
      </c>
      <c r="B53" s="257" t="s">
        <v>444</v>
      </c>
      <c r="C53" s="258">
        <v>75990</v>
      </c>
      <c r="D53" s="258">
        <v>144634</v>
      </c>
      <c r="E53" s="258">
        <f t="shared" si="6"/>
        <v>68644</v>
      </c>
      <c r="F53" s="259">
        <f t="shared" si="7"/>
        <v>0.90332938544545338</v>
      </c>
    </row>
    <row r="54" spans="1:6" ht="20.25" customHeight="1" x14ac:dyDescent="0.3">
      <c r="A54" s="256">
        <v>5</v>
      </c>
      <c r="B54" s="257" t="s">
        <v>381</v>
      </c>
      <c r="C54" s="260">
        <v>8</v>
      </c>
      <c r="D54" s="260">
        <v>22</v>
      </c>
      <c r="E54" s="260">
        <f t="shared" si="6"/>
        <v>14</v>
      </c>
      <c r="F54" s="259">
        <f t="shared" si="7"/>
        <v>1.75</v>
      </c>
    </row>
    <row r="55" spans="1:6" ht="20.25" customHeight="1" x14ac:dyDescent="0.3">
      <c r="A55" s="256">
        <v>6</v>
      </c>
      <c r="B55" s="257" t="s">
        <v>380</v>
      </c>
      <c r="C55" s="260">
        <v>29</v>
      </c>
      <c r="D55" s="260">
        <v>80</v>
      </c>
      <c r="E55" s="260">
        <f t="shared" si="6"/>
        <v>51</v>
      </c>
      <c r="F55" s="259">
        <f t="shared" si="7"/>
        <v>1.7586206896551724</v>
      </c>
    </row>
    <row r="56" spans="1:6" ht="20.25" customHeight="1" x14ac:dyDescent="0.3">
      <c r="A56" s="256">
        <v>7</v>
      </c>
      <c r="B56" s="257" t="s">
        <v>445</v>
      </c>
      <c r="C56" s="260">
        <v>320</v>
      </c>
      <c r="D56" s="260">
        <v>98</v>
      </c>
      <c r="E56" s="260">
        <f t="shared" si="6"/>
        <v>-222</v>
      </c>
      <c r="F56" s="259">
        <f t="shared" si="7"/>
        <v>-0.69374999999999998</v>
      </c>
    </row>
    <row r="57" spans="1:6" ht="20.25" customHeight="1" x14ac:dyDescent="0.3">
      <c r="A57" s="256">
        <v>8</v>
      </c>
      <c r="B57" s="257" t="s">
        <v>446</v>
      </c>
      <c r="C57" s="260">
        <v>41</v>
      </c>
      <c r="D57" s="260">
        <v>215</v>
      </c>
      <c r="E57" s="260">
        <f t="shared" si="6"/>
        <v>174</v>
      </c>
      <c r="F57" s="259">
        <f t="shared" si="7"/>
        <v>4.2439024390243905</v>
      </c>
    </row>
    <row r="58" spans="1:6" ht="20.25" customHeight="1" x14ac:dyDescent="0.3">
      <c r="A58" s="256">
        <v>9</v>
      </c>
      <c r="B58" s="257" t="s">
        <v>447</v>
      </c>
      <c r="C58" s="260">
        <v>3</v>
      </c>
      <c r="D58" s="260">
        <v>3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396665</v>
      </c>
      <c r="D59" s="263">
        <f>+D50+D52</f>
        <v>790443</v>
      </c>
      <c r="E59" s="263">
        <f t="shared" si="6"/>
        <v>393778</v>
      </c>
      <c r="F59" s="264">
        <f t="shared" si="7"/>
        <v>0.99272181815889982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125600</v>
      </c>
      <c r="D60" s="263">
        <f>+D51+D53</f>
        <v>233751</v>
      </c>
      <c r="E60" s="263">
        <f t="shared" si="6"/>
        <v>108151</v>
      </c>
      <c r="F60" s="264">
        <f t="shared" si="7"/>
        <v>0.86107484076433116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103828</v>
      </c>
      <c r="D112" s="263">
        <f t="shared" si="16"/>
        <v>280455</v>
      </c>
      <c r="E112" s="263">
        <f t="shared" ref="E112:E122" si="17">D112-C112</f>
        <v>176627</v>
      </c>
      <c r="F112" s="264">
        <f t="shared" ref="F112:F122" si="18">IF(C112=0,0,E112/C112)</f>
        <v>1.7011499788111106</v>
      </c>
    </row>
    <row r="113" spans="1:6" ht="20.25" customHeight="1" x14ac:dyDescent="0.3">
      <c r="A113" s="271"/>
      <c r="B113" s="286" t="s">
        <v>492</v>
      </c>
      <c r="C113" s="263">
        <f t="shared" si="16"/>
        <v>49610</v>
      </c>
      <c r="D113" s="263">
        <f t="shared" si="16"/>
        <v>89117</v>
      </c>
      <c r="E113" s="263">
        <f t="shared" si="17"/>
        <v>39507</v>
      </c>
      <c r="F113" s="264">
        <f t="shared" si="18"/>
        <v>0.79635154202781699</v>
      </c>
    </row>
    <row r="114" spans="1:6" ht="20.25" customHeight="1" x14ac:dyDescent="0.3">
      <c r="A114" s="271"/>
      <c r="B114" s="286" t="s">
        <v>493</v>
      </c>
      <c r="C114" s="263">
        <f t="shared" si="16"/>
        <v>292837</v>
      </c>
      <c r="D114" s="263">
        <f t="shared" si="16"/>
        <v>509988</v>
      </c>
      <c r="E114" s="263">
        <f t="shared" si="17"/>
        <v>217151</v>
      </c>
      <c r="F114" s="264">
        <f t="shared" si="18"/>
        <v>0.7415422231480312</v>
      </c>
    </row>
    <row r="115" spans="1:6" ht="20.25" customHeight="1" x14ac:dyDescent="0.3">
      <c r="A115" s="271"/>
      <c r="B115" s="286" t="s">
        <v>494</v>
      </c>
      <c r="C115" s="263">
        <f t="shared" si="16"/>
        <v>75990</v>
      </c>
      <c r="D115" s="263">
        <f t="shared" si="16"/>
        <v>144634</v>
      </c>
      <c r="E115" s="263">
        <f t="shared" si="17"/>
        <v>68644</v>
      </c>
      <c r="F115" s="264">
        <f t="shared" si="18"/>
        <v>0.90332938544545338</v>
      </c>
    </row>
    <row r="116" spans="1:6" ht="20.25" customHeight="1" x14ac:dyDescent="0.3">
      <c r="A116" s="271"/>
      <c r="B116" s="286" t="s">
        <v>495</v>
      </c>
      <c r="C116" s="287">
        <f t="shared" si="16"/>
        <v>8</v>
      </c>
      <c r="D116" s="287">
        <f t="shared" si="16"/>
        <v>22</v>
      </c>
      <c r="E116" s="287">
        <f t="shared" si="17"/>
        <v>14</v>
      </c>
      <c r="F116" s="264">
        <f t="shared" si="18"/>
        <v>1.75</v>
      </c>
    </row>
    <row r="117" spans="1:6" ht="20.25" customHeight="1" x14ac:dyDescent="0.3">
      <c r="A117" s="271"/>
      <c r="B117" s="286" t="s">
        <v>496</v>
      </c>
      <c r="C117" s="287">
        <f t="shared" si="16"/>
        <v>29</v>
      </c>
      <c r="D117" s="287">
        <f t="shared" si="16"/>
        <v>80</v>
      </c>
      <c r="E117" s="287">
        <f t="shared" si="17"/>
        <v>51</v>
      </c>
      <c r="F117" s="264">
        <f t="shared" si="18"/>
        <v>1.7586206896551724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320</v>
      </c>
      <c r="D118" s="287">
        <f t="shared" si="16"/>
        <v>98</v>
      </c>
      <c r="E118" s="287">
        <f t="shared" si="17"/>
        <v>-222</v>
      </c>
      <c r="F118" s="264">
        <f t="shared" si="18"/>
        <v>-0.69374999999999998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41</v>
      </c>
      <c r="D119" s="287">
        <f t="shared" si="16"/>
        <v>215</v>
      </c>
      <c r="E119" s="287">
        <f t="shared" si="17"/>
        <v>174</v>
      </c>
      <c r="F119" s="264">
        <f t="shared" si="18"/>
        <v>4.2439024390243905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3</v>
      </c>
      <c r="D120" s="287">
        <f t="shared" si="16"/>
        <v>3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396665</v>
      </c>
      <c r="D121" s="263">
        <f>+D112+D114</f>
        <v>790443</v>
      </c>
      <c r="E121" s="263">
        <f t="shared" si="17"/>
        <v>393778</v>
      </c>
      <c r="F121" s="264">
        <f t="shared" si="18"/>
        <v>0.99272181815889982</v>
      </c>
    </row>
    <row r="122" spans="1:6" ht="20.25" customHeight="1" x14ac:dyDescent="0.3">
      <c r="A122" s="271"/>
      <c r="B122" s="284" t="s">
        <v>472</v>
      </c>
      <c r="C122" s="263">
        <f>+C113+C115</f>
        <v>125600</v>
      </c>
      <c r="D122" s="263">
        <f>+D113+D115</f>
        <v>233751</v>
      </c>
      <c r="E122" s="263">
        <f t="shared" si="17"/>
        <v>108151</v>
      </c>
      <c r="F122" s="264">
        <f t="shared" si="18"/>
        <v>0.86107484076433116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FILING&amp;RDAY KIMBALL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7060282</v>
      </c>
      <c r="D13" s="22">
        <v>4911198</v>
      </c>
      <c r="E13" s="22">
        <f t="shared" ref="E13:E22" si="0">D13-C13</f>
        <v>-2149084</v>
      </c>
      <c r="F13" s="306">
        <f t="shared" ref="F13:F22" si="1">IF(C13=0,0,E13/C13)</f>
        <v>-0.30439067448014118</v>
      </c>
    </row>
    <row r="14" spans="1:8" ht="24" customHeight="1" x14ac:dyDescent="0.2">
      <c r="A14" s="304">
        <v>2</v>
      </c>
      <c r="B14" s="305" t="s">
        <v>17</v>
      </c>
      <c r="C14" s="22">
        <v>3023883</v>
      </c>
      <c r="D14" s="22">
        <v>2841383</v>
      </c>
      <c r="E14" s="22">
        <f t="shared" si="0"/>
        <v>-182500</v>
      </c>
      <c r="F14" s="306">
        <f t="shared" si="1"/>
        <v>-6.0352864181583747E-2</v>
      </c>
    </row>
    <row r="15" spans="1:8" ht="35.1" customHeight="1" x14ac:dyDescent="0.2">
      <c r="A15" s="304">
        <v>3</v>
      </c>
      <c r="B15" s="305" t="s">
        <v>18</v>
      </c>
      <c r="C15" s="22">
        <v>14709950</v>
      </c>
      <c r="D15" s="22">
        <v>15185290</v>
      </c>
      <c r="E15" s="22">
        <f t="shared" si="0"/>
        <v>475340</v>
      </c>
      <c r="F15" s="306">
        <f t="shared" si="1"/>
        <v>3.2314181897287207E-2</v>
      </c>
    </row>
    <row r="16" spans="1:8" ht="35.1" customHeight="1" x14ac:dyDescent="0.2">
      <c r="A16" s="304">
        <v>4</v>
      </c>
      <c r="B16" s="305" t="s">
        <v>19</v>
      </c>
      <c r="C16" s="22">
        <v>988196</v>
      </c>
      <c r="D16" s="22">
        <v>654243</v>
      </c>
      <c r="E16" s="22">
        <f t="shared" si="0"/>
        <v>-333953</v>
      </c>
      <c r="F16" s="306">
        <f t="shared" si="1"/>
        <v>-0.33794206817271066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1869</v>
      </c>
      <c r="E17" s="22">
        <f t="shared" si="0"/>
        <v>1869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1352274</v>
      </c>
      <c r="E18" s="22">
        <f t="shared" si="0"/>
        <v>1352274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2390372</v>
      </c>
      <c r="D19" s="22">
        <v>2153470</v>
      </c>
      <c r="E19" s="22">
        <f t="shared" si="0"/>
        <v>-236902</v>
      </c>
      <c r="F19" s="306">
        <f t="shared" si="1"/>
        <v>-9.9106749911729214E-2</v>
      </c>
    </row>
    <row r="20" spans="1:11" ht="24" customHeight="1" x14ac:dyDescent="0.2">
      <c r="A20" s="304">
        <v>8</v>
      </c>
      <c r="B20" s="305" t="s">
        <v>23</v>
      </c>
      <c r="C20" s="22">
        <v>360982</v>
      </c>
      <c r="D20" s="22">
        <v>344869</v>
      </c>
      <c r="E20" s="22">
        <f t="shared" si="0"/>
        <v>-16113</v>
      </c>
      <c r="F20" s="306">
        <f t="shared" si="1"/>
        <v>-4.4636574676853696E-2</v>
      </c>
    </row>
    <row r="21" spans="1:11" ht="24" customHeight="1" x14ac:dyDescent="0.2">
      <c r="A21" s="304">
        <v>9</v>
      </c>
      <c r="B21" s="305" t="s">
        <v>24</v>
      </c>
      <c r="C21" s="22">
        <v>1264550</v>
      </c>
      <c r="D21" s="22">
        <v>1449487</v>
      </c>
      <c r="E21" s="22">
        <f t="shared" si="0"/>
        <v>184937</v>
      </c>
      <c r="F21" s="306">
        <f t="shared" si="1"/>
        <v>0.14624728164169071</v>
      </c>
    </row>
    <row r="22" spans="1:11" ht="24" customHeight="1" x14ac:dyDescent="0.25">
      <c r="A22" s="307"/>
      <c r="B22" s="308" t="s">
        <v>25</v>
      </c>
      <c r="C22" s="309">
        <f>SUM(C13:C21)</f>
        <v>29798215</v>
      </c>
      <c r="D22" s="309">
        <f>SUM(D13:D21)</f>
        <v>28894083</v>
      </c>
      <c r="E22" s="309">
        <f t="shared" si="0"/>
        <v>-904132</v>
      </c>
      <c r="F22" s="310">
        <f t="shared" si="1"/>
        <v>-3.0341817454501888E-2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4675704</v>
      </c>
      <c r="D25" s="22">
        <v>4209026</v>
      </c>
      <c r="E25" s="22">
        <f>D25-C25</f>
        <v>-466678</v>
      </c>
      <c r="F25" s="306">
        <f>IF(C25=0,0,E25/C25)</f>
        <v>-9.9809141040579127E-2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2340811</v>
      </c>
      <c r="D27" s="22">
        <v>2061464</v>
      </c>
      <c r="E27" s="22">
        <f>D27-C27</f>
        <v>-279347</v>
      </c>
      <c r="F27" s="306">
        <f>IF(C27=0,0,E27/C27)</f>
        <v>-0.11933769962632609</v>
      </c>
    </row>
    <row r="28" spans="1:11" ht="35.1" customHeight="1" x14ac:dyDescent="0.2">
      <c r="A28" s="304">
        <v>4</v>
      </c>
      <c r="B28" s="305" t="s">
        <v>31</v>
      </c>
      <c r="C28" s="22">
        <v>2511054</v>
      </c>
      <c r="D28" s="22">
        <v>1472779</v>
      </c>
      <c r="E28" s="22">
        <f>D28-C28</f>
        <v>-1038275</v>
      </c>
      <c r="F28" s="306">
        <f>IF(C28=0,0,E28/C28)</f>
        <v>-0.41348174909818747</v>
      </c>
    </row>
    <row r="29" spans="1:11" ht="35.1" customHeight="1" x14ac:dyDescent="0.25">
      <c r="A29" s="307"/>
      <c r="B29" s="308" t="s">
        <v>32</v>
      </c>
      <c r="C29" s="309">
        <f>SUM(C25:C28)</f>
        <v>9527569</v>
      </c>
      <c r="D29" s="309">
        <f>SUM(D25:D28)</f>
        <v>7743269</v>
      </c>
      <c r="E29" s="309">
        <f>D29-C29</f>
        <v>-1784300</v>
      </c>
      <c r="F29" s="310">
        <f>IF(C29=0,0,E29/C29)</f>
        <v>-0.18727757311440096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10778340</v>
      </c>
      <c r="D32" s="22">
        <v>8384272</v>
      </c>
      <c r="E32" s="22">
        <f>D32-C32</f>
        <v>-2394068</v>
      </c>
      <c r="F32" s="306">
        <f>IF(C32=0,0,E32/C32)</f>
        <v>-0.2221184338219058</v>
      </c>
    </row>
    <row r="33" spans="1:8" ht="24" customHeight="1" x14ac:dyDescent="0.2">
      <c r="A33" s="304">
        <v>7</v>
      </c>
      <c r="B33" s="305" t="s">
        <v>35</v>
      </c>
      <c r="C33" s="22">
        <v>1274535</v>
      </c>
      <c r="D33" s="22">
        <v>48270</v>
      </c>
      <c r="E33" s="22">
        <f>D33-C33</f>
        <v>-1226265</v>
      </c>
      <c r="F33" s="306">
        <f>IF(C33=0,0,E33/C33)</f>
        <v>-0.96212736409749433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108041659</v>
      </c>
      <c r="D36" s="22">
        <v>118239708</v>
      </c>
      <c r="E36" s="22">
        <f>D36-C36</f>
        <v>10198049</v>
      </c>
      <c r="F36" s="306">
        <f>IF(C36=0,0,E36/C36)</f>
        <v>9.4389970446492305E-2</v>
      </c>
    </row>
    <row r="37" spans="1:8" ht="24" customHeight="1" x14ac:dyDescent="0.2">
      <c r="A37" s="304">
        <v>2</v>
      </c>
      <c r="B37" s="305" t="s">
        <v>39</v>
      </c>
      <c r="C37" s="22">
        <v>72354162</v>
      </c>
      <c r="D37" s="22">
        <v>73541843</v>
      </c>
      <c r="E37" s="22">
        <f>D37-C37</f>
        <v>1187681</v>
      </c>
      <c r="F37" s="22">
        <f>IF(C37=0,0,E37/C37)</f>
        <v>1.6414826281866135E-2</v>
      </c>
    </row>
    <row r="38" spans="1:8" ht="24" customHeight="1" x14ac:dyDescent="0.25">
      <c r="A38" s="307"/>
      <c r="B38" s="308" t="s">
        <v>40</v>
      </c>
      <c r="C38" s="309">
        <f>C36-C37</f>
        <v>35687497</v>
      </c>
      <c r="D38" s="309">
        <f>D36-D37</f>
        <v>44697865</v>
      </c>
      <c r="E38" s="309">
        <f>D38-C38</f>
        <v>9010368</v>
      </c>
      <c r="F38" s="310">
        <f>IF(C38=0,0,E38/C38)</f>
        <v>0.25247968497202256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12879531</v>
      </c>
      <c r="D40" s="22">
        <v>4666369</v>
      </c>
      <c r="E40" s="22">
        <f>D40-C40</f>
        <v>-8213162</v>
      </c>
      <c r="F40" s="306">
        <f>IF(C40=0,0,E40/C40)</f>
        <v>-0.63769107741578479</v>
      </c>
    </row>
    <row r="41" spans="1:8" ht="24" customHeight="1" x14ac:dyDescent="0.25">
      <c r="A41" s="307"/>
      <c r="B41" s="308" t="s">
        <v>42</v>
      </c>
      <c r="C41" s="309">
        <f>+C38+C40</f>
        <v>48567028</v>
      </c>
      <c r="D41" s="309">
        <f>+D38+D40</f>
        <v>49364234</v>
      </c>
      <c r="E41" s="309">
        <f>D41-C41</f>
        <v>797206</v>
      </c>
      <c r="F41" s="310">
        <f>IF(C41=0,0,E41/C41)</f>
        <v>1.6414551864281257E-2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99945687</v>
      </c>
      <c r="D43" s="309">
        <f>D22+D29+D31+D32+D33+D41</f>
        <v>94434128</v>
      </c>
      <c r="E43" s="309">
        <f>D43-C43</f>
        <v>-5511559</v>
      </c>
      <c r="F43" s="310">
        <f>IF(C43=0,0,E43/C43)</f>
        <v>-5.5145541197790755E-2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12344179</v>
      </c>
      <c r="D49" s="22">
        <v>10078631</v>
      </c>
      <c r="E49" s="22">
        <f t="shared" ref="E49:E56" si="2">D49-C49</f>
        <v>-2265548</v>
      </c>
      <c r="F49" s="306">
        <f t="shared" ref="F49:F56" si="3">IF(C49=0,0,E49/C49)</f>
        <v>-0.18353168728353664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2553878</v>
      </c>
      <c r="D50" s="22">
        <v>2090408</v>
      </c>
      <c r="E50" s="22">
        <f t="shared" si="2"/>
        <v>-463470</v>
      </c>
      <c r="F50" s="306">
        <f t="shared" si="3"/>
        <v>-0.1814769538717198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734249</v>
      </c>
      <c r="D51" s="22">
        <v>4459573</v>
      </c>
      <c r="E51" s="22">
        <f t="shared" si="2"/>
        <v>3725324</v>
      </c>
      <c r="F51" s="306">
        <f t="shared" si="3"/>
        <v>5.0736521261860759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4261</v>
      </c>
      <c r="E52" s="22">
        <f t="shared" si="2"/>
        <v>4261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1866750</v>
      </c>
      <c r="D53" s="22">
        <v>1473425</v>
      </c>
      <c r="E53" s="22">
        <f t="shared" si="2"/>
        <v>-393325</v>
      </c>
      <c r="F53" s="306">
        <f t="shared" si="3"/>
        <v>-0.21070041516003749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750400</v>
      </c>
      <c r="E54" s="22">
        <f t="shared" si="2"/>
        <v>750400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12926086</v>
      </c>
      <c r="D55" s="22">
        <v>7374387</v>
      </c>
      <c r="E55" s="22">
        <f t="shared" si="2"/>
        <v>-5551699</v>
      </c>
      <c r="F55" s="306">
        <f t="shared" si="3"/>
        <v>-0.42949574991223177</v>
      </c>
    </row>
    <row r="56" spans="1:6" ht="24" customHeight="1" x14ac:dyDescent="0.25">
      <c r="A56" s="307"/>
      <c r="B56" s="308" t="s">
        <v>54</v>
      </c>
      <c r="C56" s="309">
        <f>SUM(C49:C55)</f>
        <v>30425142</v>
      </c>
      <c r="D56" s="309">
        <f>SUM(D49:D55)</f>
        <v>26231085</v>
      </c>
      <c r="E56" s="309">
        <f t="shared" si="2"/>
        <v>-4194057</v>
      </c>
      <c r="F56" s="310">
        <f t="shared" si="3"/>
        <v>-0.13784839525153245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29561646</v>
      </c>
      <c r="D59" s="22">
        <v>27705000</v>
      </c>
      <c r="E59" s="22">
        <f>D59-C59</f>
        <v>-1856646</v>
      </c>
      <c r="F59" s="306">
        <f>IF(C59=0,0,E59/C59)</f>
        <v>-6.2805907357120772E-2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102336</v>
      </c>
      <c r="E60" s="22">
        <f>D60-C60</f>
        <v>102336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29561646</v>
      </c>
      <c r="D61" s="309">
        <f>SUM(D59:D60)</f>
        <v>27807336</v>
      </c>
      <c r="E61" s="309">
        <f>D61-C61</f>
        <v>-1754310</v>
      </c>
      <c r="F61" s="310">
        <f>IF(C61=0,0,E61/C61)</f>
        <v>-5.9344124478048349E-2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34030148</v>
      </c>
      <c r="D63" s="22">
        <v>49175366</v>
      </c>
      <c r="E63" s="22">
        <f>D63-C63</f>
        <v>15145218</v>
      </c>
      <c r="F63" s="306">
        <f>IF(C63=0,0,E63/C63)</f>
        <v>0.44505295716022159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512200</v>
      </c>
      <c r="E64" s="22">
        <f>D64-C64</f>
        <v>512200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63591794</v>
      </c>
      <c r="D65" s="309">
        <f>SUM(D61:D64)</f>
        <v>77494902</v>
      </c>
      <c r="E65" s="309">
        <f>D65-C65</f>
        <v>13903108</v>
      </c>
      <c r="F65" s="310">
        <f>IF(C65=0,0,E65/C65)</f>
        <v>0.21863053588329337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-1617411</v>
      </c>
      <c r="D70" s="22">
        <v>-16231755</v>
      </c>
      <c r="E70" s="22">
        <f>D70-C70</f>
        <v>-14614344</v>
      </c>
      <c r="F70" s="306">
        <f>IF(C70=0,0,E70/C70)</f>
        <v>9.0356402917996732</v>
      </c>
    </row>
    <row r="71" spans="1:6" ht="24" customHeight="1" x14ac:dyDescent="0.2">
      <c r="A71" s="304">
        <v>2</v>
      </c>
      <c r="B71" s="305" t="s">
        <v>65</v>
      </c>
      <c r="C71" s="22">
        <v>3198536</v>
      </c>
      <c r="D71" s="22">
        <v>2873106</v>
      </c>
      <c r="E71" s="22">
        <f>D71-C71</f>
        <v>-325430</v>
      </c>
      <c r="F71" s="306">
        <f>IF(C71=0,0,E71/C71)</f>
        <v>-0.10174342261584675</v>
      </c>
    </row>
    <row r="72" spans="1:6" ht="24" customHeight="1" x14ac:dyDescent="0.2">
      <c r="A72" s="304">
        <v>3</v>
      </c>
      <c r="B72" s="305" t="s">
        <v>66</v>
      </c>
      <c r="C72" s="22">
        <v>4347626</v>
      </c>
      <c r="D72" s="22">
        <v>4066790</v>
      </c>
      <c r="E72" s="22">
        <f>D72-C72</f>
        <v>-280836</v>
      </c>
      <c r="F72" s="306">
        <f>IF(C72=0,0,E72/C72)</f>
        <v>-6.4595252673528031E-2</v>
      </c>
    </row>
    <row r="73" spans="1:6" ht="24" customHeight="1" x14ac:dyDescent="0.25">
      <c r="A73" s="304"/>
      <c r="B73" s="308" t="s">
        <v>67</v>
      </c>
      <c r="C73" s="309">
        <f>SUM(C70:C72)</f>
        <v>5928751</v>
      </c>
      <c r="D73" s="309">
        <f>SUM(D70:D72)</f>
        <v>-9291859</v>
      </c>
      <c r="E73" s="309">
        <f>D73-C73</f>
        <v>-15220610</v>
      </c>
      <c r="F73" s="310">
        <f>IF(C73=0,0,E73/C73)</f>
        <v>-2.5672540472689778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99945687</v>
      </c>
      <c r="D75" s="309">
        <f>D56+D65+D67+D73</f>
        <v>94434128</v>
      </c>
      <c r="E75" s="309">
        <f>D75-C75</f>
        <v>-5511559</v>
      </c>
      <c r="F75" s="310">
        <f>IF(C75=0,0,E75/C75)</f>
        <v>-5.5145541197790755E-2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FILING&amp;RDAY KIMBALL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262614076</v>
      </c>
      <c r="D11" s="76">
        <v>280131974</v>
      </c>
      <c r="E11" s="76">
        <f t="shared" ref="E11:E20" si="0">D11-C11</f>
        <v>17517898</v>
      </c>
      <c r="F11" s="77">
        <f t="shared" ref="F11:F20" si="1">IF(C11=0,0,E11/C11)</f>
        <v>6.6705860808466341E-2</v>
      </c>
    </row>
    <row r="12" spans="1:7" ht="23.1" customHeight="1" x14ac:dyDescent="0.2">
      <c r="A12" s="74">
        <v>2</v>
      </c>
      <c r="B12" s="75" t="s">
        <v>72</v>
      </c>
      <c r="C12" s="76">
        <v>130531408</v>
      </c>
      <c r="D12" s="76">
        <v>147917002</v>
      </c>
      <c r="E12" s="76">
        <f t="shared" si="0"/>
        <v>17385594</v>
      </c>
      <c r="F12" s="77">
        <f t="shared" si="1"/>
        <v>0.13319088690133488</v>
      </c>
    </row>
    <row r="13" spans="1:7" ht="23.1" customHeight="1" x14ac:dyDescent="0.2">
      <c r="A13" s="74">
        <v>3</v>
      </c>
      <c r="B13" s="75" t="s">
        <v>73</v>
      </c>
      <c r="C13" s="76">
        <v>536291</v>
      </c>
      <c r="D13" s="76">
        <v>477319</v>
      </c>
      <c r="E13" s="76">
        <f t="shared" si="0"/>
        <v>-58972</v>
      </c>
      <c r="F13" s="77">
        <f t="shared" si="1"/>
        <v>-0.10996268816743149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131546377</v>
      </c>
      <c r="D15" s="79">
        <f>D11-D12-D13-D14</f>
        <v>131737653</v>
      </c>
      <c r="E15" s="79">
        <f t="shared" si="0"/>
        <v>191276</v>
      </c>
      <c r="F15" s="80">
        <f t="shared" si="1"/>
        <v>1.4540575298398375E-3</v>
      </c>
    </row>
    <row r="16" spans="1:7" ht="23.1" customHeight="1" x14ac:dyDescent="0.2">
      <c r="A16" s="74">
        <v>5</v>
      </c>
      <c r="B16" s="75" t="s">
        <v>76</v>
      </c>
      <c r="C16" s="76">
        <v>3589475</v>
      </c>
      <c r="D16" s="76">
        <v>4514145</v>
      </c>
      <c r="E16" s="76">
        <f t="shared" si="0"/>
        <v>924670</v>
      </c>
      <c r="F16" s="77">
        <f t="shared" si="1"/>
        <v>0.25760591729988369</v>
      </c>
      <c r="G16" s="65"/>
    </row>
    <row r="17" spans="1:7" ht="31.5" customHeight="1" x14ac:dyDescent="0.25">
      <c r="A17" s="71"/>
      <c r="B17" s="81" t="s">
        <v>77</v>
      </c>
      <c r="C17" s="79">
        <f>C15-C16</f>
        <v>127956902</v>
      </c>
      <c r="D17" s="79">
        <f>D15-D16</f>
        <v>127223508</v>
      </c>
      <c r="E17" s="79">
        <f t="shared" si="0"/>
        <v>-733394</v>
      </c>
      <c r="F17" s="80">
        <f t="shared" si="1"/>
        <v>-5.7315704626859443E-3</v>
      </c>
    </row>
    <row r="18" spans="1:7" ht="23.1" customHeight="1" x14ac:dyDescent="0.2">
      <c r="A18" s="74">
        <v>6</v>
      </c>
      <c r="B18" s="75" t="s">
        <v>78</v>
      </c>
      <c r="C18" s="76">
        <v>7159042</v>
      </c>
      <c r="D18" s="76">
        <v>4490229</v>
      </c>
      <c r="E18" s="76">
        <f t="shared" si="0"/>
        <v>-2668813</v>
      </c>
      <c r="F18" s="77">
        <f t="shared" si="1"/>
        <v>-0.3727891245784003</v>
      </c>
      <c r="G18" s="65"/>
    </row>
    <row r="19" spans="1:7" ht="33" customHeight="1" x14ac:dyDescent="0.2">
      <c r="A19" s="74">
        <v>7</v>
      </c>
      <c r="B19" s="82" t="s">
        <v>79</v>
      </c>
      <c r="C19" s="76">
        <v>542491</v>
      </c>
      <c r="D19" s="76">
        <v>279620</v>
      </c>
      <c r="E19" s="76">
        <f t="shared" si="0"/>
        <v>-262871</v>
      </c>
      <c r="F19" s="77">
        <f t="shared" si="1"/>
        <v>-0.48456287754082555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135658435</v>
      </c>
      <c r="D20" s="79">
        <f>SUM(D17:D19)</f>
        <v>131993357</v>
      </c>
      <c r="E20" s="79">
        <f t="shared" si="0"/>
        <v>-3665078</v>
      </c>
      <c r="F20" s="80">
        <f t="shared" si="1"/>
        <v>-2.7016956225390628E-2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69912447</v>
      </c>
      <c r="D23" s="76">
        <v>65526421</v>
      </c>
      <c r="E23" s="76">
        <f t="shared" ref="E23:E32" si="2">D23-C23</f>
        <v>-4386026</v>
      </c>
      <c r="F23" s="77">
        <f t="shared" ref="F23:F32" si="3">IF(C23=0,0,E23/C23)</f>
        <v>-6.2735981763018533E-2</v>
      </c>
    </row>
    <row r="24" spans="1:7" ht="23.1" customHeight="1" x14ac:dyDescent="0.2">
      <c r="A24" s="74">
        <v>2</v>
      </c>
      <c r="B24" s="75" t="s">
        <v>83</v>
      </c>
      <c r="C24" s="76">
        <v>20769667</v>
      </c>
      <c r="D24" s="76">
        <v>19190492</v>
      </c>
      <c r="E24" s="76">
        <f t="shared" si="2"/>
        <v>-1579175</v>
      </c>
      <c r="F24" s="77">
        <f t="shared" si="3"/>
        <v>-7.6032754882396525E-2</v>
      </c>
    </row>
    <row r="25" spans="1:7" ht="23.1" customHeight="1" x14ac:dyDescent="0.2">
      <c r="A25" s="74">
        <v>3</v>
      </c>
      <c r="B25" s="75" t="s">
        <v>84</v>
      </c>
      <c r="C25" s="76">
        <v>2769654</v>
      </c>
      <c r="D25" s="76">
        <v>2450782</v>
      </c>
      <c r="E25" s="76">
        <f t="shared" si="2"/>
        <v>-318872</v>
      </c>
      <c r="F25" s="77">
        <f t="shared" si="3"/>
        <v>-0.11513062642481696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15796203</v>
      </c>
      <c r="D26" s="76">
        <v>15266354</v>
      </c>
      <c r="E26" s="76">
        <f t="shared" si="2"/>
        <v>-529849</v>
      </c>
      <c r="F26" s="77">
        <f t="shared" si="3"/>
        <v>-3.3542807724109398E-2</v>
      </c>
    </row>
    <row r="27" spans="1:7" ht="23.1" customHeight="1" x14ac:dyDescent="0.2">
      <c r="A27" s="74">
        <v>5</v>
      </c>
      <c r="B27" s="75" t="s">
        <v>86</v>
      </c>
      <c r="C27" s="76">
        <v>5278929</v>
      </c>
      <c r="D27" s="76">
        <v>5898547</v>
      </c>
      <c r="E27" s="76">
        <f t="shared" si="2"/>
        <v>619618</v>
      </c>
      <c r="F27" s="77">
        <f t="shared" si="3"/>
        <v>0.11737570253360104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1343831</v>
      </c>
      <c r="D29" s="76">
        <v>1451212</v>
      </c>
      <c r="E29" s="76">
        <f t="shared" si="2"/>
        <v>107381</v>
      </c>
      <c r="F29" s="77">
        <f t="shared" si="3"/>
        <v>7.9906625163432013E-2</v>
      </c>
    </row>
    <row r="30" spans="1:7" ht="23.1" customHeight="1" x14ac:dyDescent="0.2">
      <c r="A30" s="74">
        <v>8</v>
      </c>
      <c r="B30" s="75" t="s">
        <v>89</v>
      </c>
      <c r="C30" s="76">
        <v>762085</v>
      </c>
      <c r="D30" s="76">
        <v>756357</v>
      </c>
      <c r="E30" s="76">
        <f t="shared" si="2"/>
        <v>-5728</v>
      </c>
      <c r="F30" s="77">
        <f t="shared" si="3"/>
        <v>-7.5162219437464326E-3</v>
      </c>
    </row>
    <row r="31" spans="1:7" ht="23.1" customHeight="1" x14ac:dyDescent="0.2">
      <c r="A31" s="74">
        <v>9</v>
      </c>
      <c r="B31" s="75" t="s">
        <v>90</v>
      </c>
      <c r="C31" s="76">
        <v>24944403</v>
      </c>
      <c r="D31" s="76">
        <v>29055243</v>
      </c>
      <c r="E31" s="76">
        <f t="shared" si="2"/>
        <v>4110840</v>
      </c>
      <c r="F31" s="77">
        <f t="shared" si="3"/>
        <v>0.16480009563668452</v>
      </c>
    </row>
    <row r="32" spans="1:7" ht="23.1" customHeight="1" x14ac:dyDescent="0.25">
      <c r="A32" s="71"/>
      <c r="B32" s="78" t="s">
        <v>91</v>
      </c>
      <c r="C32" s="79">
        <f>SUM(C23:C31)</f>
        <v>141577219</v>
      </c>
      <c r="D32" s="79">
        <f>SUM(D23:D31)</f>
        <v>139595408</v>
      </c>
      <c r="E32" s="79">
        <f t="shared" si="2"/>
        <v>-1981811</v>
      </c>
      <c r="F32" s="80">
        <f t="shared" si="3"/>
        <v>-1.3998092447344936E-2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-5918784</v>
      </c>
      <c r="D34" s="79">
        <f>+D20-D32</f>
        <v>-7602051</v>
      </c>
      <c r="E34" s="79">
        <f>D34-C34</f>
        <v>-1683267</v>
      </c>
      <c r="F34" s="80">
        <f>IF(C34=0,0,E34/C34)</f>
        <v>0.28439405796866385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405541</v>
      </c>
      <c r="D37" s="76">
        <v>1022028</v>
      </c>
      <c r="E37" s="76">
        <f>D37-C37</f>
        <v>616487</v>
      </c>
      <c r="F37" s="77">
        <f>IF(C37=0,0,E37/C37)</f>
        <v>1.5201594906556921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258802</v>
      </c>
      <c r="E38" s="76">
        <f>D38-C38</f>
        <v>258802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113623</v>
      </c>
      <c r="D39" s="76">
        <v>0</v>
      </c>
      <c r="E39" s="76">
        <f>D39-C39</f>
        <v>-113623</v>
      </c>
      <c r="F39" s="77">
        <f>IF(C39=0,0,E39/C39)</f>
        <v>-1</v>
      </c>
    </row>
    <row r="40" spans="1:6" ht="23.1" customHeight="1" x14ac:dyDescent="0.25">
      <c r="A40" s="83"/>
      <c r="B40" s="78" t="s">
        <v>97</v>
      </c>
      <c r="C40" s="79">
        <f>SUM(C37:C39)</f>
        <v>519164</v>
      </c>
      <c r="D40" s="79">
        <f>SUM(D37:D39)</f>
        <v>1280830</v>
      </c>
      <c r="E40" s="79">
        <f>D40-C40</f>
        <v>761666</v>
      </c>
      <c r="F40" s="80">
        <f>IF(C40=0,0,E40/C40)</f>
        <v>1.4671009546116449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-5399620</v>
      </c>
      <c r="D42" s="79">
        <f>D34+D40</f>
        <v>-6321221</v>
      </c>
      <c r="E42" s="79">
        <f>D42-C42</f>
        <v>-921601</v>
      </c>
      <c r="F42" s="80">
        <f>IF(C42=0,0,E42/C42)</f>
        <v>0.17067886258662646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-5399620</v>
      </c>
      <c r="D49" s="79">
        <f>D42+D47</f>
        <v>-6321221</v>
      </c>
      <c r="E49" s="79">
        <f>D49-C49</f>
        <v>-921601</v>
      </c>
      <c r="F49" s="80">
        <f>IF(C49=0,0,E49/C49)</f>
        <v>0.17067886258662646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FILING&amp;R&amp;8DAY KIMBALL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2016-07-29T20:38:09Z</dcterms:created>
  <dcterms:modified xsi:type="dcterms:W3CDTF">2016-07-29T21:07:45Z</dcterms:modified>
</cp:coreProperties>
</file>