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102" i="22" l="1"/>
  <c r="C102" i="22"/>
  <c r="E97" i="22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E103" i="22"/>
  <c r="D83" i="22"/>
  <c r="D102" i="22"/>
  <c r="C83" i="22"/>
  <c r="C101" i="22"/>
  <c r="C103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34" i="22"/>
  <c r="C34" i="22"/>
  <c r="E28" i="22"/>
  <c r="D28" i="22"/>
  <c r="C28" i="22"/>
  <c r="E27" i="22"/>
  <c r="D27" i="22"/>
  <c r="C27" i="22"/>
  <c r="E23" i="22"/>
  <c r="E111" i="22"/>
  <c r="C23" i="22"/>
  <c r="C111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F21" i="21"/>
  <c r="D19" i="21"/>
  <c r="E19" i="21"/>
  <c r="F19" i="21"/>
  <c r="C19" i="21"/>
  <c r="F17" i="21"/>
  <c r="E17" i="21"/>
  <c r="F15" i="21"/>
  <c r="E15" i="21"/>
  <c r="D45" i="20"/>
  <c r="E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C175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E163" i="18"/>
  <c r="C139" i="18"/>
  <c r="C163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C71" i="18"/>
  <c r="D70" i="18"/>
  <c r="C70" i="18"/>
  <c r="C76" i="18"/>
  <c r="D69" i="18"/>
  <c r="C69" i="18"/>
  <c r="C65" i="18"/>
  <c r="C66" i="18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C43" i="18"/>
  <c r="C259" i="18"/>
  <c r="D42" i="18"/>
  <c r="E42" i="18"/>
  <c r="C42" i="18"/>
  <c r="D41" i="18"/>
  <c r="C41" i="18"/>
  <c r="E41" i="18"/>
  <c r="D40" i="18"/>
  <c r="E40" i="18"/>
  <c r="C40" i="18"/>
  <c r="D39" i="18"/>
  <c r="C39" i="18"/>
  <c r="E39" i="18"/>
  <c r="D38" i="18"/>
  <c r="E38" i="18"/>
  <c r="C38" i="18"/>
  <c r="D37" i="18"/>
  <c r="D43" i="18"/>
  <c r="E43" i="18"/>
  <c r="C37" i="18"/>
  <c r="E37" i="18"/>
  <c r="D36" i="18"/>
  <c r="E36" i="18"/>
  <c r="C36" i="18"/>
  <c r="C33" i="18"/>
  <c r="D32" i="18"/>
  <c r="C32" i="18"/>
  <c r="E31" i="18"/>
  <c r="E30" i="18"/>
  <c r="E29" i="18"/>
  <c r="E28" i="18"/>
  <c r="E27" i="18"/>
  <c r="E26" i="18"/>
  <c r="E25" i="18"/>
  <c r="D22" i="18"/>
  <c r="D21" i="18"/>
  <c r="D283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C290" i="17"/>
  <c r="D191" i="17"/>
  <c r="D280" i="17"/>
  <c r="C191" i="17"/>
  <c r="D189" i="17"/>
  <c r="D278" i="17"/>
  <c r="C189" i="17"/>
  <c r="D188" i="17"/>
  <c r="D277" i="17"/>
  <c r="C188" i="17"/>
  <c r="D180" i="17"/>
  <c r="C180" i="17"/>
  <c r="D179" i="17"/>
  <c r="D181" i="17"/>
  <c r="E181" i="17"/>
  <c r="C179" i="17"/>
  <c r="C181" i="17"/>
  <c r="F181" i="17"/>
  <c r="D171" i="17"/>
  <c r="D172" i="17"/>
  <c r="C171" i="17"/>
  <c r="C172" i="17"/>
  <c r="D170" i="17"/>
  <c r="C170" i="17"/>
  <c r="F169" i="17"/>
  <c r="E169" i="17"/>
  <c r="F168" i="17"/>
  <c r="E168" i="17"/>
  <c r="D165" i="17"/>
  <c r="C165" i="17"/>
  <c r="D164" i="17"/>
  <c r="C164" i="17"/>
  <c r="F163" i="17"/>
  <c r="E163" i="17"/>
  <c r="D158" i="17"/>
  <c r="D159" i="17"/>
  <c r="E159" i="17"/>
  <c r="C158" i="17"/>
  <c r="C159" i="17"/>
  <c r="F159" i="17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D144" i="17"/>
  <c r="D146" i="17"/>
  <c r="E146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C109" i="17"/>
  <c r="C111" i="17"/>
  <c r="D101" i="17"/>
  <c r="D102" i="17"/>
  <c r="C101" i="17"/>
  <c r="C102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E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E68" i="17"/>
  <c r="C66" i="17"/>
  <c r="C68" i="17"/>
  <c r="D59" i="17"/>
  <c r="D60" i="17"/>
  <c r="C59" i="17"/>
  <c r="C60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E28" i="17"/>
  <c r="F28" i="17"/>
  <c r="E27" i="17"/>
  <c r="F27" i="17"/>
  <c r="D24" i="17"/>
  <c r="E24" i="17"/>
  <c r="F24" i="17"/>
  <c r="C24" i="17"/>
  <c r="D23" i="17"/>
  <c r="E23" i="17"/>
  <c r="F23" i="17"/>
  <c r="C23" i="17"/>
  <c r="E22" i="17"/>
  <c r="F22" i="17"/>
  <c r="D20" i="17"/>
  <c r="E20" i="17"/>
  <c r="F20" i="17"/>
  <c r="C20" i="17"/>
  <c r="E19" i="17"/>
  <c r="F19" i="17"/>
  <c r="E18" i="17"/>
  <c r="F18" i="17"/>
  <c r="D17" i="17"/>
  <c r="E17" i="17"/>
  <c r="F17" i="17"/>
  <c r="C17" i="17"/>
  <c r="E16" i="17"/>
  <c r="F16" i="17"/>
  <c r="E15" i="17"/>
  <c r="F15" i="17"/>
  <c r="D21" i="16"/>
  <c r="E21" i="16"/>
  <c r="F21" i="16"/>
  <c r="C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61" i="13"/>
  <c r="E57" i="13"/>
  <c r="C59" i="13"/>
  <c r="C61" i="13"/>
  <c r="C57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C120" i="10"/>
  <c r="F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D122" i="10"/>
  <c r="C113" i="10"/>
  <c r="D112" i="10"/>
  <c r="D121" i="10"/>
  <c r="C112" i="10"/>
  <c r="D108" i="10"/>
  <c r="C108" i="10"/>
  <c r="F108" i="10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C59" i="10"/>
  <c r="F58" i="10"/>
  <c r="E58" i="10"/>
  <c r="E57" i="10"/>
  <c r="F57" i="10"/>
  <c r="E56" i="10"/>
  <c r="F56" i="10"/>
  <c r="E55" i="10"/>
  <c r="F55" i="10"/>
  <c r="E54" i="10"/>
  <c r="F54" i="10"/>
  <c r="E53" i="10"/>
  <c r="F53" i="10"/>
  <c r="E52" i="10"/>
  <c r="F52" i="10"/>
  <c r="E51" i="10"/>
  <c r="F51" i="10"/>
  <c r="E50" i="10"/>
  <c r="F50" i="10"/>
  <c r="E48" i="10"/>
  <c r="D48" i="10"/>
  <c r="C48" i="10"/>
  <c r="F48" i="10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/>
  <c r="D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F206" i="9"/>
  <c r="D205" i="9"/>
  <c r="E205" i="9"/>
  <c r="C205" i="9"/>
  <c r="D204" i="9"/>
  <c r="E204" i="9"/>
  <c r="C204" i="9"/>
  <c r="D203" i="9"/>
  <c r="E203" i="9"/>
  <c r="C203" i="9"/>
  <c r="D202" i="9"/>
  <c r="E202" i="9"/>
  <c r="C202" i="9"/>
  <c r="D201" i="9"/>
  <c r="E201" i="9"/>
  <c r="C201" i="9"/>
  <c r="D200" i="9"/>
  <c r="E200" i="9"/>
  <c r="C200" i="9"/>
  <c r="D199" i="9"/>
  <c r="D208" i="9"/>
  <c r="C199" i="9"/>
  <c r="D198" i="9"/>
  <c r="D207" i="9"/>
  <c r="C198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E37" i="9"/>
  <c r="F37" i="9"/>
  <c r="C37" i="9"/>
  <c r="D36" i="9"/>
  <c r="E36" i="9"/>
  <c r="F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/>
  <c r="E166" i="8"/>
  <c r="D164" i="8"/>
  <c r="C164" i="8"/>
  <c r="C160" i="8"/>
  <c r="C166" i="8"/>
  <c r="E162" i="8"/>
  <c r="D162" i="8"/>
  <c r="C162" i="8"/>
  <c r="E161" i="8"/>
  <c r="D161" i="8"/>
  <c r="C161" i="8"/>
  <c r="D160" i="8"/>
  <c r="D166" i="8"/>
  <c r="E147" i="8"/>
  <c r="E143" i="8"/>
  <c r="E149" i="8"/>
  <c r="D147" i="8"/>
  <c r="C147" i="8"/>
  <c r="C143" i="8"/>
  <c r="C149" i="8"/>
  <c r="E145" i="8"/>
  <c r="D145" i="8"/>
  <c r="C145" i="8"/>
  <c r="E144" i="8"/>
  <c r="D144" i="8"/>
  <c r="C144" i="8"/>
  <c r="D143" i="8"/>
  <c r="D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D104" i="8"/>
  <c r="E102" i="8"/>
  <c r="E104" i="8"/>
  <c r="D102" i="8"/>
  <c r="C102" i="8"/>
  <c r="C104" i="8"/>
  <c r="E100" i="8"/>
  <c r="D100" i="8"/>
  <c r="C100" i="8"/>
  <c r="E95" i="8"/>
  <c r="D95" i="8"/>
  <c r="D94" i="8"/>
  <c r="C95" i="8"/>
  <c r="E94" i="8"/>
  <c r="C94" i="8"/>
  <c r="E89" i="8"/>
  <c r="D89" i="8"/>
  <c r="C89" i="8"/>
  <c r="D88" i="8"/>
  <c r="D90" i="8"/>
  <c r="D86" i="8"/>
  <c r="E87" i="8"/>
  <c r="D87" i="8"/>
  <c r="C87" i="8"/>
  <c r="E84" i="8"/>
  <c r="D84" i="8"/>
  <c r="C84" i="8"/>
  <c r="E83" i="8"/>
  <c r="D83" i="8"/>
  <c r="D79" i="8"/>
  <c r="C83" i="8"/>
  <c r="E79" i="8"/>
  <c r="C79" i="8"/>
  <c r="D77" i="8"/>
  <c r="D71" i="8"/>
  <c r="E75" i="8"/>
  <c r="E88" i="8"/>
  <c r="E90" i="8"/>
  <c r="E86" i="8"/>
  <c r="D75" i="8"/>
  <c r="C75" i="8"/>
  <c r="C88" i="8"/>
  <c r="C90" i="8"/>
  <c r="C86" i="8"/>
  <c r="E74" i="8"/>
  <c r="D74" i="8"/>
  <c r="C74" i="8"/>
  <c r="E67" i="8"/>
  <c r="D67" i="8"/>
  <c r="C67" i="8"/>
  <c r="E53" i="8"/>
  <c r="C53" i="8"/>
  <c r="E43" i="8"/>
  <c r="C43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D25" i="8"/>
  <c r="D27" i="8"/>
  <c r="D15" i="8"/>
  <c r="E13" i="8"/>
  <c r="D13" i="8"/>
  <c r="C13" i="8"/>
  <c r="E186" i="7"/>
  <c r="F186" i="7"/>
  <c r="D183" i="7"/>
  <c r="D188" i="7"/>
  <c r="C183" i="7"/>
  <c r="F182" i="7"/>
  <c r="E182" i="7"/>
  <c r="E181" i="7"/>
  <c r="F181" i="7"/>
  <c r="E180" i="7"/>
  <c r="F180" i="7"/>
  <c r="E179" i="7"/>
  <c r="F179" i="7"/>
  <c r="E178" i="7"/>
  <c r="F178" i="7"/>
  <c r="F177" i="7"/>
  <c r="E177" i="7"/>
  <c r="E176" i="7"/>
  <c r="F176" i="7"/>
  <c r="E175" i="7"/>
  <c r="F175" i="7"/>
  <c r="F174" i="7"/>
  <c r="E174" i="7"/>
  <c r="E173" i="7"/>
  <c r="F173" i="7"/>
  <c r="F172" i="7"/>
  <c r="E172" i="7"/>
  <c r="E171" i="7"/>
  <c r="F171" i="7"/>
  <c r="E170" i="7"/>
  <c r="F170" i="7"/>
  <c r="D167" i="7"/>
  <c r="C167" i="7"/>
  <c r="E166" i="7"/>
  <c r="F166" i="7"/>
  <c r="F165" i="7"/>
  <c r="E165" i="7"/>
  <c r="F164" i="7"/>
  <c r="E164" i="7"/>
  <c r="E163" i="7"/>
  <c r="F163" i="7"/>
  <c r="F162" i="7"/>
  <c r="E162" i="7"/>
  <c r="E161" i="7"/>
  <c r="F161" i="7"/>
  <c r="E160" i="7"/>
  <c r="F160" i="7"/>
  <c r="F159" i="7"/>
  <c r="E159" i="7"/>
  <c r="E158" i="7"/>
  <c r="F158" i="7"/>
  <c r="E157" i="7"/>
  <c r="F157" i="7"/>
  <c r="E156" i="7"/>
  <c r="F156" i="7"/>
  <c r="F155" i="7"/>
  <c r="E155" i="7"/>
  <c r="F154" i="7"/>
  <c r="E154" i="7"/>
  <c r="F153" i="7"/>
  <c r="E153" i="7"/>
  <c r="E152" i="7"/>
  <c r="F152" i="7"/>
  <c r="F151" i="7"/>
  <c r="E151" i="7"/>
  <c r="E150" i="7"/>
  <c r="F150" i="7"/>
  <c r="F149" i="7"/>
  <c r="E149" i="7"/>
  <c r="F148" i="7"/>
  <c r="E148" i="7"/>
  <c r="F147" i="7"/>
  <c r="E147" i="7"/>
  <c r="E146" i="7"/>
  <c r="F146" i="7"/>
  <c r="E145" i="7"/>
  <c r="F145" i="7"/>
  <c r="F144" i="7"/>
  <c r="E144" i="7"/>
  <c r="E143" i="7"/>
  <c r="F143" i="7"/>
  <c r="E142" i="7"/>
  <c r="F142" i="7"/>
  <c r="E141" i="7"/>
  <c r="F141" i="7"/>
  <c r="E140" i="7"/>
  <c r="F140" i="7"/>
  <c r="F139" i="7"/>
  <c r="E139" i="7"/>
  <c r="E138" i="7"/>
  <c r="F138" i="7"/>
  <c r="E137" i="7"/>
  <c r="F137" i="7"/>
  <c r="E136" i="7"/>
  <c r="F136" i="7"/>
  <c r="E135" i="7"/>
  <c r="F135" i="7"/>
  <c r="E134" i="7"/>
  <c r="F134" i="7"/>
  <c r="E133" i="7"/>
  <c r="F133" i="7"/>
  <c r="D130" i="7"/>
  <c r="C130" i="7"/>
  <c r="E129" i="7"/>
  <c r="F129" i="7"/>
  <c r="F128" i="7"/>
  <c r="E128" i="7"/>
  <c r="E127" i="7"/>
  <c r="F127" i="7"/>
  <c r="E126" i="7"/>
  <c r="F126" i="7"/>
  <c r="F125" i="7"/>
  <c r="E125" i="7"/>
  <c r="E124" i="7"/>
  <c r="F124" i="7"/>
  <c r="D121" i="7"/>
  <c r="C121" i="7"/>
  <c r="E120" i="7"/>
  <c r="F120" i="7"/>
  <c r="E119" i="7"/>
  <c r="F119" i="7"/>
  <c r="E118" i="7"/>
  <c r="F118" i="7"/>
  <c r="E117" i="7"/>
  <c r="F117" i="7"/>
  <c r="E116" i="7"/>
  <c r="F116" i="7"/>
  <c r="E115" i="7"/>
  <c r="F115" i="7"/>
  <c r="F114" i="7"/>
  <c r="E114" i="7"/>
  <c r="E113" i="7"/>
  <c r="F113" i="7"/>
  <c r="E112" i="7"/>
  <c r="F112" i="7"/>
  <c r="F111" i="7"/>
  <c r="E111" i="7"/>
  <c r="F110" i="7"/>
  <c r="E110" i="7"/>
  <c r="F109" i="7"/>
  <c r="E109" i="7"/>
  <c r="E108" i="7"/>
  <c r="F108" i="7"/>
  <c r="F107" i="7"/>
  <c r="E107" i="7"/>
  <c r="F106" i="7"/>
  <c r="E106" i="7"/>
  <c r="E105" i="7"/>
  <c r="F105" i="7"/>
  <c r="E104" i="7"/>
  <c r="F104" i="7"/>
  <c r="E103" i="7"/>
  <c r="F103" i="7"/>
  <c r="E93" i="7"/>
  <c r="F93" i="7"/>
  <c r="D90" i="7"/>
  <c r="C90" i="7"/>
  <c r="F89" i="7"/>
  <c r="E89" i="7"/>
  <c r="F88" i="7"/>
  <c r="E88" i="7"/>
  <c r="F87" i="7"/>
  <c r="E87" i="7"/>
  <c r="E86" i="7"/>
  <c r="F86" i="7"/>
  <c r="F85" i="7"/>
  <c r="E85" i="7"/>
  <c r="E84" i="7"/>
  <c r="F84" i="7"/>
  <c r="E83" i="7"/>
  <c r="F83" i="7"/>
  <c r="E82" i="7"/>
  <c r="F82" i="7"/>
  <c r="E81" i="7"/>
  <c r="F81" i="7"/>
  <c r="E80" i="7"/>
  <c r="F80" i="7"/>
  <c r="F79" i="7"/>
  <c r="E79" i="7"/>
  <c r="E78" i="7"/>
  <c r="F78" i="7"/>
  <c r="F77" i="7"/>
  <c r="E77" i="7"/>
  <c r="E76" i="7"/>
  <c r="F76" i="7"/>
  <c r="E75" i="7"/>
  <c r="F75" i="7"/>
  <c r="E74" i="7"/>
  <c r="F74" i="7"/>
  <c r="E73" i="7"/>
  <c r="F73" i="7"/>
  <c r="E72" i="7"/>
  <c r="F72" i="7"/>
  <c r="E71" i="7"/>
  <c r="F71" i="7"/>
  <c r="E70" i="7"/>
  <c r="F70" i="7"/>
  <c r="E69" i="7"/>
  <c r="F69" i="7"/>
  <c r="E68" i="7"/>
  <c r="F68" i="7"/>
  <c r="F67" i="7"/>
  <c r="E67" i="7"/>
  <c r="E66" i="7"/>
  <c r="F66" i="7"/>
  <c r="E65" i="7"/>
  <c r="F65" i="7"/>
  <c r="E64" i="7"/>
  <c r="F64" i="7"/>
  <c r="E63" i="7"/>
  <c r="F63" i="7"/>
  <c r="E62" i="7"/>
  <c r="F62" i="7"/>
  <c r="D59" i="7"/>
  <c r="C59" i="7"/>
  <c r="F58" i="7"/>
  <c r="E58" i="7"/>
  <c r="E57" i="7"/>
  <c r="F57" i="7"/>
  <c r="E56" i="7"/>
  <c r="F56" i="7"/>
  <c r="E55" i="7"/>
  <c r="F55" i="7"/>
  <c r="E54" i="7"/>
  <c r="F54" i="7"/>
  <c r="E53" i="7"/>
  <c r="F53" i="7"/>
  <c r="E50" i="7"/>
  <c r="F50" i="7"/>
  <c r="E47" i="7"/>
  <c r="F47" i="7"/>
  <c r="F44" i="7"/>
  <c r="E44" i="7"/>
  <c r="D41" i="7"/>
  <c r="C41" i="7"/>
  <c r="E41" i="7"/>
  <c r="E40" i="7"/>
  <c r="F40" i="7"/>
  <c r="E39" i="7"/>
  <c r="F39" i="7"/>
  <c r="E38" i="7"/>
  <c r="F38" i="7"/>
  <c r="D35" i="7"/>
  <c r="C35" i="7"/>
  <c r="E35" i="7"/>
  <c r="E34" i="7"/>
  <c r="F34" i="7"/>
  <c r="E33" i="7"/>
  <c r="F33" i="7"/>
  <c r="D30" i="7"/>
  <c r="C30" i="7"/>
  <c r="E30" i="7"/>
  <c r="E29" i="7"/>
  <c r="F29" i="7"/>
  <c r="E28" i="7"/>
  <c r="F28" i="7"/>
  <c r="F27" i="7"/>
  <c r="E27" i="7"/>
  <c r="D24" i="7"/>
  <c r="C24" i="7"/>
  <c r="E24" i="7"/>
  <c r="E23" i="7"/>
  <c r="F23" i="7"/>
  <c r="E22" i="7"/>
  <c r="F22" i="7"/>
  <c r="E21" i="7"/>
  <c r="F21" i="7"/>
  <c r="D18" i="7"/>
  <c r="C18" i="7"/>
  <c r="E18" i="7"/>
  <c r="E17" i="7"/>
  <c r="F17" i="7"/>
  <c r="E16" i="7"/>
  <c r="F16" i="7"/>
  <c r="E15" i="7"/>
  <c r="F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F90" i="6"/>
  <c r="D90" i="6"/>
  <c r="E90" i="6"/>
  <c r="C90" i="6"/>
  <c r="D89" i="6"/>
  <c r="E89" i="6"/>
  <c r="F89" i="6"/>
  <c r="C89" i="6"/>
  <c r="D88" i="6"/>
  <c r="E88" i="6"/>
  <c r="F88" i="6"/>
  <c r="C88" i="6"/>
  <c r="D87" i="6"/>
  <c r="E87" i="6"/>
  <c r="F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F47" i="6"/>
  <c r="D47" i="6"/>
  <c r="E47" i="6"/>
  <c r="C47" i="6"/>
  <c r="D46" i="6"/>
  <c r="E46" i="6"/>
  <c r="F46" i="6"/>
  <c r="C46" i="6"/>
  <c r="D45" i="6"/>
  <c r="E45" i="6"/>
  <c r="F45" i="6"/>
  <c r="C45" i="6"/>
  <c r="D44" i="6"/>
  <c r="E44" i="6"/>
  <c r="F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C61" i="4"/>
  <c r="F60" i="4"/>
  <c r="E60" i="4"/>
  <c r="F59" i="4"/>
  <c r="E59" i="4"/>
  <c r="D56" i="4"/>
  <c r="D75" i="4"/>
  <c r="C56" i="4"/>
  <c r="E55" i="4"/>
  <c r="F55" i="4"/>
  <c r="F54" i="4"/>
  <c r="E54" i="4"/>
  <c r="E53" i="4"/>
  <c r="F53" i="4"/>
  <c r="F52" i="4"/>
  <c r="E52" i="4"/>
  <c r="E51" i="4"/>
  <c r="F51" i="4"/>
  <c r="F50" i="4"/>
  <c r="E50" i="4"/>
  <c r="A50" i="4"/>
  <c r="A51" i="4"/>
  <c r="A52" i="4"/>
  <c r="A53" i="4"/>
  <c r="A54" i="4"/>
  <c r="A55" i="4"/>
  <c r="E49" i="4"/>
  <c r="F49" i="4"/>
  <c r="E40" i="4"/>
  <c r="F40" i="4"/>
  <c r="D38" i="4"/>
  <c r="D41" i="4"/>
  <c r="C38" i="4"/>
  <c r="E37" i="4"/>
  <c r="F37" i="4"/>
  <c r="E36" i="4"/>
  <c r="F36" i="4"/>
  <c r="E33" i="4"/>
  <c r="F33" i="4"/>
  <c r="E32" i="4"/>
  <c r="F32" i="4"/>
  <c r="F31" i="4"/>
  <c r="E31" i="4"/>
  <c r="D29" i="4"/>
  <c r="C29" i="4"/>
  <c r="E28" i="4"/>
  <c r="F28" i="4"/>
  <c r="E27" i="4"/>
  <c r="F27" i="4"/>
  <c r="F26" i="4"/>
  <c r="E26" i="4"/>
  <c r="E25" i="4"/>
  <c r="F25" i="4"/>
  <c r="D22" i="4"/>
  <c r="D43" i="4"/>
  <c r="C22" i="4"/>
  <c r="E21" i="4"/>
  <c r="F21" i="4"/>
  <c r="E20" i="4"/>
  <c r="F20" i="4"/>
  <c r="E19" i="4"/>
  <c r="F19" i="4"/>
  <c r="F18" i="4"/>
  <c r="E18" i="4"/>
  <c r="E17" i="4"/>
  <c r="F17" i="4"/>
  <c r="E16" i="4"/>
  <c r="F16" i="4"/>
  <c r="E15" i="4"/>
  <c r="F15" i="4"/>
  <c r="E14" i="4"/>
  <c r="F14" i="4"/>
  <c r="E13" i="4"/>
  <c r="F13" i="4"/>
  <c r="D108" i="22"/>
  <c r="D109" i="22"/>
  <c r="C109" i="22"/>
  <c r="C108" i="22"/>
  <c r="E109" i="22"/>
  <c r="E108" i="22"/>
  <c r="D22" i="22"/>
  <c r="C30" i="22"/>
  <c r="E30" i="22"/>
  <c r="D33" i="22"/>
  <c r="C36" i="22"/>
  <c r="E36" i="22"/>
  <c r="C40" i="22"/>
  <c r="E40" i="22"/>
  <c r="C46" i="22"/>
  <c r="E46" i="22"/>
  <c r="C54" i="22"/>
  <c r="E54" i="22"/>
  <c r="D101" i="22"/>
  <c r="D103" i="22"/>
  <c r="E85" i="17"/>
  <c r="F85" i="17"/>
  <c r="D192" i="17"/>
  <c r="E145" i="17"/>
  <c r="F145" i="17"/>
  <c r="E155" i="17"/>
  <c r="E164" i="17"/>
  <c r="E165" i="17"/>
  <c r="E170" i="17"/>
  <c r="E180" i="17"/>
  <c r="E223" i="17"/>
  <c r="F223" i="17"/>
  <c r="C22" i="22"/>
  <c r="E22" i="22"/>
  <c r="D23" i="22"/>
  <c r="E129" i="17"/>
  <c r="E130" i="17"/>
  <c r="E135" i="17"/>
  <c r="F20" i="20"/>
  <c r="C41" i="20"/>
  <c r="F41" i="20"/>
  <c r="F40" i="20"/>
  <c r="F45" i="20"/>
  <c r="D41" i="20"/>
  <c r="E39" i="20"/>
  <c r="E41" i="20"/>
  <c r="E19" i="20"/>
  <c r="F19" i="20"/>
  <c r="E43" i="20"/>
  <c r="C38" i="19"/>
  <c r="C127" i="19"/>
  <c r="C129" i="19"/>
  <c r="C133" i="19"/>
  <c r="C22" i="19"/>
  <c r="E94" i="17"/>
  <c r="E95" i="17"/>
  <c r="F95" i="17"/>
  <c r="E100" i="17"/>
  <c r="E110" i="17"/>
  <c r="F110" i="17"/>
  <c r="E120" i="17"/>
  <c r="E229" i="17"/>
  <c r="E230" i="17"/>
  <c r="E238" i="17"/>
  <c r="E294" i="17"/>
  <c r="E295" i="17"/>
  <c r="E296" i="17"/>
  <c r="E297" i="17"/>
  <c r="E298" i="17"/>
  <c r="E299" i="17"/>
  <c r="E283" i="18"/>
  <c r="C22" i="18"/>
  <c r="C284" i="18"/>
  <c r="C294" i="18"/>
  <c r="C295" i="18"/>
  <c r="C44" i="18"/>
  <c r="D55" i="18"/>
  <c r="E55" i="18"/>
  <c r="E54" i="18"/>
  <c r="D289" i="18"/>
  <c r="E289" i="18"/>
  <c r="D71" i="18"/>
  <c r="E71" i="18"/>
  <c r="D65" i="18"/>
  <c r="D294" i="18"/>
  <c r="E294" i="18"/>
  <c r="E60" i="18"/>
  <c r="C77" i="18"/>
  <c r="E69" i="18"/>
  <c r="D76" i="18"/>
  <c r="E76" i="18"/>
  <c r="E70" i="18"/>
  <c r="E21" i="18"/>
  <c r="D284" i="18"/>
  <c r="E284" i="18"/>
  <c r="D33" i="18"/>
  <c r="E32" i="18"/>
  <c r="D259" i="18"/>
  <c r="D44" i="18"/>
  <c r="E139" i="18"/>
  <c r="D144" i="18"/>
  <c r="C145" i="18"/>
  <c r="C156" i="18"/>
  <c r="C157" i="18"/>
  <c r="E157" i="18"/>
  <c r="D175" i="18"/>
  <c r="E175" i="18"/>
  <c r="E261" i="18"/>
  <c r="C229" i="18"/>
  <c r="C210" i="18"/>
  <c r="C180" i="18"/>
  <c r="E205" i="18"/>
  <c r="D241" i="18"/>
  <c r="E242" i="18"/>
  <c r="E243" i="18"/>
  <c r="E244" i="18"/>
  <c r="E245" i="18"/>
  <c r="D252" i="18"/>
  <c r="D253" i="18"/>
  <c r="E253" i="18"/>
  <c r="E302" i="18"/>
  <c r="C303" i="18"/>
  <c r="C306" i="18"/>
  <c r="C310" i="18"/>
  <c r="C261" i="18"/>
  <c r="C263" i="18"/>
  <c r="C189" i="18"/>
  <c r="E189" i="18"/>
  <c r="E188" i="18"/>
  <c r="D260" i="18"/>
  <c r="E195" i="18"/>
  <c r="E229" i="18"/>
  <c r="D234" i="18"/>
  <c r="D211" i="18"/>
  <c r="D239" i="18"/>
  <c r="E239" i="18"/>
  <c r="E215" i="18"/>
  <c r="C253" i="18"/>
  <c r="E303" i="18"/>
  <c r="D306" i="18"/>
  <c r="D320" i="18"/>
  <c r="E320" i="18"/>
  <c r="E316" i="18"/>
  <c r="E326" i="18"/>
  <c r="D330" i="18"/>
  <c r="E330" i="18"/>
  <c r="C217" i="18"/>
  <c r="C241" i="18"/>
  <c r="E219" i="18"/>
  <c r="E221" i="18"/>
  <c r="D222" i="18"/>
  <c r="D223" i="18"/>
  <c r="C252" i="18"/>
  <c r="C254" i="18"/>
  <c r="E265" i="18"/>
  <c r="E314" i="18"/>
  <c r="E216" i="18"/>
  <c r="E218" i="18"/>
  <c r="E220" i="18"/>
  <c r="C222" i="18"/>
  <c r="C246" i="18"/>
  <c r="E233" i="18"/>
  <c r="E301" i="18"/>
  <c r="E324" i="18"/>
  <c r="C32" i="17"/>
  <c r="C160" i="17"/>
  <c r="C90" i="17"/>
  <c r="C61" i="17"/>
  <c r="F68" i="17"/>
  <c r="F89" i="17"/>
  <c r="E102" i="17"/>
  <c r="F102" i="17"/>
  <c r="D103" i="17"/>
  <c r="E111" i="17"/>
  <c r="C207" i="17"/>
  <c r="C138" i="17"/>
  <c r="F146" i="17"/>
  <c r="C173" i="17"/>
  <c r="F173" i="17"/>
  <c r="F172" i="17"/>
  <c r="D32" i="17"/>
  <c r="E31" i="17"/>
  <c r="F31" i="17"/>
  <c r="E37" i="17"/>
  <c r="D160" i="17"/>
  <c r="E160" i="17"/>
  <c r="D90" i="17"/>
  <c r="E90" i="17"/>
  <c r="E48" i="17"/>
  <c r="F48" i="17"/>
  <c r="D61" i="17"/>
  <c r="E60" i="17"/>
  <c r="F60" i="17"/>
  <c r="C103" i="17"/>
  <c r="F111" i="17"/>
  <c r="D207" i="17"/>
  <c r="E137" i="17"/>
  <c r="F137" i="17"/>
  <c r="D138" i="17"/>
  <c r="E138" i="17"/>
  <c r="E172" i="17"/>
  <c r="D173" i="17"/>
  <c r="E173" i="17"/>
  <c r="C266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F94" i="17"/>
  <c r="F100" i="17"/>
  <c r="F120" i="17"/>
  <c r="D124" i="17"/>
  <c r="D125" i="17"/>
  <c r="F129" i="17"/>
  <c r="F130" i="17"/>
  <c r="F135" i="17"/>
  <c r="F155" i="17"/>
  <c r="F158" i="17"/>
  <c r="F164" i="17"/>
  <c r="F165" i="17"/>
  <c r="F170" i="17"/>
  <c r="F171" i="17"/>
  <c r="F179" i="17"/>
  <c r="F180" i="17"/>
  <c r="D279" i="17"/>
  <c r="C278" i="17"/>
  <c r="C262" i="17"/>
  <c r="C255" i="17"/>
  <c r="C215" i="17"/>
  <c r="E189" i="17"/>
  <c r="F189" i="17"/>
  <c r="F227" i="17"/>
  <c r="E239" i="17"/>
  <c r="F239" i="17"/>
  <c r="D21" i="17"/>
  <c r="E88" i="17"/>
  <c r="F88" i="17"/>
  <c r="E101" i="17"/>
  <c r="F101" i="17"/>
  <c r="E109" i="17"/>
  <c r="F109" i="17"/>
  <c r="C193" i="17"/>
  <c r="C192" i="17"/>
  <c r="E192" i="17"/>
  <c r="E123" i="17"/>
  <c r="F123" i="17"/>
  <c r="C124" i="17"/>
  <c r="E136" i="17"/>
  <c r="F136" i="17"/>
  <c r="E144" i="17"/>
  <c r="F144" i="17"/>
  <c r="E158" i="17"/>
  <c r="E171" i="17"/>
  <c r="E179" i="17"/>
  <c r="C277" i="17"/>
  <c r="C261" i="17"/>
  <c r="C254" i="17"/>
  <c r="C214" i="17"/>
  <c r="C206" i="17"/>
  <c r="E188" i="17"/>
  <c r="F188" i="17"/>
  <c r="C190" i="17"/>
  <c r="C280" i="17"/>
  <c r="C264" i="17"/>
  <c r="C200" i="17"/>
  <c r="E191" i="17"/>
  <c r="F191" i="17"/>
  <c r="D190" i="17"/>
  <c r="E190" i="17"/>
  <c r="E280" i="17"/>
  <c r="D193" i="17"/>
  <c r="D282" i="17"/>
  <c r="D290" i="17"/>
  <c r="E290" i="17"/>
  <c r="F290" i="17"/>
  <c r="D274" i="17"/>
  <c r="E274" i="17"/>
  <c r="D199" i="17"/>
  <c r="E199" i="17"/>
  <c r="D200" i="17"/>
  <c r="D283" i="17"/>
  <c r="D287" i="17"/>
  <c r="D267" i="17"/>
  <c r="D285" i="17"/>
  <c r="E285" i="17"/>
  <c r="D269" i="17"/>
  <c r="D205" i="17"/>
  <c r="E205" i="17"/>
  <c r="D206" i="17"/>
  <c r="D214" i="17"/>
  <c r="D215" i="17"/>
  <c r="F229" i="17"/>
  <c r="F230" i="17"/>
  <c r="F238" i="17"/>
  <c r="E306" i="17"/>
  <c r="D261" i="17"/>
  <c r="D262" i="17"/>
  <c r="D264" i="17"/>
  <c r="E278" i="17"/>
  <c r="E198" i="17"/>
  <c r="F198" i="17"/>
  <c r="C199" i="17"/>
  <c r="C286" i="17"/>
  <c r="E203" i="17"/>
  <c r="F203" i="17"/>
  <c r="F285" i="17"/>
  <c r="E204" i="17"/>
  <c r="F204" i="17"/>
  <c r="C205" i="17"/>
  <c r="E226" i="17"/>
  <c r="F226" i="17"/>
  <c r="E237" i="17"/>
  <c r="F237" i="17"/>
  <c r="E250" i="17"/>
  <c r="F250" i="17"/>
  <c r="C267" i="17"/>
  <c r="C269" i="17"/>
  <c r="C274" i="17"/>
  <c r="F294" i="17"/>
  <c r="F295" i="17"/>
  <c r="F296" i="17"/>
  <c r="F297" i="17"/>
  <c r="F298" i="17"/>
  <c r="F299" i="17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D20" i="12"/>
  <c r="E17" i="12"/>
  <c r="F17" i="12"/>
  <c r="C20" i="12"/>
  <c r="E15" i="12"/>
  <c r="F15" i="12"/>
  <c r="E43" i="11"/>
  <c r="E41" i="11"/>
  <c r="F75" i="11"/>
  <c r="F65" i="11"/>
  <c r="F43" i="11"/>
  <c r="F41" i="11"/>
  <c r="E22" i="11"/>
  <c r="F22" i="11"/>
  <c r="E38" i="11"/>
  <c r="F38" i="11"/>
  <c r="E56" i="11"/>
  <c r="F56" i="11"/>
  <c r="E61" i="11"/>
  <c r="F61" i="11"/>
  <c r="E121" i="10"/>
  <c r="E23" i="10"/>
  <c r="E35" i="10"/>
  <c r="E36" i="10"/>
  <c r="E47" i="10"/>
  <c r="E59" i="10"/>
  <c r="F59" i="10"/>
  <c r="E60" i="10"/>
  <c r="F60" i="10"/>
  <c r="E71" i="10"/>
  <c r="E72" i="10"/>
  <c r="E83" i="10"/>
  <c r="E84" i="10"/>
  <c r="E95" i="10"/>
  <c r="E96" i="10"/>
  <c r="E107" i="10"/>
  <c r="E108" i="10"/>
  <c r="E112" i="10"/>
  <c r="F112" i="10"/>
  <c r="E113" i="10"/>
  <c r="F113" i="10"/>
  <c r="E114" i="10"/>
  <c r="F114" i="10"/>
  <c r="E115" i="10"/>
  <c r="F115" i="10"/>
  <c r="E116" i="10"/>
  <c r="F116" i="10"/>
  <c r="E117" i="10"/>
  <c r="F117" i="10"/>
  <c r="E118" i="10"/>
  <c r="F118" i="10"/>
  <c r="E119" i="10"/>
  <c r="F119" i="10"/>
  <c r="E120" i="10"/>
  <c r="C121" i="10"/>
  <c r="C122" i="10"/>
  <c r="E122" i="10"/>
  <c r="E24" i="10"/>
  <c r="F200" i="9"/>
  <c r="F201" i="9"/>
  <c r="F202" i="9"/>
  <c r="F203" i="9"/>
  <c r="F204" i="9"/>
  <c r="F205" i="9"/>
  <c r="E198" i="9"/>
  <c r="F198" i="9"/>
  <c r="E199" i="9"/>
  <c r="F199" i="9"/>
  <c r="C207" i="9"/>
  <c r="C208" i="9"/>
  <c r="C25" i="8"/>
  <c r="C27" i="8"/>
  <c r="C15" i="8"/>
  <c r="E25" i="8"/>
  <c r="E27" i="8"/>
  <c r="E15" i="8"/>
  <c r="D21" i="8"/>
  <c r="D139" i="8"/>
  <c r="D137" i="8"/>
  <c r="D135" i="8"/>
  <c r="D140" i="8"/>
  <c r="D138" i="8"/>
  <c r="D136" i="8"/>
  <c r="D156" i="8"/>
  <c r="D154" i="8"/>
  <c r="D152" i="8"/>
  <c r="D157" i="8"/>
  <c r="D155" i="8"/>
  <c r="D153" i="8"/>
  <c r="D24" i="8"/>
  <c r="D20" i="8"/>
  <c r="D17" i="8"/>
  <c r="C140" i="8"/>
  <c r="C138" i="8"/>
  <c r="C136" i="8"/>
  <c r="C139" i="8"/>
  <c r="C137" i="8"/>
  <c r="C135" i="8"/>
  <c r="C141" i="8"/>
  <c r="E140" i="8"/>
  <c r="E138" i="8"/>
  <c r="E136" i="8"/>
  <c r="E139" i="8"/>
  <c r="E137" i="8"/>
  <c r="E135" i="8"/>
  <c r="E141" i="8"/>
  <c r="C157" i="8"/>
  <c r="C155" i="8"/>
  <c r="C153" i="8"/>
  <c r="C156" i="8"/>
  <c r="C154" i="8"/>
  <c r="C152" i="8"/>
  <c r="C158" i="8"/>
  <c r="E157" i="8"/>
  <c r="E155" i="8"/>
  <c r="E153" i="8"/>
  <c r="E156" i="8"/>
  <c r="E154" i="8"/>
  <c r="E152" i="8"/>
  <c r="E158" i="8"/>
  <c r="D49" i="8"/>
  <c r="D57" i="8"/>
  <c r="D62" i="8"/>
  <c r="D43" i="8"/>
  <c r="C49" i="8"/>
  <c r="E49" i="8"/>
  <c r="C77" i="8"/>
  <c r="C71" i="8"/>
  <c r="E77" i="8"/>
  <c r="E71" i="8"/>
  <c r="F18" i="7"/>
  <c r="F24" i="7"/>
  <c r="F30" i="7"/>
  <c r="F35" i="7"/>
  <c r="F41" i="7"/>
  <c r="D95" i="7"/>
  <c r="F130" i="7"/>
  <c r="E130" i="7"/>
  <c r="F167" i="7"/>
  <c r="E167" i="7"/>
  <c r="F183" i="7"/>
  <c r="E183" i="7"/>
  <c r="C188" i="7"/>
  <c r="E59" i="7"/>
  <c r="F59" i="7"/>
  <c r="E90" i="7"/>
  <c r="F90" i="7"/>
  <c r="C95" i="7"/>
  <c r="F121" i="7"/>
  <c r="E121" i="7"/>
  <c r="F52" i="6"/>
  <c r="E95" i="6"/>
  <c r="F179" i="6"/>
  <c r="F95" i="6"/>
  <c r="E41" i="6"/>
  <c r="F41" i="6"/>
  <c r="E84" i="6"/>
  <c r="F84" i="6"/>
  <c r="F18" i="5"/>
  <c r="C21" i="5"/>
  <c r="D21" i="5"/>
  <c r="E18" i="5"/>
  <c r="E16" i="5"/>
  <c r="F16" i="5"/>
  <c r="E22" i="4"/>
  <c r="F22" i="4"/>
  <c r="E29" i="4"/>
  <c r="F29" i="4"/>
  <c r="E38" i="4"/>
  <c r="F38" i="4"/>
  <c r="C41" i="4"/>
  <c r="E41" i="4"/>
  <c r="E56" i="4"/>
  <c r="F56" i="4"/>
  <c r="E61" i="4"/>
  <c r="F61" i="4"/>
  <c r="C65" i="4"/>
  <c r="C75" i="4"/>
  <c r="E73" i="4"/>
  <c r="F73" i="4"/>
  <c r="E53" i="22"/>
  <c r="E45" i="22"/>
  <c r="E39" i="22"/>
  <c r="E35" i="22"/>
  <c r="E29" i="22"/>
  <c r="E110" i="22"/>
  <c r="C113" i="22"/>
  <c r="C56" i="22"/>
  <c r="C48" i="22"/>
  <c r="C38" i="22"/>
  <c r="D54" i="22"/>
  <c r="D46" i="22"/>
  <c r="D40" i="22"/>
  <c r="D36" i="22"/>
  <c r="D30" i="22"/>
  <c r="D111" i="22"/>
  <c r="C53" i="22"/>
  <c r="C45" i="22"/>
  <c r="C39" i="22"/>
  <c r="C35" i="22"/>
  <c r="C29" i="22"/>
  <c r="C110" i="22"/>
  <c r="E113" i="22"/>
  <c r="E56" i="22"/>
  <c r="E48" i="22"/>
  <c r="E38" i="22"/>
  <c r="D110" i="22"/>
  <c r="D53" i="22"/>
  <c r="D45" i="22"/>
  <c r="D39" i="22"/>
  <c r="D35" i="22"/>
  <c r="D29" i="22"/>
  <c r="F43" i="20"/>
  <c r="E46" i="20"/>
  <c r="F46" i="20"/>
  <c r="F39" i="20"/>
  <c r="D288" i="17"/>
  <c r="D291" i="17"/>
  <c r="C223" i="18"/>
  <c r="C247" i="18"/>
  <c r="E217" i="18"/>
  <c r="E306" i="18"/>
  <c r="D310" i="18"/>
  <c r="E310" i="18"/>
  <c r="E210" i="18"/>
  <c r="E234" i="18"/>
  <c r="D254" i="18"/>
  <c r="E254" i="18"/>
  <c r="E252" i="18"/>
  <c r="E156" i="18"/>
  <c r="C169" i="18"/>
  <c r="D77" i="18"/>
  <c r="C258" i="18"/>
  <c r="C101" i="18"/>
  <c r="C99" i="18"/>
  <c r="C97" i="18"/>
  <c r="C95" i="18"/>
  <c r="C88" i="18"/>
  <c r="C86" i="18"/>
  <c r="C84" i="18"/>
  <c r="C100" i="18"/>
  <c r="C98" i="18"/>
  <c r="C96" i="18"/>
  <c r="C89" i="18"/>
  <c r="C87" i="18"/>
  <c r="C85" i="18"/>
  <c r="C83" i="18"/>
  <c r="E222" i="18"/>
  <c r="D246" i="18"/>
  <c r="E246" i="18"/>
  <c r="D235" i="18"/>
  <c r="E260" i="18"/>
  <c r="E241" i="18"/>
  <c r="C234" i="18"/>
  <c r="C211" i="18"/>
  <c r="C235" i="18"/>
  <c r="D180" i="18"/>
  <c r="E180" i="18"/>
  <c r="D145" i="18"/>
  <c r="E144" i="18"/>
  <c r="D168" i="18"/>
  <c r="E168" i="18"/>
  <c r="D258" i="18"/>
  <c r="D100" i="18"/>
  <c r="E100" i="18"/>
  <c r="D98" i="18"/>
  <c r="D96" i="18"/>
  <c r="D89" i="18"/>
  <c r="D87" i="18"/>
  <c r="E87" i="18"/>
  <c r="D85" i="18"/>
  <c r="D83" i="18"/>
  <c r="D101" i="18"/>
  <c r="E101" i="18"/>
  <c r="D99" i="18"/>
  <c r="E99" i="18"/>
  <c r="D97" i="18"/>
  <c r="E97" i="18"/>
  <c r="D95" i="18"/>
  <c r="D88" i="18"/>
  <c r="E88" i="18"/>
  <c r="D86" i="18"/>
  <c r="E86" i="18"/>
  <c r="D84" i="18"/>
  <c r="E44" i="18"/>
  <c r="D263" i="18"/>
  <c r="E263" i="18"/>
  <c r="E259" i="18"/>
  <c r="E33" i="18"/>
  <c r="C168" i="18"/>
  <c r="C126" i="18"/>
  <c r="C124" i="18"/>
  <c r="C122" i="18"/>
  <c r="C128" i="18"/>
  <c r="C115" i="18"/>
  <c r="C113" i="18"/>
  <c r="C111" i="18"/>
  <c r="C109" i="18"/>
  <c r="C117" i="18"/>
  <c r="C127" i="18"/>
  <c r="C125" i="18"/>
  <c r="C123" i="18"/>
  <c r="C121" i="18"/>
  <c r="C129" i="18"/>
  <c r="C114" i="18"/>
  <c r="C112" i="18"/>
  <c r="C110" i="18"/>
  <c r="C116" i="18"/>
  <c r="D66" i="18"/>
  <c r="E66" i="18"/>
  <c r="E65" i="18"/>
  <c r="E22" i="18"/>
  <c r="D281" i="17"/>
  <c r="F274" i="17"/>
  <c r="C270" i="17"/>
  <c r="F205" i="17"/>
  <c r="F199" i="17"/>
  <c r="D300" i="17"/>
  <c r="E300" i="17"/>
  <c r="E264" i="17"/>
  <c r="F264" i="17"/>
  <c r="D271" i="17"/>
  <c r="D268" i="17"/>
  <c r="E268" i="17"/>
  <c r="E261" i="17"/>
  <c r="F261" i="17"/>
  <c r="D263" i="17"/>
  <c r="E215" i="17"/>
  <c r="F215" i="17"/>
  <c r="D255" i="17"/>
  <c r="E255" i="17"/>
  <c r="E206" i="17"/>
  <c r="F206" i="17"/>
  <c r="D270" i="17"/>
  <c r="E270" i="17"/>
  <c r="E267" i="17"/>
  <c r="F267" i="17"/>
  <c r="E200" i="17"/>
  <c r="C300" i="17"/>
  <c r="C265" i="17"/>
  <c r="F190" i="17"/>
  <c r="C216" i="17"/>
  <c r="C271" i="17"/>
  <c r="C268" i="17"/>
  <c r="C263" i="17"/>
  <c r="C194" i="17"/>
  <c r="D49" i="17"/>
  <c r="D161" i="17"/>
  <c r="D126" i="17"/>
  <c r="D91" i="17"/>
  <c r="E21" i="17"/>
  <c r="F255" i="17"/>
  <c r="C288" i="17"/>
  <c r="F278" i="17"/>
  <c r="F37" i="17"/>
  <c r="C304" i="17"/>
  <c r="C196" i="17"/>
  <c r="C161" i="17"/>
  <c r="C126" i="17"/>
  <c r="C91" i="17"/>
  <c r="F21" i="17"/>
  <c r="C49" i="17"/>
  <c r="C282" i="17"/>
  <c r="C281" i="17"/>
  <c r="F138" i="17"/>
  <c r="F90" i="17"/>
  <c r="F160" i="17"/>
  <c r="C175" i="17"/>
  <c r="C140" i="17"/>
  <c r="C105" i="17"/>
  <c r="C62" i="17"/>
  <c r="D272" i="17"/>
  <c r="E262" i="17"/>
  <c r="F262" i="17"/>
  <c r="E214" i="17"/>
  <c r="F214" i="17"/>
  <c r="D254" i="17"/>
  <c r="D216" i="17"/>
  <c r="E216" i="17"/>
  <c r="E269" i="17"/>
  <c r="F269" i="17"/>
  <c r="E283" i="17"/>
  <c r="F283" i="17"/>
  <c r="D286" i="17"/>
  <c r="E286" i="17"/>
  <c r="F286" i="17"/>
  <c r="E193" i="17"/>
  <c r="F193" i="17"/>
  <c r="D194" i="17"/>
  <c r="E288" i="17"/>
  <c r="F200" i="17"/>
  <c r="F280" i="17"/>
  <c r="C287" i="17"/>
  <c r="C284" i="17"/>
  <c r="C279" i="17"/>
  <c r="F192" i="17"/>
  <c r="D266" i="17"/>
  <c r="E266" i="17"/>
  <c r="F266" i="17"/>
  <c r="C272" i="17"/>
  <c r="E277" i="17"/>
  <c r="F277" i="17"/>
  <c r="D284" i="17"/>
  <c r="E284" i="17"/>
  <c r="E124" i="17"/>
  <c r="F124" i="17"/>
  <c r="E207" i="17"/>
  <c r="F207" i="17"/>
  <c r="D208" i="17"/>
  <c r="D209" i="17"/>
  <c r="D174" i="17"/>
  <c r="D139" i="17"/>
  <c r="D104" i="17"/>
  <c r="E61" i="17"/>
  <c r="F61" i="17"/>
  <c r="D62" i="17"/>
  <c r="D175" i="17"/>
  <c r="D140" i="17"/>
  <c r="D105" i="17"/>
  <c r="E32" i="17"/>
  <c r="F32" i="17"/>
  <c r="C208" i="17"/>
  <c r="C209" i="17"/>
  <c r="E103" i="17"/>
  <c r="F103" i="17"/>
  <c r="C174" i="17"/>
  <c r="C139" i="17"/>
  <c r="C104" i="17"/>
  <c r="C125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F121" i="10"/>
  <c r="F122" i="10"/>
  <c r="F207" i="9"/>
  <c r="E207" i="9"/>
  <c r="F208" i="9"/>
  <c r="E208" i="9"/>
  <c r="D158" i="8"/>
  <c r="D141" i="8"/>
  <c r="E24" i="8"/>
  <c r="E17" i="8"/>
  <c r="C24" i="8"/>
  <c r="C17" i="8"/>
  <c r="D28" i="8"/>
  <c r="D112" i="8"/>
  <c r="D111" i="8"/>
  <c r="E20" i="8"/>
  <c r="E21" i="8"/>
  <c r="C20" i="8"/>
  <c r="C21" i="8"/>
  <c r="F95" i="7"/>
  <c r="E95" i="7"/>
  <c r="E188" i="7"/>
  <c r="F188" i="7"/>
  <c r="D35" i="5"/>
  <c r="E21" i="5"/>
  <c r="F21" i="5"/>
  <c r="C35" i="5"/>
  <c r="E75" i="4"/>
  <c r="F75" i="4"/>
  <c r="F41" i="4"/>
  <c r="E65" i="4"/>
  <c r="F65" i="4"/>
  <c r="C43" i="4"/>
  <c r="D112" i="22"/>
  <c r="D55" i="22"/>
  <c r="D47" i="22"/>
  <c r="D37" i="22"/>
  <c r="C55" i="22"/>
  <c r="C47" i="22"/>
  <c r="C37" i="22"/>
  <c r="C112" i="22"/>
  <c r="D56" i="22"/>
  <c r="D48" i="22"/>
  <c r="D38" i="22"/>
  <c r="D113" i="22"/>
  <c r="E55" i="22"/>
  <c r="E47" i="22"/>
  <c r="E37" i="22"/>
  <c r="E112" i="22"/>
  <c r="D289" i="17"/>
  <c r="D210" i="17"/>
  <c r="D295" i="18"/>
  <c r="E295" i="18"/>
  <c r="E84" i="18"/>
  <c r="D90" i="18"/>
  <c r="E90" i="18"/>
  <c r="E85" i="18"/>
  <c r="E89" i="18"/>
  <c r="E98" i="18"/>
  <c r="E258" i="18"/>
  <c r="D264" i="18"/>
  <c r="E211" i="18"/>
  <c r="C91" i="18"/>
  <c r="C102" i="18"/>
  <c r="C103" i="18"/>
  <c r="C264" i="18"/>
  <c r="C266" i="18"/>
  <c r="C267" i="18"/>
  <c r="E223" i="18"/>
  <c r="C131" i="18"/>
  <c r="E95" i="18"/>
  <c r="D103" i="18"/>
  <c r="E103" i="18"/>
  <c r="E83" i="18"/>
  <c r="D102" i="18"/>
  <c r="E102" i="18"/>
  <c r="E96" i="18"/>
  <c r="D169" i="18"/>
  <c r="E169" i="18"/>
  <c r="D181" i="18"/>
  <c r="E181" i="18"/>
  <c r="E145" i="18"/>
  <c r="E235" i="18"/>
  <c r="C90" i="18"/>
  <c r="D127" i="18"/>
  <c r="E127" i="18"/>
  <c r="D125" i="18"/>
  <c r="E125" i="18"/>
  <c r="D123" i="18"/>
  <c r="E123" i="18"/>
  <c r="D121" i="18"/>
  <c r="D114" i="18"/>
  <c r="E114" i="18"/>
  <c r="D112" i="18"/>
  <c r="E112" i="18"/>
  <c r="D110" i="18"/>
  <c r="E77" i="18"/>
  <c r="D126" i="18"/>
  <c r="E126" i="18"/>
  <c r="D124" i="18"/>
  <c r="E124" i="18"/>
  <c r="D122" i="18"/>
  <c r="D115" i="18"/>
  <c r="E115" i="18"/>
  <c r="D113" i="18"/>
  <c r="E113" i="18"/>
  <c r="D111" i="18"/>
  <c r="E111" i="18"/>
  <c r="D109" i="18"/>
  <c r="C181" i="18"/>
  <c r="D247" i="18"/>
  <c r="E247" i="18"/>
  <c r="E105" i="17"/>
  <c r="F105" i="17"/>
  <c r="D106" i="17"/>
  <c r="D211" i="17"/>
  <c r="E174" i="17"/>
  <c r="F174" i="17"/>
  <c r="E140" i="17"/>
  <c r="F140" i="17"/>
  <c r="D141" i="17"/>
  <c r="D63" i="17"/>
  <c r="E63" i="17"/>
  <c r="E62" i="17"/>
  <c r="E139" i="17"/>
  <c r="F139" i="17"/>
  <c r="E209" i="17"/>
  <c r="F209" i="17"/>
  <c r="E208" i="17"/>
  <c r="F208" i="17"/>
  <c r="F284" i="17"/>
  <c r="E272" i="17"/>
  <c r="F62" i="17"/>
  <c r="C63" i="17"/>
  <c r="C106" i="17"/>
  <c r="C176" i="17"/>
  <c r="F176" i="17"/>
  <c r="C50" i="17"/>
  <c r="C92" i="17"/>
  <c r="C162" i="17"/>
  <c r="E279" i="17"/>
  <c r="F279" i="17"/>
  <c r="F288" i="17"/>
  <c r="E126" i="17"/>
  <c r="F126" i="17"/>
  <c r="D127" i="17"/>
  <c r="D50" i="17"/>
  <c r="E49" i="17"/>
  <c r="F49" i="17"/>
  <c r="F268" i="17"/>
  <c r="F300" i="17"/>
  <c r="D304" i="17"/>
  <c r="D273" i="17"/>
  <c r="E271" i="17"/>
  <c r="F271" i="17"/>
  <c r="F270" i="17"/>
  <c r="E281" i="17"/>
  <c r="F281" i="17"/>
  <c r="E125" i="17"/>
  <c r="F125" i="17"/>
  <c r="D305" i="17"/>
  <c r="E175" i="17"/>
  <c r="F175" i="17"/>
  <c r="D176" i="17"/>
  <c r="E176" i="17"/>
  <c r="E104" i="17"/>
  <c r="F104" i="17"/>
  <c r="F272" i="17"/>
  <c r="C291" i="17"/>
  <c r="C289" i="17"/>
  <c r="E194" i="17"/>
  <c r="F194" i="17"/>
  <c r="D195" i="17"/>
  <c r="E254" i="17"/>
  <c r="F254" i="17"/>
  <c r="C141" i="17"/>
  <c r="C210" i="17"/>
  <c r="C127" i="17"/>
  <c r="E91" i="17"/>
  <c r="F91" i="17"/>
  <c r="D92" i="17"/>
  <c r="E161" i="17"/>
  <c r="F161" i="17"/>
  <c r="D162" i="17"/>
  <c r="D196" i="17"/>
  <c r="C195" i="17"/>
  <c r="C273" i="17"/>
  <c r="F216" i="17"/>
  <c r="E263" i="17"/>
  <c r="F263" i="17"/>
  <c r="D265" i="17"/>
  <c r="E265" i="17"/>
  <c r="F265" i="17"/>
  <c r="E282" i="17"/>
  <c r="F282" i="17"/>
  <c r="E289" i="17"/>
  <c r="E287" i="17"/>
  <c r="F287" i="17"/>
  <c r="D70" i="13"/>
  <c r="D72" i="13"/>
  <c r="D69" i="13"/>
  <c r="D22" i="13"/>
  <c r="D42" i="12"/>
  <c r="E34" i="12"/>
  <c r="F34" i="12"/>
  <c r="C42" i="12"/>
  <c r="C112" i="8"/>
  <c r="C111" i="8"/>
  <c r="C28" i="8"/>
  <c r="E112" i="8"/>
  <c r="E111" i="8"/>
  <c r="E28" i="8"/>
  <c r="D99" i="8"/>
  <c r="D101" i="8"/>
  <c r="D98" i="8"/>
  <c r="D22" i="8"/>
  <c r="D43" i="5"/>
  <c r="E35" i="5"/>
  <c r="F35" i="5"/>
  <c r="C43" i="5"/>
  <c r="E43" i="4"/>
  <c r="F43" i="4"/>
  <c r="E121" i="18"/>
  <c r="D91" i="18"/>
  <c r="E109" i="18"/>
  <c r="D117" i="18"/>
  <c r="E122" i="18"/>
  <c r="D128" i="18"/>
  <c r="E128" i="18"/>
  <c r="D116" i="18"/>
  <c r="E116" i="18"/>
  <c r="E110" i="18"/>
  <c r="C269" i="18"/>
  <c r="C268" i="18"/>
  <c r="C271" i="18"/>
  <c r="C105" i="18"/>
  <c r="E264" i="18"/>
  <c r="D266" i="18"/>
  <c r="D323" i="17"/>
  <c r="E162" i="17"/>
  <c r="D183" i="17"/>
  <c r="C197" i="17"/>
  <c r="C148" i="17"/>
  <c r="D309" i="17"/>
  <c r="D310" i="17"/>
  <c r="E196" i="17"/>
  <c r="F196" i="17"/>
  <c r="D197" i="17"/>
  <c r="E197" i="17"/>
  <c r="E195" i="17"/>
  <c r="F195" i="17"/>
  <c r="C305" i="17"/>
  <c r="E291" i="17"/>
  <c r="F291" i="17"/>
  <c r="E304" i="17"/>
  <c r="F304" i="17"/>
  <c r="D70" i="17"/>
  <c r="E70" i="17"/>
  <c r="E50" i="17"/>
  <c r="F50" i="17"/>
  <c r="C70" i="17"/>
  <c r="F63" i="17"/>
  <c r="D322" i="17"/>
  <c r="E141" i="17"/>
  <c r="F141" i="17"/>
  <c r="E106" i="17"/>
  <c r="F106" i="17"/>
  <c r="D324" i="17"/>
  <c r="E92" i="17"/>
  <c r="F92" i="17"/>
  <c r="D113" i="17"/>
  <c r="E113" i="17"/>
  <c r="C322" i="17"/>
  <c r="C211" i="17"/>
  <c r="F289" i="17"/>
  <c r="E273" i="17"/>
  <c r="F273" i="17"/>
  <c r="E127" i="17"/>
  <c r="F127" i="17"/>
  <c r="D148" i="17"/>
  <c r="E148" i="17"/>
  <c r="C323" i="17"/>
  <c r="F323" i="17"/>
  <c r="C183" i="17"/>
  <c r="F183" i="17"/>
  <c r="F162" i="17"/>
  <c r="C324" i="17"/>
  <c r="C113" i="17"/>
  <c r="E210" i="17"/>
  <c r="F210" i="17"/>
  <c r="D49" i="12"/>
  <c r="E49" i="12"/>
  <c r="E42" i="12"/>
  <c r="F42" i="12"/>
  <c r="C49" i="12"/>
  <c r="E99" i="8"/>
  <c r="E101" i="8"/>
  <c r="E98" i="8"/>
  <c r="E22" i="8"/>
  <c r="C99" i="8"/>
  <c r="C101" i="8"/>
  <c r="C98" i="8"/>
  <c r="C22" i="8"/>
  <c r="D50" i="5"/>
  <c r="E50" i="5"/>
  <c r="E43" i="5"/>
  <c r="F43" i="5"/>
  <c r="C50" i="5"/>
  <c r="E266" i="18"/>
  <c r="D267" i="18"/>
  <c r="E117" i="18"/>
  <c r="D105" i="18"/>
  <c r="E105" i="18"/>
  <c r="E91" i="18"/>
  <c r="D129" i="18"/>
  <c r="E129" i="18"/>
  <c r="D312" i="17"/>
  <c r="C309" i="17"/>
  <c r="F113" i="17"/>
  <c r="E211" i="17"/>
  <c r="F211" i="17"/>
  <c r="E322" i="17"/>
  <c r="F322" i="17"/>
  <c r="F70" i="17"/>
  <c r="E305" i="17"/>
  <c r="F305" i="17"/>
  <c r="F197" i="17"/>
  <c r="C325" i="17"/>
  <c r="D325" i="17"/>
  <c r="E325" i="17"/>
  <c r="E324" i="17"/>
  <c r="F324" i="17"/>
  <c r="E309" i="17"/>
  <c r="F148" i="17"/>
  <c r="E183" i="17"/>
  <c r="E323" i="17"/>
  <c r="F49" i="12"/>
  <c r="F50" i="5"/>
  <c r="D131" i="18"/>
  <c r="E131" i="18"/>
  <c r="D269" i="18"/>
  <c r="E269" i="18"/>
  <c r="E267" i="18"/>
  <c r="D268" i="18"/>
  <c r="D313" i="17"/>
  <c r="F325" i="17"/>
  <c r="F309" i="17"/>
  <c r="C310" i="17"/>
  <c r="D271" i="18"/>
  <c r="E271" i="18"/>
  <c r="E268" i="18"/>
  <c r="C312" i="17"/>
  <c r="E310" i="17"/>
  <c r="F310" i="17"/>
  <c r="D315" i="17"/>
  <c r="D314" i="17"/>
  <c r="D251" i="17"/>
  <c r="D256" i="17"/>
  <c r="D318" i="17"/>
  <c r="D257" i="17"/>
  <c r="C313" i="17"/>
  <c r="E312" i="17"/>
  <c r="F312" i="17"/>
  <c r="F313" i="17"/>
  <c r="C314" i="17"/>
  <c r="C251" i="17"/>
  <c r="C315" i="17"/>
  <c r="C256" i="17"/>
  <c r="E313" i="17"/>
  <c r="C257" i="17"/>
  <c r="E256" i="17"/>
  <c r="F256" i="17"/>
  <c r="E251" i="17"/>
  <c r="F251" i="17"/>
  <c r="E315" i="17"/>
  <c r="F315" i="17"/>
  <c r="C318" i="17"/>
  <c r="E314" i="17"/>
  <c r="F314" i="17"/>
  <c r="E318" i="17"/>
  <c r="F318" i="17"/>
  <c r="E257" i="17"/>
  <c r="F257" i="17"/>
</calcChain>
</file>

<file path=xl/sharedStrings.xml><?xml version="1.0" encoding="utf-8"?>
<sst xmlns="http://schemas.openxmlformats.org/spreadsheetml/2006/main" count="2333" uniqueCount="1007">
  <si>
    <t>DAY KIMBALL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</si>
  <si>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</si>
  <si>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</si>
  <si>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</si>
  <si>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</si>
  <si>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</si>
  <si>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</si>
  <si>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</si>
  <si>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</si>
  <si>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</si>
  <si>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</si>
  <si>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</si>
  <si>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</si>
  <si>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</si>
  <si>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</si>
  <si>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</si>
  <si>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</si>
  <si>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</si>
  <si>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</si>
  <si>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</si>
  <si>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</si>
  <si>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</si>
  <si>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</si>
  <si>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</si>
  <si>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</si>
  <si>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</si>
  <si>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</si>
  <si>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</si>
  <si>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</si>
  <si>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</si>
  <si>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</si>
  <si>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</si>
  <si>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</si>
  <si>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</si>
  <si>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</si>
  <si>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</si>
  <si>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</si>
  <si>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</si>
  <si>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</si>
  <si>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</si>
  <si>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</si>
  <si>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</si>
  <si>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</si>
  <si>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</si>
  <si>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</si>
  <si>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</si>
  <si>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</si>
  <si>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</si>
  <si>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</si>
  <si>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</si>
  <si>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</si>
  <si>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</si>
  <si>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</si>
  <si>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</si>
  <si>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</si>
  <si>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</si>
  <si>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</si>
  <si>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</si>
  <si>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</si>
  <si>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</si>
  <si>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</si>
  <si>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</si>
  <si>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</si>
  <si>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</si>
  <si>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</si>
  <si>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</si>
  <si>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</si>
  <si>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</si>
  <si>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</si>
  <si>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</si>
  <si>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</si>
  <si>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</si>
  <si>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</si>
  <si>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</si>
  <si>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</si>
  <si>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</si>
  <si>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</si>
  <si>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</si>
  <si>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</si>
  <si>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</si>
  <si>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</si>
  <si>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</si>
  <si>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</si>
  <si>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</si>
  <si>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</si>
  <si>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</si>
  <si>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</si>
  <si>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</si>
  <si>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</si>
  <si>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</si>
  <si>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</si>
  <si>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</si>
  <si>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</si>
  <si>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</si>
  <si>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</si>
  <si>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</si>
  <si>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</si>
  <si>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</si>
  <si>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</si>
  <si>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</si>
  <si>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</si>
  <si>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</si>
  <si>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</si>
  <si>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</si>
  <si>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</si>
  <si>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</si>
  <si>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</si>
  <si>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</si>
  <si>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</si>
  <si>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</si>
  <si>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</si>
  <si>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</si>
  <si>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</si>
  <si>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</si>
  <si>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</si>
  <si>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</si>
  <si>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</si>
  <si>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</si>
  <si>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</si>
  <si>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</si>
  <si>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</si>
  <si>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</si>
  <si>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</si>
  <si>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</si>
  <si>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</si>
  <si>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</si>
  <si>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</si>
  <si>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</si>
  <si>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</si>
  <si>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</si>
  <si>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</si>
  <si>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</si>
  <si>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</si>
  <si>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</si>
  <si>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</si>
  <si>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</si>
  <si>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</si>
  <si>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</si>
  <si>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</si>
  <si>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</si>
  <si>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</si>
  <si>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</si>
  <si>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</si>
  <si>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</si>
  <si>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</si>
  <si>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</si>
  <si>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</si>
  <si>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</si>
  <si>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</si>
  <si>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</si>
  <si>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</si>
  <si>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</si>
  <si>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</si>
  <si>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</si>
  <si>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</si>
  <si>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</si>
  <si>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</si>
  <si>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</si>
  <si>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</si>
  <si>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</si>
  <si>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</si>
  <si>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</si>
  <si>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</si>
  <si>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</si>
  <si>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</si>
  <si>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</si>
  <si>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</si>
  <si>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</si>
  <si>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</si>
  <si>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</si>
  <si>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</si>
  <si>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</si>
  <si>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</si>
  <si>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</si>
  <si>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</si>
  <si>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</si>
  <si>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</si>
  <si>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</si>
  <si>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</si>
  <si>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</si>
  <si>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</si>
  <si>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</si>
  <si>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</si>
  <si>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</si>
  <si>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</si>
  <si>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</si>
  <si>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</si>
  <si>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</si>
  <si>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</si>
  <si>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</si>
  <si>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</si>
  <si>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</si>
  <si>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</si>
  <si>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</si>
  <si>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</si>
  <si>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</si>
  <si>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</si>
  <si>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</si>
  <si>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</si>
  <si>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</si>
  <si>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</si>
  <si>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</si>
  <si>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</si>
  <si>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</si>
  <si>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</si>
  <si>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</si>
  <si>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</si>
  <si>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</si>
  <si>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</si>
  <si>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</si>
  <si>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</si>
  <si>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</si>
  <si>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</si>
  <si>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</si>
  <si>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</si>
  <si>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</si>
  <si>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</si>
  <si>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</si>
  <si>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</si>
  <si>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</si>
  <si>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</si>
  <si>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</si>
  <si>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</si>
  <si>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</si>
  <si>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</si>
  <si>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</si>
  <si>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</si>
  <si>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</si>
  <si>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</si>
  <si>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</si>
  <si>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</si>
  <si>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</si>
  <si>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</si>
  <si>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</si>
  <si>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</si>
  <si>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</si>
  <si>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</si>
  <si>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</si>
  <si>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</si>
  <si>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</si>
  <si>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</si>
  <si>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</si>
  <si>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</si>
  <si>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</si>
  <si>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</si>
  <si>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</si>
  <si>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</si>
  <si>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</si>
  <si>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</si>
  <si>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</si>
  <si>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</si>
  <si>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</si>
  <si>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</si>
  <si>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</si>
  <si>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</si>
  <si>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</si>
  <si>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</si>
  <si>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</si>
  <si>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</si>
  <si>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</si>
  <si>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</si>
  <si>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</si>
  <si>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</si>
  <si>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</si>
  <si>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</si>
  <si>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</si>
  <si>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</si>
  <si>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</si>
  <si>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</si>
  <si>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</si>
  <si>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</si>
  <si>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</si>
  <si>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</si>
  <si>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</si>
  <si>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</si>
  <si>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</si>
  <si>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</si>
  <si>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</si>
  <si>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</si>
  <si>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</si>
  <si>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</si>
  <si>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</si>
  <si>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</si>
  <si>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</si>
  <si>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</si>
  <si>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</si>
  <si>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</si>
  <si>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</si>
  <si>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</si>
  <si>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</si>
  <si>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</si>
  <si>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</si>
  <si>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</si>
  <si>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</si>
  <si>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</si>
  <si>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</si>
  <si>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</si>
  <si>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</si>
  <si>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</si>
  <si>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</si>
  <si>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</si>
  <si>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</si>
  <si>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</si>
  <si>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</si>
  <si>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</si>
  <si>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</si>
  <si>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</si>
  <si>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</si>
  <si>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</si>
  <si>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</si>
  <si>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</si>
  <si>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</si>
  <si>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</si>
  <si>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</si>
  <si>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</si>
  <si>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</si>
  <si>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</si>
  <si>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</si>
  <si>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</si>
  <si>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</si>
  <si>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</si>
  <si>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</si>
  <si>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</si>
  <si>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</si>
  <si>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</si>
  <si>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</si>
  <si>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</si>
  <si>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</si>
  <si>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</si>
  <si>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</si>
  <si>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</si>
  <si>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</si>
  <si>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</si>
  <si>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</si>
  <si>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</si>
  <si>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</si>
  <si>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</si>
  <si>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</si>
  <si>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</si>
  <si>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</si>
  <si>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</si>
  <si>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</si>
  <si>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</si>
  <si>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</si>
  <si>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</si>
  <si>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</si>
  <si>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</si>
  <si>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</si>
  <si>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</si>
  <si>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</si>
  <si>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</si>
  <si>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</si>
  <si>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</si>
  <si>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</si>
  <si>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</si>
  <si>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</si>
  <si>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</si>
  <si>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</si>
  <si>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</si>
  <si>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</si>
  <si>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</si>
  <si>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</si>
  <si>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</si>
  <si>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</si>
  <si>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</si>
  <si>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</si>
  <si>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</si>
  <si>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</si>
  <si>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</si>
  <si>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</si>
  <si>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</si>
  <si>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</si>
  <si>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</si>
  <si>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</si>
  <si>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</si>
  <si>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</si>
  <si>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</si>
  <si>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</si>
  <si>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</si>
  <si>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</si>
  <si>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</si>
  <si>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</si>
  <si>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</si>
  <si>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</si>
  <si>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</si>
  <si>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</si>
  <si>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</si>
  <si>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</si>
  <si>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</si>
  <si>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</si>
  <si>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</si>
  <si>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</si>
  <si>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</si>
  <si>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</si>
  <si>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</si>
  <si>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</si>
  <si>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</si>
  <si>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</si>
  <si>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</si>
  <si>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</si>
  <si>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</si>
  <si>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</si>
  <si>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</si>
  <si>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</si>
  <si>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</si>
  <si>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</si>
  <si>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</si>
  <si>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</si>
  <si>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</si>
  <si>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</si>
  <si>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</si>
  <si>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</si>
  <si>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</si>
  <si>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</si>
  <si>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</si>
  <si>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</si>
  <si>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</si>
  <si>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</si>
  <si>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</si>
  <si>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</si>
  <si>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</si>
  <si>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</si>
  <si>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</si>
  <si>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</si>
  <si>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</si>
  <si>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</si>
  <si>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</si>
  <si>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</si>
  <si>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</si>
  <si>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</si>
  <si>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</si>
  <si>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</si>
  <si>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</si>
  <si>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</si>
  <si>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</si>
  <si>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</si>
  <si>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</si>
  <si>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</si>
  <si>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</si>
  <si>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</si>
  <si>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</si>
  <si>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</si>
  <si>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</si>
  <si>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</si>
  <si>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</si>
  <si>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</si>
  <si>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</si>
  <si>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</si>
  <si>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</si>
  <si>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</si>
  <si>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</si>
  <si>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</si>
  <si>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</si>
  <si>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</si>
  <si>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</si>
  <si>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</si>
  <si>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</si>
  <si>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</si>
  <si>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</si>
  <si>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</si>
  <si>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</si>
  <si>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</si>
  <si>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</si>
  <si>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</si>
  <si>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</si>
  <si>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</si>
  <si>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</si>
  <si>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</si>
  <si>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</si>
  <si>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</si>
  <si>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</si>
  <si>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</si>
  <si>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</si>
  <si>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</si>
  <si>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</si>
  <si>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</si>
  <si>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</si>
  <si>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</si>
  <si>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</si>
  <si>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</si>
  <si>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</si>
  <si>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</si>
  <si>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</si>
  <si>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</si>
  <si>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</si>
  <si>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</si>
  <si>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</si>
  <si>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</si>
  <si>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</si>
  <si>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</si>
  <si>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</si>
  <si>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</si>
  <si>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</si>
  <si>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</si>
  <si>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</si>
  <si>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</si>
  <si>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</si>
  <si>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</si>
  <si>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</si>
  <si>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</si>
  <si>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</si>
  <si>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</si>
  <si>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</si>
  <si>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</si>
  <si>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</si>
  <si>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</si>
  <si>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</si>
  <si>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</si>
  <si>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</si>
  <si>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</si>
  <si>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</si>
  <si>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</si>
  <si>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</si>
  <si>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</si>
  <si>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</si>
  <si>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</si>
  <si>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</si>
  <si>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</si>
  <si>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</si>
  <si>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</si>
  <si>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</si>
  <si>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</si>
  <si>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</si>
  <si>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</si>
  <si>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</si>
  <si>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</si>
  <si>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</si>
  <si>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</si>
  <si>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</si>
  <si>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</si>
  <si>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</si>
  <si>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</si>
  <si>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</si>
  <si>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</si>
  <si>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</si>
  <si>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</si>
  <si>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</si>
  <si>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</si>
  <si>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</si>
  <si>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</si>
  <si>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</si>
  <si>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</si>
  <si>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</si>
  <si>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</si>
  <si>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</si>
  <si>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</si>
  <si>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</si>
  <si>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</si>
  <si>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</si>
  <si>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</si>
  <si>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</si>
  <si>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</si>
  <si>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</si>
  <si>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</si>
  <si>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</si>
  <si>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</si>
  <si>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</si>
  <si>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</si>
  <si>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</si>
  <si>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</si>
  <si>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</si>
  <si>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</si>
  <si>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</si>
  <si>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</si>
  <si>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</si>
  <si>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</si>
  <si>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</si>
  <si>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</si>
  <si>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</si>
  <si>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</si>
  <si>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</si>
  <si>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</si>
  <si>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</si>
  <si>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</si>
  <si>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</si>
  <si>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</si>
  <si>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</si>
  <si>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</si>
  <si>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</si>
  <si>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</si>
  <si>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</si>
  <si>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</si>
  <si>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</si>
  <si>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</si>
  <si>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</si>
  <si>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</si>
  <si>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</si>
  <si>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</si>
  <si>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</si>
  <si>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</si>
  <si>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</si>
  <si>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</si>
  <si>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</si>
  <si>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</si>
  <si>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</si>
  <si>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</si>
  <si>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</si>
  <si>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</si>
  <si>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</si>
  <si>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</si>
  <si>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</si>
  <si>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</si>
  <si>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</si>
  <si>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</si>
  <si>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</si>
  <si>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</si>
  <si>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</si>
  <si>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</si>
  <si>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</si>
  <si>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</si>
  <si>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</si>
  <si>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</si>
  <si>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</si>
  <si>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</si>
  <si>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</si>
  <si>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</si>
  <si>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</si>
  <si>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</si>
  <si>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</si>
  <si>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</si>
  <si>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Day Kimball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</si>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</sst>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5285678</v>
      </c>
      <c r="D13" s="22">
        <v>6171314</v>
      </c>
      <c r="E13" s="22">
        <f t="shared" ref="E13:E22" si="0">D13-C13</f>
        <v>885636</v>
      </c>
      <c r="F13" s="23">
        <f t="shared" ref="F13:F22" si="1">IF(C13=0,0,E13/C13)</f>
        <v>0.16755390699168585</v>
      </c>
    </row>
    <row r="14" spans="1:8" ht="24" customHeight="1" x14ac:dyDescent="0.2">
      <c r="A14" s="20">
        <v>2</v>
      </c>
      <c r="B14" s="21" t="s">
        <v>17</v>
      </c>
      <c r="C14" s="22">
        <v>2705332</v>
      </c>
      <c r="D14" s="22">
        <v>3023883</v>
      </c>
      <c r="E14" s="22">
        <f t="shared" si="0"/>
        <v>318551</v>
      </c>
      <c r="F14" s="23">
        <f t="shared" si="1"/>
        <v>0.11774931875274458</v>
      </c>
    </row>
    <row r="15" spans="1:8" ht="24" customHeight="1" x14ac:dyDescent="0.2">
      <c r="A15" s="20">
        <v>3</v>
      </c>
      <c r="B15" s="21" t="s">
        <v>18</v>
      </c>
      <c r="C15" s="22">
        <v>12792119</v>
      </c>
      <c r="D15" s="22">
        <v>12518755</v>
      </c>
      <c r="E15" s="22">
        <f t="shared" si="0"/>
        <v>-273364</v>
      </c>
      <c r="F15" s="23">
        <f t="shared" si="1"/>
        <v>-2.1369719903324851E-2</v>
      </c>
    </row>
    <row r="16" spans="1:8" ht="24" customHeight="1" x14ac:dyDescent="0.2">
      <c r="A16" s="20">
        <v>4</v>
      </c>
      <c r="B16" s="21" t="s">
        <v>19</v>
      </c>
      <c r="C16" s="22">
        <v>7166565</v>
      </c>
      <c r="D16" s="22">
        <v>988196</v>
      </c>
      <c r="E16" s="22">
        <f t="shared" si="0"/>
        <v>-6178369</v>
      </c>
      <c r="F16" s="23">
        <f t="shared" si="1"/>
        <v>-0.86211022993581998</v>
      </c>
    </row>
    <row r="17" spans="1:11" ht="24" customHeight="1" x14ac:dyDescent="0.2">
      <c r="A17" s="20">
        <v>5</v>
      </c>
      <c r="B17" s="21" t="s">
        <v>20</v>
      </c>
      <c r="C17" s="22">
        <v>6465</v>
      </c>
      <c r="D17" s="22">
        <v>6254</v>
      </c>
      <c r="E17" s="22">
        <f t="shared" si="0"/>
        <v>-211</v>
      </c>
      <c r="F17" s="23">
        <f t="shared" si="1"/>
        <v>-3.2637277648878575E-2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2126383</v>
      </c>
      <c r="D19" s="22">
        <v>2274896</v>
      </c>
      <c r="E19" s="22">
        <f t="shared" si="0"/>
        <v>148513</v>
      </c>
      <c r="F19" s="23">
        <f t="shared" si="1"/>
        <v>6.9843015110636231E-2</v>
      </c>
    </row>
    <row r="20" spans="1:11" ht="24" customHeight="1" x14ac:dyDescent="0.2">
      <c r="A20" s="20">
        <v>8</v>
      </c>
      <c r="B20" s="21" t="s">
        <v>23</v>
      </c>
      <c r="C20" s="22">
        <v>489720</v>
      </c>
      <c r="D20" s="22">
        <v>360982</v>
      </c>
      <c r="E20" s="22">
        <f t="shared" si="0"/>
        <v>-128738</v>
      </c>
      <c r="F20" s="23">
        <f t="shared" si="1"/>
        <v>-0.26288082986196193</v>
      </c>
    </row>
    <row r="21" spans="1:11" ht="24" customHeight="1" x14ac:dyDescent="0.2">
      <c r="A21" s="20">
        <v>9</v>
      </c>
      <c r="B21" s="21" t="s">
        <v>24</v>
      </c>
      <c r="C21" s="22">
        <v>1462227</v>
      </c>
      <c r="D21" s="22">
        <v>1264550</v>
      </c>
      <c r="E21" s="22">
        <f t="shared" si="0"/>
        <v>-197677</v>
      </c>
      <c r="F21" s="23">
        <f t="shared" si="1"/>
        <v>-0.13518899596300712</v>
      </c>
    </row>
    <row r="22" spans="1:11" ht="24" customHeight="1" x14ac:dyDescent="0.25">
      <c r="A22" s="24"/>
      <c r="B22" s="25" t="s">
        <v>25</v>
      </c>
      <c r="C22" s="26">
        <f>SUM(C13:C21)</f>
        <v>32034489</v>
      </c>
      <c r="D22" s="26">
        <f>SUM(D13:D21)</f>
        <v>26608830</v>
      </c>
      <c r="E22" s="26">
        <f t="shared" si="0"/>
        <v>-5425659</v>
      </c>
      <c r="F22" s="27">
        <f t="shared" si="1"/>
        <v>-0.16936930069338704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4538749</v>
      </c>
      <c r="D25" s="22">
        <v>4675704</v>
      </c>
      <c r="E25" s="22">
        <f>D25-C25</f>
        <v>136955</v>
      </c>
      <c r="F25" s="23">
        <f>IF(C25=0,0,E25/C25)</f>
        <v>3.0174614194351791E-2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2340577</v>
      </c>
      <c r="D27" s="22">
        <v>2340811</v>
      </c>
      <c r="E27" s="22">
        <f>D27-C27</f>
        <v>234</v>
      </c>
      <c r="F27" s="23">
        <f>IF(C27=0,0,E27/C27)</f>
        <v>9.9975347959071635E-5</v>
      </c>
    </row>
    <row r="28" spans="1:11" ht="24" customHeight="1" x14ac:dyDescent="0.2">
      <c r="A28" s="20">
        <v>4</v>
      </c>
      <c r="B28" s="21" t="s">
        <v>31</v>
      </c>
      <c r="C28" s="22">
        <v>3941338</v>
      </c>
      <c r="D28" s="22">
        <v>2511054</v>
      </c>
      <c r="E28" s="22">
        <f>D28-C28</f>
        <v>-1430284</v>
      </c>
      <c r="F28" s="23">
        <f>IF(C28=0,0,E28/C28)</f>
        <v>-0.36289300740002506</v>
      </c>
    </row>
    <row r="29" spans="1:11" ht="24" customHeight="1" x14ac:dyDescent="0.25">
      <c r="A29" s="24"/>
      <c r="B29" s="25" t="s">
        <v>32</v>
      </c>
      <c r="C29" s="26">
        <f>SUM(C25:C28)</f>
        <v>10820664</v>
      </c>
      <c r="D29" s="26">
        <f>SUM(D25:D28)</f>
        <v>9527569</v>
      </c>
      <c r="E29" s="26">
        <f>D29-C29</f>
        <v>-1293095</v>
      </c>
      <c r="F29" s="27">
        <f>IF(C29=0,0,E29/C29)</f>
        <v>-0.11950237064934277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11533351</v>
      </c>
      <c r="D32" s="22">
        <v>10298713</v>
      </c>
      <c r="E32" s="22">
        <f>D32-C32</f>
        <v>-1234638</v>
      </c>
      <c r="F32" s="23">
        <f>IF(C32=0,0,E32/C32)</f>
        <v>-0.10704937359489015</v>
      </c>
    </row>
    <row r="33" spans="1:8" ht="24" customHeight="1" x14ac:dyDescent="0.2">
      <c r="A33" s="20">
        <v>7</v>
      </c>
      <c r="B33" s="21" t="s">
        <v>35</v>
      </c>
      <c r="C33" s="22">
        <v>1318867</v>
      </c>
      <c r="D33" s="22">
        <v>1274535</v>
      </c>
      <c r="E33" s="22">
        <f>D33-C33</f>
        <v>-44332</v>
      </c>
      <c r="F33" s="23">
        <f>IF(C33=0,0,E33/C33)</f>
        <v>-3.3613700244224776E-2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101703018</v>
      </c>
      <c r="D36" s="22">
        <v>107437415</v>
      </c>
      <c r="E36" s="22">
        <f>D36-C36</f>
        <v>5734397</v>
      </c>
      <c r="F36" s="23">
        <f>IF(C36=0,0,E36/C36)</f>
        <v>5.6383744679041878E-2</v>
      </c>
    </row>
    <row r="37" spans="1:8" ht="24" customHeight="1" x14ac:dyDescent="0.2">
      <c r="A37" s="20">
        <v>2</v>
      </c>
      <c r="B37" s="21" t="s">
        <v>39</v>
      </c>
      <c r="C37" s="22">
        <v>70767132</v>
      </c>
      <c r="D37" s="22">
        <v>72130092</v>
      </c>
      <c r="E37" s="22">
        <f>D37-C37</f>
        <v>1362960</v>
      </c>
      <c r="F37" s="23">
        <f>IF(C37=0,0,E37/C37)</f>
        <v>1.9259788569642753E-2</v>
      </c>
    </row>
    <row r="38" spans="1:8" ht="24" customHeight="1" x14ac:dyDescent="0.25">
      <c r="A38" s="24"/>
      <c r="B38" s="25" t="s">
        <v>40</v>
      </c>
      <c r="C38" s="26">
        <f>C36-C37</f>
        <v>30935886</v>
      </c>
      <c r="D38" s="26">
        <f>D36-D37</f>
        <v>35307323</v>
      </c>
      <c r="E38" s="26">
        <f>D38-C38</f>
        <v>4371437</v>
      </c>
      <c r="F38" s="27">
        <f>IF(C38=0,0,E38/C38)</f>
        <v>0.14130634564660602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10356162</v>
      </c>
      <c r="D40" s="22">
        <v>12875489</v>
      </c>
      <c r="E40" s="22">
        <f>D40-C40</f>
        <v>2519327</v>
      </c>
      <c r="F40" s="23">
        <f>IF(C40=0,0,E40/C40)</f>
        <v>0.2432684038739448</v>
      </c>
    </row>
    <row r="41" spans="1:8" ht="24" customHeight="1" x14ac:dyDescent="0.25">
      <c r="A41" s="24"/>
      <c r="B41" s="25" t="s">
        <v>42</v>
      </c>
      <c r="C41" s="26">
        <f>+C38+C40</f>
        <v>41292048</v>
      </c>
      <c r="D41" s="26">
        <f>+D38+D40</f>
        <v>48182812</v>
      </c>
      <c r="E41" s="26">
        <f>D41-C41</f>
        <v>6890764</v>
      </c>
      <c r="F41" s="27">
        <f>IF(C41=0,0,E41/C41)</f>
        <v>0.16687871718060582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96999419</v>
      </c>
      <c r="D43" s="26">
        <f>D22+D29+D31+D32+D33+D41</f>
        <v>95892459</v>
      </c>
      <c r="E43" s="26">
        <f>D43-C43</f>
        <v>-1106960</v>
      </c>
      <c r="F43" s="27">
        <f>IF(C43=0,0,E43/C43)</f>
        <v>-1.1412027117399538E-2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9451225</v>
      </c>
      <c r="D49" s="22">
        <v>11751819</v>
      </c>
      <c r="E49" s="22">
        <f t="shared" ref="E49:E56" si="2">D49-C49</f>
        <v>2300594</v>
      </c>
      <c r="F49" s="23">
        <f t="shared" ref="F49:F56" si="3">IF(C49=0,0,E49/C49)</f>
        <v>0.24341754640271498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1186976</v>
      </c>
      <c r="D50" s="22">
        <v>1541765</v>
      </c>
      <c r="E50" s="22">
        <f t="shared" si="2"/>
        <v>354789</v>
      </c>
      <c r="F50" s="23">
        <f t="shared" si="3"/>
        <v>0.29890157846493948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1067507</v>
      </c>
      <c r="D51" s="22">
        <v>734249</v>
      </c>
      <c r="E51" s="22">
        <f t="shared" si="2"/>
        <v>-333258</v>
      </c>
      <c r="F51" s="23">
        <f t="shared" si="3"/>
        <v>-0.31218343298919821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804612</v>
      </c>
      <c r="D53" s="22">
        <v>1866750</v>
      </c>
      <c r="E53" s="22">
        <f t="shared" si="2"/>
        <v>1062138</v>
      </c>
      <c r="F53" s="23">
        <f t="shared" si="3"/>
        <v>1.320062340606404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11062165</v>
      </c>
      <c r="D55" s="22">
        <v>11567449</v>
      </c>
      <c r="E55" s="22">
        <f t="shared" si="2"/>
        <v>505284</v>
      </c>
      <c r="F55" s="23">
        <f t="shared" si="3"/>
        <v>4.5676773036742807E-2</v>
      </c>
    </row>
    <row r="56" spans="1:6" ht="24" customHeight="1" x14ac:dyDescent="0.25">
      <c r="A56" s="24"/>
      <c r="B56" s="25" t="s">
        <v>54</v>
      </c>
      <c r="C56" s="26">
        <f>SUM(C49:C55)</f>
        <v>23572485</v>
      </c>
      <c r="D56" s="26">
        <f>SUM(D49:D55)</f>
        <v>27462032</v>
      </c>
      <c r="E56" s="26">
        <f t="shared" si="2"/>
        <v>3889547</v>
      </c>
      <c r="F56" s="27">
        <f t="shared" si="3"/>
        <v>0.16500368968311996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29718688</v>
      </c>
      <c r="D59" s="22">
        <v>29561646</v>
      </c>
      <c r="E59" s="22">
        <f>D59-C59</f>
        <v>-157042</v>
      </c>
      <c r="F59" s="23">
        <f>IF(C59=0,0,E59/C59)</f>
        <v>-5.2842844206312202E-3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29718688</v>
      </c>
      <c r="D61" s="26">
        <f>SUM(D59:D60)</f>
        <v>29561646</v>
      </c>
      <c r="E61" s="26">
        <f>D61-C61</f>
        <v>-157042</v>
      </c>
      <c r="F61" s="27">
        <f>IF(C61=0,0,E61/C61)</f>
        <v>-5.2842844206312202E-3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27623323</v>
      </c>
      <c r="D63" s="22">
        <v>34030148</v>
      </c>
      <c r="E63" s="22">
        <f>D63-C63</f>
        <v>6406825</v>
      </c>
      <c r="F63" s="23">
        <f>IF(C63=0,0,E63/C63)</f>
        <v>0.23193534680820263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57342011</v>
      </c>
      <c r="D65" s="26">
        <f>SUM(D61:D64)</f>
        <v>63591794</v>
      </c>
      <c r="E65" s="26">
        <f>D65-C65</f>
        <v>6249783</v>
      </c>
      <c r="F65" s="27">
        <f>IF(C65=0,0,E65/C65)</f>
        <v>0.10899134667599991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7050300</v>
      </c>
      <c r="D70" s="22">
        <v>-2707529</v>
      </c>
      <c r="E70" s="22">
        <f>D70-C70</f>
        <v>-9757829</v>
      </c>
      <c r="F70" s="23">
        <f>IF(C70=0,0,E70/C70)</f>
        <v>-1.3840303249507113</v>
      </c>
    </row>
    <row r="71" spans="1:6" ht="24" customHeight="1" x14ac:dyDescent="0.2">
      <c r="A71" s="20">
        <v>2</v>
      </c>
      <c r="B71" s="21" t="s">
        <v>65</v>
      </c>
      <c r="C71" s="22">
        <v>4728936</v>
      </c>
      <c r="D71" s="22">
        <v>3198536</v>
      </c>
      <c r="E71" s="22">
        <f>D71-C71</f>
        <v>-1530400</v>
      </c>
      <c r="F71" s="23">
        <f>IF(C71=0,0,E71/C71)</f>
        <v>-0.32362459546925565</v>
      </c>
    </row>
    <row r="72" spans="1:6" ht="24" customHeight="1" x14ac:dyDescent="0.2">
      <c r="A72" s="20">
        <v>3</v>
      </c>
      <c r="B72" s="21" t="s">
        <v>66</v>
      </c>
      <c r="C72" s="22">
        <v>4305687</v>
      </c>
      <c r="D72" s="22">
        <v>4347626</v>
      </c>
      <c r="E72" s="22">
        <f>D72-C72</f>
        <v>41939</v>
      </c>
      <c r="F72" s="23">
        <f>IF(C72=0,0,E72/C72)</f>
        <v>9.7403736035619869E-3</v>
      </c>
    </row>
    <row r="73" spans="1:6" ht="24" customHeight="1" x14ac:dyDescent="0.25">
      <c r="A73" s="20"/>
      <c r="B73" s="25" t="s">
        <v>67</v>
      </c>
      <c r="C73" s="26">
        <f>SUM(C70:C72)</f>
        <v>16084923</v>
      </c>
      <c r="D73" s="26">
        <f>SUM(D70:D72)</f>
        <v>4838633</v>
      </c>
      <c r="E73" s="26">
        <f>D73-C73</f>
        <v>-11246290</v>
      </c>
      <c r="F73" s="27">
        <f>IF(C73=0,0,E73/C73)</f>
        <v>-0.69918208498728907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96999419</v>
      </c>
      <c r="D75" s="26">
        <f>D56+D65+D67+D73</f>
        <v>95892459</v>
      </c>
      <c r="E75" s="26">
        <f>D75-C75</f>
        <v>-1106960</v>
      </c>
      <c r="F75" s="27">
        <f>IF(C75=0,0,E75/C75)</f>
        <v>-1.1412027117399538E-2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503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504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505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506</v>
      </c>
      <c r="C11" s="76">
        <v>128976157</v>
      </c>
      <c r="D11" s="76">
        <v>126341664</v>
      </c>
      <c r="E11" s="76">
        <v>127956902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7427525</v>
      </c>
      <c r="D12" s="185">
        <v>8639267</v>
      </c>
      <c r="E12" s="185">
        <v>7701533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136403682</v>
      </c>
      <c r="D13" s="76">
        <f>+D11+D12</f>
        <v>134980931</v>
      </c>
      <c r="E13" s="76">
        <f>+E11+E12</f>
        <v>135658435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136022982</v>
      </c>
      <c r="D14" s="185">
        <v>143922296</v>
      </c>
      <c r="E14" s="185">
        <v>141577219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380700</v>
      </c>
      <c r="D15" s="76">
        <f>+D13-D14</f>
        <v>-8941365</v>
      </c>
      <c r="E15" s="76">
        <f>+E13-E14</f>
        <v>-5918784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486938</v>
      </c>
      <c r="D16" s="185">
        <v>430535</v>
      </c>
      <c r="E16" s="185">
        <v>519164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867638</v>
      </c>
      <c r="D17" s="76">
        <f>D15+D16</f>
        <v>-8510830</v>
      </c>
      <c r="E17" s="76">
        <f>E15+E16</f>
        <v>-5399620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507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508</v>
      </c>
      <c r="C20" s="189">
        <f>IF(+C27=0,0,+C24/+C27)</f>
        <v>2.7810524928588969E-3</v>
      </c>
      <c r="D20" s="189">
        <f>IF(+D27=0,0,+D24/+D27)</f>
        <v>-6.603107745691196E-2</v>
      </c>
      <c r="E20" s="189">
        <f>IF(+E27=0,0,+E24/+E27)</f>
        <v>-4.3463712412788243E-2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509</v>
      </c>
      <c r="C21" s="189">
        <f>IF(+C27=0,0,+C26/+C27)</f>
        <v>3.5571319641915567E-3</v>
      </c>
      <c r="D21" s="189">
        <f>IF(+D27=0,0,+D26/+D27)</f>
        <v>3.1794574914357694E-3</v>
      </c>
      <c r="E21" s="189">
        <f>IF(+E27=0,0,+E26/+E27)</f>
        <v>3.8124038300895581E-3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510</v>
      </c>
      <c r="C22" s="189">
        <f>IF(+C27=0,0,+C28/+C27)</f>
        <v>6.3381844570504541E-3</v>
      </c>
      <c r="D22" s="189">
        <f>IF(+D27=0,0,+D28/+D27)</f>
        <v>-6.2851619965476183E-2</v>
      </c>
      <c r="E22" s="189">
        <f>IF(+E27=0,0,+E28/+E27)</f>
        <v>-3.9651308582698684E-2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380700</v>
      </c>
      <c r="D24" s="76">
        <f>+D15</f>
        <v>-8941365</v>
      </c>
      <c r="E24" s="76">
        <f>+E15</f>
        <v>-5918784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136403682</v>
      </c>
      <c r="D25" s="76">
        <f>+D13</f>
        <v>134980931</v>
      </c>
      <c r="E25" s="76">
        <f>+E13</f>
        <v>135658435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486938</v>
      </c>
      <c r="D26" s="76">
        <f>+D16</f>
        <v>430535</v>
      </c>
      <c r="E26" s="76">
        <f>+E16</f>
        <v>519164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136890620</v>
      </c>
      <c r="D27" s="76">
        <f>SUM(D25:D26)</f>
        <v>135411466</v>
      </c>
      <c r="E27" s="76">
        <f>SUM(E25:E26)</f>
        <v>136177599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867638</v>
      </c>
      <c r="D28" s="76">
        <f>+D17</f>
        <v>-8510830</v>
      </c>
      <c r="E28" s="76">
        <f>+E17</f>
        <v>-5399620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511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512</v>
      </c>
      <c r="C31" s="76">
        <v>6143359</v>
      </c>
      <c r="D31" s="76">
        <v>8092517</v>
      </c>
      <c r="E31" s="76">
        <v>-1617411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513</v>
      </c>
      <c r="C32" s="76">
        <v>16665037</v>
      </c>
      <c r="D32" s="76">
        <v>17127403</v>
      </c>
      <c r="E32" s="76">
        <v>5928751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514</v>
      </c>
      <c r="C33" s="76">
        <v>-1658626</v>
      </c>
      <c r="D33" s="76">
        <f>+D32-C32</f>
        <v>462366</v>
      </c>
      <c r="E33" s="76">
        <f>+E32-D32</f>
        <v>-11198652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515</v>
      </c>
      <c r="C34" s="193">
        <v>0.90939999999999999</v>
      </c>
      <c r="D34" s="193">
        <f>IF(C32=0,0,+D33/C32)</f>
        <v>2.774467287411363E-2</v>
      </c>
      <c r="E34" s="193">
        <f>IF(D32=0,0,+E33/D32)</f>
        <v>-0.6538441350390366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1.6761459232260718</v>
      </c>
      <c r="D38" s="338">
        <f>IF(+D40=0,0,+D39/+D40)</f>
        <v>1.3838821496880362</v>
      </c>
      <c r="E38" s="338">
        <f>IF(+E40=0,0,+E39/+E40)</f>
        <v>0.97939444292486788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31399198</v>
      </c>
      <c r="D39" s="341">
        <v>35532410</v>
      </c>
      <c r="E39" s="341">
        <v>29798215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18732974</v>
      </c>
      <c r="D40" s="341">
        <v>25675893</v>
      </c>
      <c r="E40" s="341">
        <v>30425142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26.834228244631198</v>
      </c>
      <c r="D42" s="343">
        <f>IF((D48/365)=0,0,+D45/(D48/365))</f>
        <v>23.853339516165605</v>
      </c>
      <c r="E42" s="343">
        <f>IF((E48/365)=0,0,+E45/(E48/365))</f>
        <v>27.004889239622891</v>
      </c>
    </row>
    <row r="43" spans="1:14" ht="24" customHeight="1" x14ac:dyDescent="0.2">
      <c r="A43" s="339">
        <v>5</v>
      </c>
      <c r="B43" s="344" t="s">
        <v>16</v>
      </c>
      <c r="C43" s="345">
        <v>3277302</v>
      </c>
      <c r="D43" s="345">
        <v>6386290</v>
      </c>
      <c r="E43" s="345">
        <v>7060282</v>
      </c>
    </row>
    <row r="44" spans="1:14" ht="24" customHeight="1" x14ac:dyDescent="0.2">
      <c r="A44" s="339">
        <v>6</v>
      </c>
      <c r="B44" s="346" t="s">
        <v>17</v>
      </c>
      <c r="C44" s="345">
        <v>6363563</v>
      </c>
      <c r="D44" s="345">
        <v>2705332</v>
      </c>
      <c r="E44" s="345">
        <v>3023883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9640865</v>
      </c>
      <c r="D45" s="341">
        <f>+D43+D44</f>
        <v>9091622</v>
      </c>
      <c r="E45" s="341">
        <f>+E43+E44</f>
        <v>10084165</v>
      </c>
    </row>
    <row r="46" spans="1:14" ht="24" customHeight="1" x14ac:dyDescent="0.2">
      <c r="A46" s="339">
        <v>8</v>
      </c>
      <c r="B46" s="340" t="s">
        <v>334</v>
      </c>
      <c r="C46" s="341">
        <f>+C14</f>
        <v>136022982</v>
      </c>
      <c r="D46" s="341">
        <f>+D14</f>
        <v>143922296</v>
      </c>
      <c r="E46" s="341">
        <f>+E14</f>
        <v>141577219</v>
      </c>
    </row>
    <row r="47" spans="1:14" ht="24" customHeight="1" x14ac:dyDescent="0.2">
      <c r="A47" s="339">
        <v>9</v>
      </c>
      <c r="B47" s="340" t="s">
        <v>356</v>
      </c>
      <c r="C47" s="341">
        <v>4887639</v>
      </c>
      <c r="D47" s="341">
        <v>4803745</v>
      </c>
      <c r="E47" s="341">
        <v>5278929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131135343</v>
      </c>
      <c r="D48" s="341">
        <f>+D46-D47</f>
        <v>139118551</v>
      </c>
      <c r="E48" s="341">
        <f>+E46-E47</f>
        <v>136298290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49.019788983168411</v>
      </c>
      <c r="D50" s="350">
        <f>IF((D55/365)=0,0,+D54/(D55/365))</f>
        <v>40.173877399620132</v>
      </c>
      <c r="E50" s="350">
        <f>IF((E55/365)=0,0,+E54/(E55/365))</f>
        <v>39.866007892251098</v>
      </c>
    </row>
    <row r="51" spans="1:5" ht="24" customHeight="1" x14ac:dyDescent="0.2">
      <c r="A51" s="339">
        <v>12</v>
      </c>
      <c r="B51" s="344" t="s">
        <v>359</v>
      </c>
      <c r="C51" s="351">
        <v>14676491</v>
      </c>
      <c r="D51" s="351">
        <v>14973355</v>
      </c>
      <c r="E51" s="351">
        <v>14709950</v>
      </c>
    </row>
    <row r="52" spans="1:5" ht="24" customHeight="1" x14ac:dyDescent="0.2">
      <c r="A52" s="339">
        <v>13</v>
      </c>
      <c r="B52" s="344" t="s">
        <v>21</v>
      </c>
      <c r="C52" s="341">
        <v>2645109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1067507</v>
      </c>
      <c r="E53" s="341">
        <v>734249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17321600</v>
      </c>
      <c r="D54" s="352">
        <f>+D51+D52-D53</f>
        <v>13905848</v>
      </c>
      <c r="E54" s="352">
        <f>+E51+E52-E53</f>
        <v>13975701</v>
      </c>
    </row>
    <row r="55" spans="1:5" ht="24" customHeight="1" x14ac:dyDescent="0.2">
      <c r="A55" s="339">
        <v>16</v>
      </c>
      <c r="B55" s="340" t="s">
        <v>75</v>
      </c>
      <c r="C55" s="341">
        <f>+C11</f>
        <v>128976157</v>
      </c>
      <c r="D55" s="341">
        <f>+D11</f>
        <v>126341664</v>
      </c>
      <c r="E55" s="341">
        <f>+E11</f>
        <v>127956902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52.141057883990896</v>
      </c>
      <c r="D57" s="355">
        <f>IF((D61/365)=0,0,+D58/(D61/365))</f>
        <v>67.364854490182267</v>
      </c>
      <c r="E57" s="355">
        <f>IF((E61/365)=0,0,+E58/(E61/365))</f>
        <v>81.477007745291601</v>
      </c>
    </row>
    <row r="58" spans="1:5" ht="24" customHeight="1" x14ac:dyDescent="0.2">
      <c r="A58" s="339">
        <v>18</v>
      </c>
      <c r="B58" s="340" t="s">
        <v>54</v>
      </c>
      <c r="C58" s="353">
        <f>+C40</f>
        <v>18732974</v>
      </c>
      <c r="D58" s="353">
        <f>+D40</f>
        <v>25675893</v>
      </c>
      <c r="E58" s="353">
        <f>+E40</f>
        <v>30425142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136022982</v>
      </c>
      <c r="D59" s="353">
        <f t="shared" si="0"/>
        <v>143922296</v>
      </c>
      <c r="E59" s="353">
        <f t="shared" si="0"/>
        <v>141577219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4887639</v>
      </c>
      <c r="D60" s="356">
        <f t="shared" si="0"/>
        <v>4803745</v>
      </c>
      <c r="E60" s="356">
        <f t="shared" si="0"/>
        <v>5278929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131135343</v>
      </c>
      <c r="D61" s="353">
        <f>+D59-D60</f>
        <v>139118551</v>
      </c>
      <c r="E61" s="353">
        <f>+E59-E60</f>
        <v>136298290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18.770269086105618</v>
      </c>
      <c r="D65" s="357">
        <f>IF(D67=0,0,(D66/D67)*100)</f>
        <v>17.10255179506315</v>
      </c>
      <c r="E65" s="357">
        <f>IF(E67=0,0,(E66/E67)*100)</f>
        <v>5.9319728324044636</v>
      </c>
    </row>
    <row r="66" spans="1:5" ht="24" customHeight="1" x14ac:dyDescent="0.2">
      <c r="A66" s="339">
        <v>2</v>
      </c>
      <c r="B66" s="340" t="s">
        <v>67</v>
      </c>
      <c r="C66" s="353">
        <f>+C32</f>
        <v>16665037</v>
      </c>
      <c r="D66" s="353">
        <f>+D32</f>
        <v>17127403</v>
      </c>
      <c r="E66" s="353">
        <f>+E32</f>
        <v>5928751</v>
      </c>
    </row>
    <row r="67" spans="1:5" ht="24" customHeight="1" x14ac:dyDescent="0.2">
      <c r="A67" s="339">
        <v>3</v>
      </c>
      <c r="B67" s="340" t="s">
        <v>43</v>
      </c>
      <c r="C67" s="353">
        <v>88784220</v>
      </c>
      <c r="D67" s="353">
        <v>100145307</v>
      </c>
      <c r="E67" s="353">
        <v>99945687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16.326784248654004</v>
      </c>
      <c r="D69" s="357">
        <f>IF(D75=0,0,(D72/D75)*100)</f>
        <v>-6.6921437676367654</v>
      </c>
      <c r="E69" s="357">
        <f>IF(E75=0,0,(E72/E75)*100)</f>
        <v>-0.2011959700192649</v>
      </c>
    </row>
    <row r="70" spans="1:5" ht="24" customHeight="1" x14ac:dyDescent="0.2">
      <c r="A70" s="339">
        <v>5</v>
      </c>
      <c r="B70" s="340" t="s">
        <v>366</v>
      </c>
      <c r="C70" s="353">
        <f>+C28</f>
        <v>867638</v>
      </c>
      <c r="D70" s="353">
        <f>+D28</f>
        <v>-8510830</v>
      </c>
      <c r="E70" s="353">
        <f>+E28</f>
        <v>-5399620</v>
      </c>
    </row>
    <row r="71" spans="1:5" ht="24" customHeight="1" x14ac:dyDescent="0.2">
      <c r="A71" s="339">
        <v>6</v>
      </c>
      <c r="B71" s="340" t="s">
        <v>356</v>
      </c>
      <c r="C71" s="356">
        <f>+C47</f>
        <v>4887639</v>
      </c>
      <c r="D71" s="356">
        <f>+D47</f>
        <v>4803745</v>
      </c>
      <c r="E71" s="356">
        <f>+E47</f>
        <v>5278929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5755277</v>
      </c>
      <c r="D72" s="353">
        <f>+D70+D71</f>
        <v>-3707085</v>
      </c>
      <c r="E72" s="353">
        <f>+E70+E71</f>
        <v>-120691</v>
      </c>
    </row>
    <row r="73" spans="1:5" ht="24" customHeight="1" x14ac:dyDescent="0.2">
      <c r="A73" s="339">
        <v>8</v>
      </c>
      <c r="B73" s="340" t="s">
        <v>54</v>
      </c>
      <c r="C73" s="341">
        <f>+C40</f>
        <v>18732974</v>
      </c>
      <c r="D73" s="341">
        <f>+D40</f>
        <v>25675893</v>
      </c>
      <c r="E73" s="341">
        <f>+E40</f>
        <v>30425142</v>
      </c>
    </row>
    <row r="74" spans="1:5" ht="24" customHeight="1" x14ac:dyDescent="0.2">
      <c r="A74" s="339">
        <v>9</v>
      </c>
      <c r="B74" s="340" t="s">
        <v>58</v>
      </c>
      <c r="C74" s="353">
        <v>16517550</v>
      </c>
      <c r="D74" s="353">
        <v>29718688</v>
      </c>
      <c r="E74" s="353">
        <v>29561646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35250524</v>
      </c>
      <c r="D75" s="341">
        <f>+D73+D74</f>
        <v>55394581</v>
      </c>
      <c r="E75" s="341">
        <f>+E73+E74</f>
        <v>59986788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49.77776446423541</v>
      </c>
      <c r="D77" s="359">
        <f>IF(D80=0,0,(D78/D80)*100)</f>
        <v>63.438992166923811</v>
      </c>
      <c r="E77" s="359">
        <f>IF(E80=0,0,(E78/E80)*100)</f>
        <v>83.294774076491734</v>
      </c>
    </row>
    <row r="78" spans="1:5" ht="24" customHeight="1" x14ac:dyDescent="0.2">
      <c r="A78" s="339">
        <v>12</v>
      </c>
      <c r="B78" s="340" t="s">
        <v>58</v>
      </c>
      <c r="C78" s="341">
        <f>+C74</f>
        <v>16517550</v>
      </c>
      <c r="D78" s="341">
        <f>+D74</f>
        <v>29718688</v>
      </c>
      <c r="E78" s="341">
        <f>+E74</f>
        <v>29561646</v>
      </c>
    </row>
    <row r="79" spans="1:5" ht="24" customHeight="1" x14ac:dyDescent="0.2">
      <c r="A79" s="339">
        <v>13</v>
      </c>
      <c r="B79" s="340" t="s">
        <v>67</v>
      </c>
      <c r="C79" s="341">
        <f>+C32</f>
        <v>16665037</v>
      </c>
      <c r="D79" s="341">
        <f>+D32</f>
        <v>17127403</v>
      </c>
      <c r="E79" s="341">
        <f>+E32</f>
        <v>5928751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33182587</v>
      </c>
      <c r="D80" s="341">
        <f>+D78+D79</f>
        <v>46846091</v>
      </c>
      <c r="E80" s="341">
        <f>+E78+E79</f>
        <v>35490397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FILING&amp;R&amp;8DAY KIMBALL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516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517</v>
      </c>
      <c r="E6" s="362" t="s">
        <v>518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519</v>
      </c>
      <c r="I7" s="362" t="s">
        <v>519</v>
      </c>
      <c r="J7" s="367"/>
      <c r="K7" s="368"/>
    </row>
    <row r="8" spans="1:11" ht="15.75" customHeight="1" x14ac:dyDescent="0.25">
      <c r="A8" s="360"/>
      <c r="B8" s="361"/>
      <c r="C8" s="362" t="s">
        <v>520</v>
      </c>
      <c r="D8" s="362" t="s">
        <v>521</v>
      </c>
      <c r="E8" s="362" t="s">
        <v>522</v>
      </c>
      <c r="F8" s="362" t="s">
        <v>523</v>
      </c>
      <c r="G8" s="362" t="s">
        <v>524</v>
      </c>
      <c r="H8" s="362" t="s">
        <v>525</v>
      </c>
      <c r="I8" s="362" t="s">
        <v>526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527</v>
      </c>
      <c r="D9" s="371" t="s">
        <v>528</v>
      </c>
      <c r="E9" s="371" t="s">
        <v>529</v>
      </c>
      <c r="F9" s="371" t="s">
        <v>530</v>
      </c>
      <c r="G9" s="371" t="s">
        <v>531</v>
      </c>
      <c r="H9" s="371" t="s">
        <v>530</v>
      </c>
      <c r="I9" s="371" t="s">
        <v>531</v>
      </c>
      <c r="J9" s="367"/>
      <c r="K9" s="372"/>
    </row>
    <row r="10" spans="1:11" ht="15.75" customHeight="1" x14ac:dyDescent="0.25">
      <c r="A10" s="136" t="s">
        <v>529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532</v>
      </c>
      <c r="C11" s="376">
        <v>9317</v>
      </c>
      <c r="D11" s="376">
        <v>2814</v>
      </c>
      <c r="E11" s="376">
        <v>2710</v>
      </c>
      <c r="F11" s="377">
        <v>37</v>
      </c>
      <c r="G11" s="377">
        <v>72</v>
      </c>
      <c r="H11" s="378">
        <f>IF(F11=0,0,$C11/(F11*365))</f>
        <v>0.68989263235838583</v>
      </c>
      <c r="I11" s="378">
        <f>IF(G11=0,0,$C11/(G11*365))</f>
        <v>0.35452815829528156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533</v>
      </c>
      <c r="C13" s="376">
        <v>836</v>
      </c>
      <c r="D13" s="376">
        <v>208</v>
      </c>
      <c r="E13" s="376">
        <v>0</v>
      </c>
      <c r="F13" s="377">
        <v>6</v>
      </c>
      <c r="G13" s="377">
        <v>9</v>
      </c>
      <c r="H13" s="378">
        <f>IF(F13=0,0,$C13/(F13*365))</f>
        <v>0.38173515981735162</v>
      </c>
      <c r="I13" s="378">
        <f>IF(G13=0,0,$C13/(G13*365))</f>
        <v>0.25449010654490106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534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535</v>
      </c>
      <c r="C16" s="376">
        <v>3855</v>
      </c>
      <c r="D16" s="376">
        <v>593</v>
      </c>
      <c r="E16" s="376">
        <v>602</v>
      </c>
      <c r="F16" s="377">
        <v>12</v>
      </c>
      <c r="G16" s="377">
        <v>15</v>
      </c>
      <c r="H16" s="378">
        <f t="shared" si="0"/>
        <v>0.88013698630136983</v>
      </c>
      <c r="I16" s="378">
        <f t="shared" si="0"/>
        <v>0.70410958904109588</v>
      </c>
      <c r="J16" s="367"/>
      <c r="K16" s="379"/>
    </row>
    <row r="17" spans="1:11" ht="15.75" customHeight="1" x14ac:dyDescent="0.25">
      <c r="A17" s="136"/>
      <c r="B17" s="380" t="s">
        <v>536</v>
      </c>
      <c r="C17" s="381">
        <f>SUM(C15:C16)</f>
        <v>3855</v>
      </c>
      <c r="D17" s="381">
        <f>SUM(D15:D16)</f>
        <v>593</v>
      </c>
      <c r="E17" s="381">
        <f>SUM(E15:E16)</f>
        <v>602</v>
      </c>
      <c r="F17" s="381">
        <f>SUM(F15:F16)</f>
        <v>12</v>
      </c>
      <c r="G17" s="381">
        <f>SUM(G15:G16)</f>
        <v>15</v>
      </c>
      <c r="H17" s="382">
        <f t="shared" si="0"/>
        <v>0.88013698630136983</v>
      </c>
      <c r="I17" s="382">
        <f t="shared" si="0"/>
        <v>0.70410958904109588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537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538</v>
      </c>
      <c r="C21" s="376">
        <v>1415</v>
      </c>
      <c r="D21" s="376">
        <v>540</v>
      </c>
      <c r="E21" s="376">
        <v>492</v>
      </c>
      <c r="F21" s="377">
        <v>5</v>
      </c>
      <c r="G21" s="377">
        <v>8</v>
      </c>
      <c r="H21" s="378">
        <f>IF(F21=0,0,$C21/(F21*365))</f>
        <v>0.77534246575342469</v>
      </c>
      <c r="I21" s="378">
        <f>IF(G21=0,0,$C21/(G21*365))</f>
        <v>0.4845890410958904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539</v>
      </c>
      <c r="C23" s="376">
        <v>1405</v>
      </c>
      <c r="D23" s="376">
        <v>555</v>
      </c>
      <c r="E23" s="376">
        <v>509</v>
      </c>
      <c r="F23" s="377">
        <v>5</v>
      </c>
      <c r="G23" s="377">
        <v>18</v>
      </c>
      <c r="H23" s="378">
        <f>IF(F23=0,0,$C23/(F23*365))</f>
        <v>0.76986301369863008</v>
      </c>
      <c r="I23" s="378">
        <f>IF(G23=0,0,$C23/(G23*365))</f>
        <v>0.21385083713850836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540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541</v>
      </c>
      <c r="C27" s="376">
        <v>16</v>
      </c>
      <c r="D27" s="376">
        <v>9</v>
      </c>
      <c r="E27" s="376">
        <v>10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542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543</v>
      </c>
      <c r="C31" s="384">
        <f>SUM(C10:C29)-C17-C23</f>
        <v>15439</v>
      </c>
      <c r="D31" s="384">
        <f>SUM(D10:D29)-D13-D17-D23</f>
        <v>3956</v>
      </c>
      <c r="E31" s="384">
        <f>SUM(E10:E29)-E17-E23</f>
        <v>3814</v>
      </c>
      <c r="F31" s="384">
        <f>SUM(F10:F29)-F17-F23</f>
        <v>60</v>
      </c>
      <c r="G31" s="384">
        <f>SUM(G10:G29)-G17-G23</f>
        <v>104</v>
      </c>
      <c r="H31" s="385">
        <f>IF(F31=0,0,$C31/(F31*365))</f>
        <v>0.70497716894977169</v>
      </c>
      <c r="I31" s="385">
        <f>IF(G31=0,0,$C31/(G31*365))</f>
        <v>0.40671759747102215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544</v>
      </c>
      <c r="C33" s="384">
        <f>SUM(C10:C29)-C17</f>
        <v>16844</v>
      </c>
      <c r="D33" s="384">
        <f>SUM(D10:D29)-D13-D17</f>
        <v>4511</v>
      </c>
      <c r="E33" s="384">
        <f>SUM(E10:E29)-E17</f>
        <v>4323</v>
      </c>
      <c r="F33" s="384">
        <f>SUM(F10:F29)-F17</f>
        <v>65</v>
      </c>
      <c r="G33" s="384">
        <f>SUM(G10:G29)-G17</f>
        <v>122</v>
      </c>
      <c r="H33" s="385">
        <f>IF(F33=0,0,$C33/(F33*365))</f>
        <v>0.70996838777660698</v>
      </c>
      <c r="I33" s="385">
        <f>IF(G33=0,0,$C33/(G33*365))</f>
        <v>0.37826184594655288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545</v>
      </c>
      <c r="C36" s="384">
        <f t="shared" ref="C36:I36" si="1">+C33</f>
        <v>16844</v>
      </c>
      <c r="D36" s="384">
        <f t="shared" si="1"/>
        <v>4511</v>
      </c>
      <c r="E36" s="384">
        <f t="shared" si="1"/>
        <v>4323</v>
      </c>
      <c r="F36" s="384">
        <f t="shared" si="1"/>
        <v>65</v>
      </c>
      <c r="G36" s="384">
        <f t="shared" si="1"/>
        <v>122</v>
      </c>
      <c r="H36" s="387">
        <f t="shared" si="1"/>
        <v>0.70996838777660698</v>
      </c>
      <c r="I36" s="387">
        <f t="shared" si="1"/>
        <v>0.37826184594655288</v>
      </c>
      <c r="J36" s="367"/>
      <c r="K36" s="379"/>
    </row>
    <row r="37" spans="1:11" ht="15.75" customHeight="1" x14ac:dyDescent="0.25">
      <c r="A37" s="136"/>
      <c r="B37" s="361" t="s">
        <v>546</v>
      </c>
      <c r="C37" s="384">
        <v>16124</v>
      </c>
      <c r="D37" s="384">
        <v>4331</v>
      </c>
      <c r="E37" s="384">
        <v>4211</v>
      </c>
      <c r="F37" s="386">
        <v>65</v>
      </c>
      <c r="G37" s="386">
        <v>122</v>
      </c>
      <c r="H37" s="385">
        <f>IF(F37=0,0,$C37/(F37*365))</f>
        <v>0.67962065331928345</v>
      </c>
      <c r="I37" s="385">
        <f>IF(G37=0,0,$C37/(G37*365))</f>
        <v>0.36209297103076576</v>
      </c>
      <c r="J37" s="367"/>
      <c r="K37" s="379"/>
    </row>
    <row r="38" spans="1:11" ht="15.75" customHeight="1" x14ac:dyDescent="0.25">
      <c r="A38" s="136"/>
      <c r="B38" s="361" t="s">
        <v>547</v>
      </c>
      <c r="C38" s="384">
        <f t="shared" ref="C38:I38" si="2">+C36-C37</f>
        <v>720</v>
      </c>
      <c r="D38" s="384">
        <f t="shared" si="2"/>
        <v>180</v>
      </c>
      <c r="E38" s="384">
        <f t="shared" si="2"/>
        <v>112</v>
      </c>
      <c r="F38" s="384">
        <f t="shared" si="2"/>
        <v>0</v>
      </c>
      <c r="G38" s="384">
        <f t="shared" si="2"/>
        <v>0</v>
      </c>
      <c r="H38" s="387">
        <f t="shared" si="2"/>
        <v>3.0347734457323527E-2</v>
      </c>
      <c r="I38" s="387">
        <f t="shared" si="2"/>
        <v>1.6168874915787113E-2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548</v>
      </c>
      <c r="C40" s="389">
        <f t="shared" ref="C40:I40" si="3">IF(C37=0,0,C38/C37)</f>
        <v>4.465393202679236E-2</v>
      </c>
      <c r="D40" s="389">
        <f t="shared" si="3"/>
        <v>4.1560840452551373E-2</v>
      </c>
      <c r="E40" s="389">
        <f t="shared" si="3"/>
        <v>2.6597007836618381E-2</v>
      </c>
      <c r="F40" s="389">
        <f t="shared" si="3"/>
        <v>0</v>
      </c>
      <c r="G40" s="389">
        <f t="shared" si="3"/>
        <v>0</v>
      </c>
      <c r="H40" s="389">
        <f t="shared" si="3"/>
        <v>4.4653932026792402E-2</v>
      </c>
      <c r="I40" s="389">
        <f t="shared" si="3"/>
        <v>4.4653932026792367E-2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549</v>
      </c>
      <c r="C42" s="375">
        <v>122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550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529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551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FILING&amp;RDAY KIMBALL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552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553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554</v>
      </c>
      <c r="C12" s="409">
        <v>1385</v>
      </c>
      <c r="D12" s="409">
        <v>1404</v>
      </c>
      <c r="E12" s="409">
        <f>+D12-C12</f>
        <v>19</v>
      </c>
      <c r="F12" s="410">
        <f>IF(C12=0,0,+E12/C12)</f>
        <v>1.3718411552346571E-2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555</v>
      </c>
      <c r="C13" s="409">
        <v>3224</v>
      </c>
      <c r="D13" s="409">
        <v>3328</v>
      </c>
      <c r="E13" s="409">
        <f>+D13-C13</f>
        <v>104</v>
      </c>
      <c r="F13" s="410">
        <f>IF(C13=0,0,+E13/C13)</f>
        <v>3.2258064516129031E-2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556</v>
      </c>
      <c r="C14" s="409">
        <v>3681</v>
      </c>
      <c r="D14" s="409">
        <v>3595</v>
      </c>
      <c r="E14" s="409">
        <f>+D14-C14</f>
        <v>-86</v>
      </c>
      <c r="F14" s="410">
        <f>IF(C14=0,0,+E14/C14)</f>
        <v>-2.3363216517250748E-2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557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558</v>
      </c>
      <c r="C16" s="401">
        <f>SUM(C12:C15)</f>
        <v>8290</v>
      </c>
      <c r="D16" s="401">
        <f>SUM(D12:D15)</f>
        <v>8327</v>
      </c>
      <c r="E16" s="401">
        <f>+D16-C16</f>
        <v>37</v>
      </c>
      <c r="F16" s="402">
        <f>IF(C16=0,0,+E16/C16)</f>
        <v>4.4632086851628472E-3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559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554</v>
      </c>
      <c r="C19" s="409">
        <v>433</v>
      </c>
      <c r="D19" s="409">
        <v>478</v>
      </c>
      <c r="E19" s="409">
        <f>+D19-C19</f>
        <v>45</v>
      </c>
      <c r="F19" s="410">
        <f>IF(C19=0,0,+E19/C19)</f>
        <v>0.10392609699769054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555</v>
      </c>
      <c r="C20" s="409">
        <v>4504</v>
      </c>
      <c r="D20" s="409">
        <v>4400</v>
      </c>
      <c r="E20" s="409">
        <f>+D20-C20</f>
        <v>-104</v>
      </c>
      <c r="F20" s="410">
        <f>IF(C20=0,0,+E20/C20)</f>
        <v>-2.3090586145648313E-2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556</v>
      </c>
      <c r="C21" s="409">
        <v>207</v>
      </c>
      <c r="D21" s="409">
        <v>163</v>
      </c>
      <c r="E21" s="409">
        <f>+D21-C21</f>
        <v>-44</v>
      </c>
      <c r="F21" s="410">
        <f>IF(C21=0,0,+E21/C21)</f>
        <v>-0.21256038647342995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557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560</v>
      </c>
      <c r="C23" s="401">
        <f>SUM(C19:C22)</f>
        <v>5144</v>
      </c>
      <c r="D23" s="401">
        <f>SUM(D19:D22)</f>
        <v>5041</v>
      </c>
      <c r="E23" s="401">
        <f>+D23-C23</f>
        <v>-103</v>
      </c>
      <c r="F23" s="402">
        <f>IF(C23=0,0,+E23/C23)</f>
        <v>-2.0023328149300156E-2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561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554</v>
      </c>
      <c r="C26" s="409">
        <v>0</v>
      </c>
      <c r="D26" s="409">
        <v>2</v>
      </c>
      <c r="E26" s="409">
        <f>+D26-C26</f>
        <v>2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555</v>
      </c>
      <c r="C27" s="409">
        <v>227</v>
      </c>
      <c r="D27" s="409">
        <v>183</v>
      </c>
      <c r="E27" s="409">
        <f>+D27-C27</f>
        <v>-44</v>
      </c>
      <c r="F27" s="410">
        <f>IF(C27=0,0,+E27/C27)</f>
        <v>-0.19383259911894274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556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557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562</v>
      </c>
      <c r="C30" s="401">
        <f>SUM(C26:C29)</f>
        <v>227</v>
      </c>
      <c r="D30" s="401">
        <f>SUM(D26:D29)</f>
        <v>185</v>
      </c>
      <c r="E30" s="401">
        <f>+D30-C30</f>
        <v>-42</v>
      </c>
      <c r="F30" s="402">
        <f>IF(C30=0,0,+E30/C30)</f>
        <v>-0.18502202643171806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563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554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555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556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557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564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565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566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567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568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569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570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571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568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569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572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573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574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575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576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577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578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579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580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581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582</v>
      </c>
      <c r="C63" s="409">
        <v>685</v>
      </c>
      <c r="D63" s="409">
        <v>596</v>
      </c>
      <c r="E63" s="409">
        <f>+D63-C63</f>
        <v>-89</v>
      </c>
      <c r="F63" s="410">
        <f>IF(C63=0,0,+E63/C63)</f>
        <v>-0.12992700729927006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583</v>
      </c>
      <c r="C64" s="409">
        <v>2872</v>
      </c>
      <c r="D64" s="409">
        <v>3008</v>
      </c>
      <c r="E64" s="409">
        <f>+D64-C64</f>
        <v>136</v>
      </c>
      <c r="F64" s="410">
        <f>IF(C64=0,0,+E64/C64)</f>
        <v>4.7353760445682451E-2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584</v>
      </c>
      <c r="C65" s="401">
        <f>SUM(C63:C64)</f>
        <v>3557</v>
      </c>
      <c r="D65" s="401">
        <f>SUM(D63:D64)</f>
        <v>3604</v>
      </c>
      <c r="E65" s="401">
        <f>+D65-C65</f>
        <v>47</v>
      </c>
      <c r="F65" s="402">
        <f>IF(C65=0,0,+E65/C65)</f>
        <v>1.3213382063536689E-2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585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586</v>
      </c>
      <c r="C68" s="409">
        <v>181</v>
      </c>
      <c r="D68" s="409">
        <v>186</v>
      </c>
      <c r="E68" s="409">
        <f>+D68-C68</f>
        <v>5</v>
      </c>
      <c r="F68" s="410">
        <f>IF(C68=0,0,+E68/C68)</f>
        <v>2.7624309392265192E-2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587</v>
      </c>
      <c r="C69" s="409">
        <v>940</v>
      </c>
      <c r="D69" s="409">
        <v>923</v>
      </c>
      <c r="E69" s="409">
        <f>+D69-C69</f>
        <v>-17</v>
      </c>
      <c r="F69" s="412">
        <f>IF(C69=0,0,+E69/C69)</f>
        <v>-1.8085106382978722E-2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588</v>
      </c>
      <c r="C70" s="401">
        <f>SUM(C68:C69)</f>
        <v>1121</v>
      </c>
      <c r="D70" s="401">
        <f>SUM(D68:D69)</f>
        <v>1109</v>
      </c>
      <c r="E70" s="401">
        <f>+D70-C70</f>
        <v>-12</v>
      </c>
      <c r="F70" s="402">
        <f>IF(C70=0,0,+E70/C70)</f>
        <v>-1.0704727921498661E-2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589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590</v>
      </c>
      <c r="C73" s="376">
        <v>2777</v>
      </c>
      <c r="D73" s="376">
        <v>2856</v>
      </c>
      <c r="E73" s="409">
        <f>+D73-C73</f>
        <v>79</v>
      </c>
      <c r="F73" s="410">
        <f>IF(C73=0,0,+E73/C73)</f>
        <v>2.844796543032049E-2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591</v>
      </c>
      <c r="C74" s="376">
        <v>21491</v>
      </c>
      <c r="D74" s="376">
        <v>23609</v>
      </c>
      <c r="E74" s="409">
        <f>+D74-C74</f>
        <v>2118</v>
      </c>
      <c r="F74" s="410">
        <f>IF(C74=0,0,+E74/C74)</f>
        <v>9.8552882602019456E-2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24268</v>
      </c>
      <c r="D75" s="401">
        <f>SUM(D73:D74)</f>
        <v>26465</v>
      </c>
      <c r="E75" s="401">
        <f>SUM(E73:E74)</f>
        <v>2197</v>
      </c>
      <c r="F75" s="402">
        <f>IF(C75=0,0,+E75/C75)</f>
        <v>9.053074006922697E-2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592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593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594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595</v>
      </c>
      <c r="C81" s="376">
        <v>11707</v>
      </c>
      <c r="D81" s="376">
        <v>11158</v>
      </c>
      <c r="E81" s="409">
        <f t="shared" si="0"/>
        <v>-549</v>
      </c>
      <c r="F81" s="410">
        <f t="shared" si="1"/>
        <v>-4.6895020073460324E-2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596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597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598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599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600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601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602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603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604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605</v>
      </c>
      <c r="C91" s="376">
        <v>13555</v>
      </c>
      <c r="D91" s="376">
        <v>11671</v>
      </c>
      <c r="E91" s="409">
        <f t="shared" si="0"/>
        <v>-1884</v>
      </c>
      <c r="F91" s="410">
        <f t="shared" si="1"/>
        <v>-0.13898930284028033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606</v>
      </c>
      <c r="C92" s="381">
        <f>SUM(C79:C91)</f>
        <v>25262</v>
      </c>
      <c r="D92" s="381">
        <f>SUM(D79:D91)</f>
        <v>22829</v>
      </c>
      <c r="E92" s="401">
        <f t="shared" si="0"/>
        <v>-2433</v>
      </c>
      <c r="F92" s="402">
        <f t="shared" si="1"/>
        <v>-9.6310664238777613E-2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607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608</v>
      </c>
      <c r="C95" s="414">
        <v>76952</v>
      </c>
      <c r="D95" s="414">
        <v>66980</v>
      </c>
      <c r="E95" s="415">
        <f t="shared" ref="E95:E100" si="2">+D95-C95</f>
        <v>-9972</v>
      </c>
      <c r="F95" s="412">
        <f t="shared" ref="F95:F100" si="3">IF(C95=0,0,+E95/C95)</f>
        <v>-0.12958727518453061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609</v>
      </c>
      <c r="C96" s="414">
        <v>3695</v>
      </c>
      <c r="D96" s="414">
        <v>3809</v>
      </c>
      <c r="E96" s="409">
        <f t="shared" si="2"/>
        <v>114</v>
      </c>
      <c r="F96" s="410">
        <f t="shared" si="3"/>
        <v>3.0852503382949932E-2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610</v>
      </c>
      <c r="C97" s="414">
        <v>1223</v>
      </c>
      <c r="D97" s="414">
        <v>1173</v>
      </c>
      <c r="E97" s="409">
        <f t="shared" si="2"/>
        <v>-50</v>
      </c>
      <c r="F97" s="410">
        <f t="shared" si="3"/>
        <v>-4.0883074407195422E-2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611</v>
      </c>
      <c r="C98" s="414">
        <v>3149</v>
      </c>
      <c r="D98" s="414">
        <v>3272</v>
      </c>
      <c r="E98" s="409">
        <f t="shared" si="2"/>
        <v>123</v>
      </c>
      <c r="F98" s="410">
        <f t="shared" si="3"/>
        <v>3.9060019053667829E-2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612</v>
      </c>
      <c r="C99" s="414">
        <v>70581</v>
      </c>
      <c r="D99" s="414">
        <v>76145</v>
      </c>
      <c r="E99" s="409">
        <f t="shared" si="2"/>
        <v>5564</v>
      </c>
      <c r="F99" s="410">
        <f t="shared" si="3"/>
        <v>7.883141355322254E-2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613</v>
      </c>
      <c r="C100" s="381">
        <f>SUM(C95:C99)</f>
        <v>155600</v>
      </c>
      <c r="D100" s="381">
        <f>SUM(D95:D99)</f>
        <v>151379</v>
      </c>
      <c r="E100" s="401">
        <f t="shared" si="2"/>
        <v>-4221</v>
      </c>
      <c r="F100" s="402">
        <f t="shared" si="3"/>
        <v>-2.7127249357326477E-2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614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615</v>
      </c>
      <c r="C104" s="416">
        <v>284.10000000000002</v>
      </c>
      <c r="D104" s="416">
        <v>276.39999999999998</v>
      </c>
      <c r="E104" s="417">
        <f>+D104-C104</f>
        <v>-7.7000000000000455</v>
      </c>
      <c r="F104" s="410">
        <f>IF(C104=0,0,+E104/C104)</f>
        <v>-2.7103132699753767E-2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616</v>
      </c>
      <c r="C105" s="416">
        <v>5.6</v>
      </c>
      <c r="D105" s="416">
        <v>5</v>
      </c>
      <c r="E105" s="417">
        <f>+D105-C105</f>
        <v>-0.59999999999999964</v>
      </c>
      <c r="F105" s="410">
        <f>IF(C105=0,0,+E105/C105)</f>
        <v>-0.10714285714285708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617</v>
      </c>
      <c r="C106" s="416">
        <v>517</v>
      </c>
      <c r="D106" s="416">
        <v>502.5</v>
      </c>
      <c r="E106" s="417">
        <f>+D106-C106</f>
        <v>-14.5</v>
      </c>
      <c r="F106" s="410">
        <f>IF(C106=0,0,+E106/C106)</f>
        <v>-2.8046421663442941E-2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618</v>
      </c>
      <c r="C107" s="418">
        <f>SUM(C104:C106)</f>
        <v>806.7</v>
      </c>
      <c r="D107" s="418">
        <f>SUM(D104:D106)</f>
        <v>783.9</v>
      </c>
      <c r="E107" s="418">
        <f>+D107-C107</f>
        <v>-22.800000000000068</v>
      </c>
      <c r="F107" s="402">
        <f>IF(C107=0,0,+E107/C107)</f>
        <v>-2.8263294905169292E-2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FILING&amp;RDAY KIMBALL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619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583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620</v>
      </c>
      <c r="C12" s="409">
        <v>2872</v>
      </c>
      <c r="D12" s="409">
        <v>3008</v>
      </c>
      <c r="E12" s="409">
        <f>+D12-C12</f>
        <v>136</v>
      </c>
      <c r="F12" s="410">
        <f>IF(C12=0,0,+E12/C12)</f>
        <v>4.7353760445682451E-2</v>
      </c>
    </row>
    <row r="13" spans="1:6" ht="15.75" customHeight="1" x14ac:dyDescent="0.25">
      <c r="A13" s="374"/>
      <c r="B13" s="399" t="s">
        <v>621</v>
      </c>
      <c r="C13" s="401">
        <f>SUM(C11:C12)</f>
        <v>2872</v>
      </c>
      <c r="D13" s="401">
        <f>SUM(D11:D12)</f>
        <v>3008</v>
      </c>
      <c r="E13" s="401">
        <f>+D13-C13</f>
        <v>136</v>
      </c>
      <c r="F13" s="402">
        <f>IF(C13=0,0,+E13/C13)</f>
        <v>4.7353760445682451E-2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587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620</v>
      </c>
      <c r="C16" s="409">
        <v>940</v>
      </c>
      <c r="D16" s="409">
        <v>923</v>
      </c>
      <c r="E16" s="409">
        <f>+D16-C16</f>
        <v>-17</v>
      </c>
      <c r="F16" s="410">
        <f>IF(C16=0,0,+E16/C16)</f>
        <v>-1.8085106382978722E-2</v>
      </c>
    </row>
    <row r="17" spans="1:6" ht="15.75" customHeight="1" x14ac:dyDescent="0.25">
      <c r="A17" s="374"/>
      <c r="B17" s="399" t="s">
        <v>622</v>
      </c>
      <c r="C17" s="401">
        <f>SUM(C15:C16)</f>
        <v>940</v>
      </c>
      <c r="D17" s="401">
        <f>SUM(D15:D16)</f>
        <v>923</v>
      </c>
      <c r="E17" s="401">
        <f>+D17-C17</f>
        <v>-17</v>
      </c>
      <c r="F17" s="402">
        <f>IF(C17=0,0,+E17/C17)</f>
        <v>-1.8085106382978722E-2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620</v>
      </c>
      <c r="C20" s="409">
        <v>21491</v>
      </c>
      <c r="D20" s="409">
        <v>23609</v>
      </c>
      <c r="E20" s="409">
        <f>+D20-C20</f>
        <v>2118</v>
      </c>
      <c r="F20" s="410">
        <f>IF(C20=0,0,+E20/C20)</f>
        <v>9.8552882602019456E-2</v>
      </c>
    </row>
    <row r="21" spans="1:6" ht="15.75" customHeight="1" x14ac:dyDescent="0.25">
      <c r="A21" s="374"/>
      <c r="B21" s="399" t="s">
        <v>624</v>
      </c>
      <c r="C21" s="401">
        <f>SUM(C19:C20)</f>
        <v>21491</v>
      </c>
      <c r="D21" s="401">
        <f>SUM(D19:D20)</f>
        <v>23609</v>
      </c>
      <c r="E21" s="401">
        <f>+D21-C21</f>
        <v>2118</v>
      </c>
      <c r="F21" s="402">
        <f>IF(C21=0,0,+E21/C21)</f>
        <v>9.8552882602019456E-2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625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626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627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FILING&amp;RDAY KIMBALL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33963600</v>
      </c>
      <c r="D15" s="448">
        <v>34007234</v>
      </c>
      <c r="E15" s="448">
        <f t="shared" ref="E15:E24" si="0">D15-C15</f>
        <v>43634</v>
      </c>
      <c r="F15" s="449">
        <f t="shared" ref="F15:F24" si="1">IF(C15=0,0,E15/C15)</f>
        <v>1.28472835624021E-3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17499150</v>
      </c>
      <c r="D16" s="448">
        <v>17746030</v>
      </c>
      <c r="E16" s="448">
        <f t="shared" si="0"/>
        <v>246880</v>
      </c>
      <c r="F16" s="449">
        <f t="shared" si="1"/>
        <v>1.4108113822671386E-2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0.51523248418895529</v>
      </c>
      <c r="D17" s="453">
        <f>IF(LN_IA1=0,0,LN_IA2/LN_IA1)</f>
        <v>0.52183103159757127</v>
      </c>
      <c r="E17" s="454">
        <f t="shared" si="0"/>
        <v>6.5985474086159845E-3</v>
      </c>
      <c r="F17" s="449">
        <f t="shared" si="1"/>
        <v>1.2806932037685822E-2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1947</v>
      </c>
      <c r="D18" s="456">
        <v>1804</v>
      </c>
      <c r="E18" s="456">
        <f t="shared" si="0"/>
        <v>-143</v>
      </c>
      <c r="F18" s="449">
        <f t="shared" si="1"/>
        <v>-7.3446327683615822E-2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1.2448999999999999</v>
      </c>
      <c r="D19" s="459">
        <v>1.1778</v>
      </c>
      <c r="E19" s="460">
        <f t="shared" si="0"/>
        <v>-6.7099999999999937E-2</v>
      </c>
      <c r="F19" s="449">
        <f t="shared" si="1"/>
        <v>-5.3899911639489068E-2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2423.8202999999999</v>
      </c>
      <c r="D20" s="463">
        <f>LN_IA4*LN_IA5</f>
        <v>2124.7511999999997</v>
      </c>
      <c r="E20" s="463">
        <f t="shared" si="0"/>
        <v>-299.06910000000016</v>
      </c>
      <c r="F20" s="449">
        <f t="shared" si="1"/>
        <v>-0.12338748875071315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7219.6565067138026</v>
      </c>
      <c r="D21" s="465">
        <f>IF(LN_IA6=0,0,LN_IA2/LN_IA6)</f>
        <v>8352.0508189382381</v>
      </c>
      <c r="E21" s="465">
        <f t="shared" si="0"/>
        <v>1132.3943122244355</v>
      </c>
      <c r="F21" s="449">
        <f t="shared" si="1"/>
        <v>0.15684877960210208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8161</v>
      </c>
      <c r="D22" s="456">
        <v>6738</v>
      </c>
      <c r="E22" s="456">
        <f t="shared" si="0"/>
        <v>-1423</v>
      </c>
      <c r="F22" s="449">
        <f t="shared" si="1"/>
        <v>-0.17436588653351304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2144.2409018502635</v>
      </c>
      <c r="D23" s="465">
        <f>IF(LN_IA8=0,0,LN_IA2/LN_IA8)</f>
        <v>2633.7236568714752</v>
      </c>
      <c r="E23" s="465">
        <f t="shared" si="0"/>
        <v>489.48275502121169</v>
      </c>
      <c r="F23" s="449">
        <f t="shared" si="1"/>
        <v>0.22827787428121415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4.1915767847971237</v>
      </c>
      <c r="D24" s="466">
        <f>IF(LN_IA4=0,0,LN_IA8/LN_IA4)</f>
        <v>3.7350332594235032</v>
      </c>
      <c r="E24" s="466">
        <f t="shared" si="0"/>
        <v>-0.45654352537362053</v>
      </c>
      <c r="F24" s="449">
        <f t="shared" si="1"/>
        <v>-0.10891927997824276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55949118</v>
      </c>
      <c r="D27" s="448">
        <v>57922875</v>
      </c>
      <c r="E27" s="448">
        <f t="shared" ref="E27:E32" si="2">D27-C27</f>
        <v>1973757</v>
      </c>
      <c r="F27" s="449">
        <f t="shared" ref="F27:F32" si="3">IF(C27=0,0,E27/C27)</f>
        <v>3.5277714297480077E-2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22589670</v>
      </c>
      <c r="D28" s="448">
        <v>21980288</v>
      </c>
      <c r="E28" s="448">
        <f t="shared" si="2"/>
        <v>-609382</v>
      </c>
      <c r="F28" s="449">
        <f t="shared" si="3"/>
        <v>-2.6976135552223651E-2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0.40375381788860371</v>
      </c>
      <c r="D29" s="453">
        <f>IF(LN_IA11=0,0,LN_IA12/LN_IA11)</f>
        <v>0.37947508648353523</v>
      </c>
      <c r="E29" s="454">
        <f t="shared" si="2"/>
        <v>-2.4278731405068477E-2</v>
      </c>
      <c r="F29" s="449">
        <f t="shared" si="3"/>
        <v>-6.0132512262130525E-2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1.6473259018478605</v>
      </c>
      <c r="D30" s="453">
        <f>IF(LN_IA1=0,0,LN_IA11/LN_IA1)</f>
        <v>1.7032515787670353</v>
      </c>
      <c r="E30" s="454">
        <f t="shared" si="2"/>
        <v>5.5925676919174716E-2</v>
      </c>
      <c r="F30" s="449">
        <f t="shared" si="3"/>
        <v>3.3949370222638407E-2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3207.3435308977846</v>
      </c>
      <c r="D31" s="463">
        <f>LN_IA14*LN_IA4</f>
        <v>3072.6658480957317</v>
      </c>
      <c r="E31" s="463">
        <f t="shared" si="2"/>
        <v>-134.67768280205291</v>
      </c>
      <c r="F31" s="449">
        <f t="shared" si="3"/>
        <v>-4.1990414031001712E-2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7043.1089723889991</v>
      </c>
      <c r="D32" s="465">
        <f>IF(LN_IA15=0,0,LN_IA12/LN_IA15)</f>
        <v>7153.4911658624278</v>
      </c>
      <c r="E32" s="465">
        <f t="shared" si="2"/>
        <v>110.38219347342874</v>
      </c>
      <c r="F32" s="449">
        <f t="shared" si="3"/>
        <v>1.567236768679265E-2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89912718</v>
      </c>
      <c r="D35" s="448">
        <f>LN_IA1+LN_IA11</f>
        <v>91930109</v>
      </c>
      <c r="E35" s="448">
        <f>D35-C35</f>
        <v>2017391</v>
      </c>
      <c r="F35" s="449">
        <f>IF(C35=0,0,E35/C35)</f>
        <v>2.2437215166824342E-2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40088820</v>
      </c>
      <c r="D36" s="448">
        <f>LN_IA2+LN_IA12</f>
        <v>39726318</v>
      </c>
      <c r="E36" s="448">
        <f>D36-C36</f>
        <v>-362502</v>
      </c>
      <c r="F36" s="449">
        <f>IF(C36=0,0,E36/C36)</f>
        <v>-9.0424711927165734E-3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49823898</v>
      </c>
      <c r="D37" s="448">
        <f>LN_IA17-LN_IA18</f>
        <v>52203791</v>
      </c>
      <c r="E37" s="448">
        <f>D37-C37</f>
        <v>2379893</v>
      </c>
      <c r="F37" s="449">
        <f>IF(C37=0,0,E37/C37)</f>
        <v>4.7766094094042984E-2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15604585</v>
      </c>
      <c r="D42" s="448">
        <v>15277989</v>
      </c>
      <c r="E42" s="448">
        <f t="shared" ref="E42:E53" si="4">D42-C42</f>
        <v>-326596</v>
      </c>
      <c r="F42" s="449">
        <f t="shared" ref="F42:F53" si="5">IF(C42=0,0,E42/C42)</f>
        <v>-2.0929489633976169E-2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8770228</v>
      </c>
      <c r="D43" s="448">
        <v>8870442</v>
      </c>
      <c r="E43" s="448">
        <f t="shared" si="4"/>
        <v>100214</v>
      </c>
      <c r="F43" s="449">
        <f t="shared" si="5"/>
        <v>1.1426612854306639E-2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0.56202891650114373</v>
      </c>
      <c r="D44" s="453">
        <f>IF(LN_IB1=0,0,LN_IB2/LN_IB1)</f>
        <v>0.58060272199436724</v>
      </c>
      <c r="E44" s="454">
        <f t="shared" si="4"/>
        <v>1.8573805493223516E-2</v>
      </c>
      <c r="F44" s="449">
        <f t="shared" si="5"/>
        <v>3.3047775564383652E-2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1099</v>
      </c>
      <c r="D45" s="456">
        <v>1728</v>
      </c>
      <c r="E45" s="456">
        <f t="shared" si="4"/>
        <v>629</v>
      </c>
      <c r="F45" s="449">
        <f t="shared" si="5"/>
        <v>0.5723384895359418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0.95760000000000001</v>
      </c>
      <c r="D46" s="459">
        <v>0.96589999999999998</v>
      </c>
      <c r="E46" s="460">
        <f t="shared" si="4"/>
        <v>8.2999999999999741E-3</v>
      </c>
      <c r="F46" s="449">
        <f t="shared" si="5"/>
        <v>8.6675020885546936E-3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1052.4023999999999</v>
      </c>
      <c r="D47" s="463">
        <f>LN_IB4*LN_IB5</f>
        <v>1669.0752</v>
      </c>
      <c r="E47" s="463">
        <f t="shared" si="4"/>
        <v>616.67280000000005</v>
      </c>
      <c r="F47" s="449">
        <f t="shared" si="5"/>
        <v>0.58596673667790955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8333.5309763641744</v>
      </c>
      <c r="D48" s="465">
        <f>IF(LN_IB6=0,0,LN_IB2/LN_IB6)</f>
        <v>5314.5849869436679</v>
      </c>
      <c r="E48" s="465">
        <f t="shared" si="4"/>
        <v>-3018.9459894205065</v>
      </c>
      <c r="F48" s="449">
        <f t="shared" si="5"/>
        <v>-0.36226492683388795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-1113.8744696503718</v>
      </c>
      <c r="D49" s="465">
        <f>LN_IA7-LN_IB7</f>
        <v>3037.4658319945702</v>
      </c>
      <c r="E49" s="465">
        <f t="shared" si="4"/>
        <v>4151.340301644942</v>
      </c>
      <c r="F49" s="449">
        <f t="shared" si="5"/>
        <v>-3.7269372938837395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-1172244.1651587784</v>
      </c>
      <c r="D50" s="479">
        <f>LN_IB8*LN_IB6</f>
        <v>5069758.8910295032</v>
      </c>
      <c r="E50" s="479">
        <f t="shared" si="4"/>
        <v>6242003.0561882816</v>
      </c>
      <c r="F50" s="449">
        <f t="shared" si="5"/>
        <v>-5.3248318411060831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3481</v>
      </c>
      <c r="D51" s="456">
        <v>6454</v>
      </c>
      <c r="E51" s="456">
        <f t="shared" si="4"/>
        <v>2973</v>
      </c>
      <c r="F51" s="449">
        <f t="shared" si="5"/>
        <v>0.85406492387245048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2519.4564780235564</v>
      </c>
      <c r="D52" s="465">
        <f>IF(LN_IB10=0,0,LN_IB2/LN_IB10)</f>
        <v>1374.409978308026</v>
      </c>
      <c r="E52" s="465">
        <f t="shared" si="4"/>
        <v>-1145.0464997155304</v>
      </c>
      <c r="F52" s="449">
        <f t="shared" si="5"/>
        <v>-0.45448155572577603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3.167424931756142</v>
      </c>
      <c r="D53" s="466">
        <f>IF(LN_IB4=0,0,LN_IB10/LN_IB4)</f>
        <v>3.7349537037037037</v>
      </c>
      <c r="E53" s="466">
        <f t="shared" si="4"/>
        <v>0.56752877194756168</v>
      </c>
      <c r="F53" s="449">
        <f t="shared" si="5"/>
        <v>0.17917670794897164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66124165</v>
      </c>
      <c r="D56" s="448">
        <v>66736238</v>
      </c>
      <c r="E56" s="448">
        <f t="shared" ref="E56:E63" si="6">D56-C56</f>
        <v>612073</v>
      </c>
      <c r="F56" s="449">
        <f t="shared" ref="F56:F63" si="7">IF(C56=0,0,E56/C56)</f>
        <v>9.2564193438208261E-3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38249692</v>
      </c>
      <c r="D57" s="448">
        <v>39411196</v>
      </c>
      <c r="E57" s="448">
        <f t="shared" si="6"/>
        <v>1161504</v>
      </c>
      <c r="F57" s="449">
        <f t="shared" si="7"/>
        <v>3.0366362165739791E-2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0.57845255210406055</v>
      </c>
      <c r="D58" s="453">
        <f>IF(LN_IB13=0,0,LN_IB14/LN_IB13)</f>
        <v>0.59055165800625442</v>
      </c>
      <c r="E58" s="454">
        <f t="shared" si="6"/>
        <v>1.2099105902193874E-2</v>
      </c>
      <c r="F58" s="449">
        <f t="shared" si="7"/>
        <v>2.0916332477373716E-2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4.2374830859007142</v>
      </c>
      <c r="D59" s="453">
        <f>IF(LN_IB1=0,0,LN_IB13/LN_IB1)</f>
        <v>4.3681297322573016</v>
      </c>
      <c r="E59" s="454">
        <f t="shared" si="6"/>
        <v>0.1306466463565874</v>
      </c>
      <c r="F59" s="449">
        <f t="shared" si="7"/>
        <v>3.0831190050359177E-2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4656.9939114048848</v>
      </c>
      <c r="D60" s="463">
        <f>LN_IB16*LN_IB4</f>
        <v>7548.1281773406172</v>
      </c>
      <c r="E60" s="463">
        <f t="shared" si="6"/>
        <v>2891.1342659357324</v>
      </c>
      <c r="F60" s="449">
        <f t="shared" si="7"/>
        <v>0.62081555633031915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8213.3867313691935</v>
      </c>
      <c r="D61" s="465">
        <f>IF(LN_IB17=0,0,LN_IB14/LN_IB17)</f>
        <v>5221.3204484671969</v>
      </c>
      <c r="E61" s="465">
        <f t="shared" si="6"/>
        <v>-2992.0662829019966</v>
      </c>
      <c r="F61" s="449">
        <f t="shared" si="7"/>
        <v>-0.36429141604576692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-1170.2777589801944</v>
      </c>
      <c r="D62" s="465">
        <f>LN_IA16-LN_IB18</f>
        <v>1932.1707173952309</v>
      </c>
      <c r="E62" s="465">
        <f t="shared" si="6"/>
        <v>3102.4484763754253</v>
      </c>
      <c r="F62" s="449">
        <f t="shared" si="7"/>
        <v>-2.6510360062545892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-5449976.3982233191</v>
      </c>
      <c r="D63" s="448">
        <f>LN_IB19*LN_IB17</f>
        <v>14584272.235403378</v>
      </c>
      <c r="E63" s="448">
        <f t="shared" si="6"/>
        <v>20034248.633626696</v>
      </c>
      <c r="F63" s="449">
        <f t="shared" si="7"/>
        <v>-3.67602484299892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81728750</v>
      </c>
      <c r="D66" s="448">
        <f>LN_IB1+LN_IB13</f>
        <v>82014227</v>
      </c>
      <c r="E66" s="448">
        <f>D66-C66</f>
        <v>285477</v>
      </c>
      <c r="F66" s="449">
        <f>IF(C66=0,0,E66/C66)</f>
        <v>3.492981356009972E-3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47019920</v>
      </c>
      <c r="D67" s="448">
        <f>LN_IB2+LN_IB14</f>
        <v>48281638</v>
      </c>
      <c r="E67" s="448">
        <f>D67-C67</f>
        <v>1261718</v>
      </c>
      <c r="F67" s="449">
        <f>IF(C67=0,0,E67/C67)</f>
        <v>2.6833690912277181E-2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34708830</v>
      </c>
      <c r="D68" s="448">
        <f>LN_IB21-LN_IB22</f>
        <v>33732589</v>
      </c>
      <c r="E68" s="448">
        <f>D68-C68</f>
        <v>-976241</v>
      </c>
      <c r="F68" s="449">
        <f>IF(C68=0,0,E68/C68)</f>
        <v>-2.8126589112914494E-2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-6622220.5633820975</v>
      </c>
      <c r="D70" s="441">
        <f>LN_IB9+LN_IB20</f>
        <v>19654031.126432881</v>
      </c>
      <c r="E70" s="448">
        <f>D70-C70</f>
        <v>26276251.689814977</v>
      </c>
      <c r="F70" s="449">
        <f>IF(C70=0,0,E70/C70)</f>
        <v>-3.9678913497854231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81728750</v>
      </c>
      <c r="D73" s="488">
        <v>82014227</v>
      </c>
      <c r="E73" s="488">
        <f>D73-C73</f>
        <v>285477</v>
      </c>
      <c r="F73" s="489">
        <f>IF(C73=0,0,E73/C73)</f>
        <v>3.492981356009972E-3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47019920</v>
      </c>
      <c r="D74" s="488">
        <v>48281638</v>
      </c>
      <c r="E74" s="488">
        <f>D74-C74</f>
        <v>1261718</v>
      </c>
      <c r="F74" s="489">
        <f>IF(C74=0,0,E74/C74)</f>
        <v>2.6833690912277181E-2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34708830</v>
      </c>
      <c r="D76" s="441">
        <f>LN_IB32-LN_IB33</f>
        <v>33732589</v>
      </c>
      <c r="E76" s="488">
        <f>D76-C76</f>
        <v>-976241</v>
      </c>
      <c r="F76" s="489">
        <f>IF(E76=0,0,E76/C76)</f>
        <v>-2.8126589112914494E-2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0.42468323570347033</v>
      </c>
      <c r="D77" s="453">
        <f>IF(LN_IB32=0,0,LN_IB34/LN_IB32)</f>
        <v>0.41130167574462417</v>
      </c>
      <c r="E77" s="493">
        <f>D77-C77</f>
        <v>-1.3381559958846156E-2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856999</v>
      </c>
      <c r="D83" s="448">
        <v>470731</v>
      </c>
      <c r="E83" s="448">
        <f t="shared" ref="E83:E95" si="8">D83-C83</f>
        <v>-386268</v>
      </c>
      <c r="F83" s="449">
        <f t="shared" ref="F83:F95" si="9">IF(C83=0,0,E83/C83)</f>
        <v>-0.45072164611627319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38867</v>
      </c>
      <c r="D84" s="448">
        <v>5560</v>
      </c>
      <c r="E84" s="448">
        <f t="shared" si="8"/>
        <v>-33307</v>
      </c>
      <c r="F84" s="449">
        <f t="shared" si="9"/>
        <v>-0.85694805361875115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4.5352444985350043E-2</v>
      </c>
      <c r="D85" s="453">
        <f>IF(LN_IC1=0,0,LN_IC2/LN_IC1)</f>
        <v>1.1811416711455162E-2</v>
      </c>
      <c r="E85" s="454">
        <f t="shared" si="8"/>
        <v>-3.354102827389488E-2</v>
      </c>
      <c r="F85" s="449">
        <f t="shared" si="9"/>
        <v>-0.73956383795249536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59</v>
      </c>
      <c r="D86" s="456">
        <v>61</v>
      </c>
      <c r="E86" s="456">
        <f t="shared" si="8"/>
        <v>2</v>
      </c>
      <c r="F86" s="449">
        <f t="shared" si="9"/>
        <v>3.3898305084745763E-2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0.89780000000000004</v>
      </c>
      <c r="D87" s="459">
        <v>0.88460000000000005</v>
      </c>
      <c r="E87" s="460">
        <f t="shared" si="8"/>
        <v>-1.319999999999999E-2</v>
      </c>
      <c r="F87" s="449">
        <f t="shared" si="9"/>
        <v>-1.4702606371129415E-2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52.970200000000006</v>
      </c>
      <c r="D88" s="463">
        <f>LN_IC4*LN_IC5</f>
        <v>53.960600000000007</v>
      </c>
      <c r="E88" s="463">
        <f t="shared" si="8"/>
        <v>0.99040000000000106</v>
      </c>
      <c r="F88" s="449">
        <f t="shared" si="9"/>
        <v>1.869730527730688E-2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733.75218519091857</v>
      </c>
      <c r="D89" s="465">
        <f>IF(LN_IC6=0,0,LN_IC2/LN_IC6)</f>
        <v>103.03814264481862</v>
      </c>
      <c r="E89" s="465">
        <f t="shared" si="8"/>
        <v>-630.7140425460999</v>
      </c>
      <c r="F89" s="449">
        <f t="shared" si="9"/>
        <v>-0.85957364799123748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7599.7787911732557</v>
      </c>
      <c r="D90" s="465">
        <f>LN_IB7-LN_IC7</f>
        <v>5211.5468442988495</v>
      </c>
      <c r="E90" s="465">
        <f t="shared" si="8"/>
        <v>-2388.2319468744063</v>
      </c>
      <c r="F90" s="449">
        <f t="shared" si="9"/>
        <v>-0.31425019234088925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6485.9043215228839</v>
      </c>
      <c r="D91" s="465">
        <f>LN_IA7-LN_IC7</f>
        <v>8249.0126762934196</v>
      </c>
      <c r="E91" s="465">
        <f t="shared" si="8"/>
        <v>1763.1083547705357</v>
      </c>
      <c r="F91" s="449">
        <f t="shared" si="9"/>
        <v>0.27183693550948956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343559.64909193153</v>
      </c>
      <c r="D92" s="441">
        <f>LN_IC9*LN_IC6</f>
        <v>445121.67342039873</v>
      </c>
      <c r="E92" s="441">
        <f t="shared" si="8"/>
        <v>101562.0243284672</v>
      </c>
      <c r="F92" s="449">
        <f t="shared" si="9"/>
        <v>0.29561685895566475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208</v>
      </c>
      <c r="D93" s="456">
        <v>226</v>
      </c>
      <c r="E93" s="456">
        <f t="shared" si="8"/>
        <v>18</v>
      </c>
      <c r="F93" s="449">
        <f t="shared" si="9"/>
        <v>8.6538461538461536E-2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186.86057692307693</v>
      </c>
      <c r="D94" s="499">
        <f>IF(LN_IC11=0,0,LN_IC2/LN_IC11)</f>
        <v>24.601769911504423</v>
      </c>
      <c r="E94" s="499">
        <f t="shared" si="8"/>
        <v>-162.25880701157251</v>
      </c>
      <c r="F94" s="449">
        <f t="shared" si="9"/>
        <v>-0.86834157147212498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3.5254237288135593</v>
      </c>
      <c r="D95" s="466">
        <f>IF(LN_IC4=0,0,LN_IC11/LN_IC4)</f>
        <v>3.7049180327868854</v>
      </c>
      <c r="E95" s="466">
        <f t="shared" si="8"/>
        <v>0.17949430397332611</v>
      </c>
      <c r="F95" s="449">
        <f t="shared" si="9"/>
        <v>5.0914249684741543E-2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3119256</v>
      </c>
      <c r="D98" s="448">
        <v>2526291</v>
      </c>
      <c r="E98" s="448">
        <f t="shared" ref="E98:E106" si="10">D98-C98</f>
        <v>-592965</v>
      </c>
      <c r="F98" s="449">
        <f t="shared" ref="F98:F106" si="11">IF(C98=0,0,E98/C98)</f>
        <v>-0.19009821572836599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212431</v>
      </c>
      <c r="D99" s="448">
        <v>30774</v>
      </c>
      <c r="E99" s="448">
        <f t="shared" si="10"/>
        <v>-181657</v>
      </c>
      <c r="F99" s="449">
        <f t="shared" si="11"/>
        <v>-0.85513413767293855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6.8103098944107182E-2</v>
      </c>
      <c r="D100" s="453">
        <f>IF(LN_IC14=0,0,LN_IC15/LN_IC14)</f>
        <v>1.2181494530915084E-2</v>
      </c>
      <c r="E100" s="454">
        <f t="shared" si="10"/>
        <v>-5.5921604413192098E-2</v>
      </c>
      <c r="F100" s="449">
        <f t="shared" si="11"/>
        <v>-0.82113156787604413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3.6397428701783783</v>
      </c>
      <c r="D101" s="453">
        <f>IF(LN_IC1=0,0,LN_IC14/LN_IC1)</f>
        <v>5.3667402401796354</v>
      </c>
      <c r="E101" s="454">
        <f t="shared" si="10"/>
        <v>1.7269973700012571</v>
      </c>
      <c r="F101" s="449">
        <f t="shared" si="11"/>
        <v>0.47448334445576357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214.74482934052432</v>
      </c>
      <c r="D102" s="463">
        <f>LN_IC17*LN_IC4</f>
        <v>327.37115465095775</v>
      </c>
      <c r="E102" s="463">
        <f t="shared" si="10"/>
        <v>112.62632531043343</v>
      </c>
      <c r="F102" s="449">
        <f t="shared" si="11"/>
        <v>0.52446583070850128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989.22521511865955</v>
      </c>
      <c r="D103" s="465">
        <f>IF(LN_IC18=0,0,LN_IC15/LN_IC18)</f>
        <v>94.003395115281791</v>
      </c>
      <c r="E103" s="465">
        <f t="shared" si="10"/>
        <v>-895.22182000337773</v>
      </c>
      <c r="F103" s="449">
        <f t="shared" si="11"/>
        <v>-0.90497270623656123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7224.1615162505341</v>
      </c>
      <c r="D104" s="465">
        <f>LN_IB18-LN_IC19</f>
        <v>5127.3170533519151</v>
      </c>
      <c r="E104" s="465">
        <f t="shared" si="10"/>
        <v>-2096.844462898619</v>
      </c>
      <c r="F104" s="449">
        <f t="shared" si="11"/>
        <v>-0.29025437183011904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6053.8837572703396</v>
      </c>
      <c r="D105" s="465">
        <f>LN_IA16-LN_IC19</f>
        <v>7059.487770747146</v>
      </c>
      <c r="E105" s="465">
        <f t="shared" si="10"/>
        <v>1005.6040134768064</v>
      </c>
      <c r="F105" s="449">
        <f t="shared" si="11"/>
        <v>0.16610890690940971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1300040.2343023913</v>
      </c>
      <c r="D106" s="448">
        <f>LN_IC21*LN_IC18</f>
        <v>2311072.6627538088</v>
      </c>
      <c r="E106" s="448">
        <f t="shared" si="10"/>
        <v>1011032.4284514175</v>
      </c>
      <c r="F106" s="449">
        <f t="shared" si="11"/>
        <v>0.77769318346823546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3976255</v>
      </c>
      <c r="D109" s="448">
        <f>LN_IC1+LN_IC14</f>
        <v>2997022</v>
      </c>
      <c r="E109" s="448">
        <f>D109-C109</f>
        <v>-979233</v>
      </c>
      <c r="F109" s="449">
        <f>IF(C109=0,0,E109/C109)</f>
        <v>-0.24627017130440579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251298</v>
      </c>
      <c r="D110" s="448">
        <f>LN_IC2+LN_IC15</f>
        <v>36334</v>
      </c>
      <c r="E110" s="448">
        <f>D110-C110</f>
        <v>-214964</v>
      </c>
      <c r="F110" s="449">
        <f>IF(C110=0,0,E110/C110)</f>
        <v>-0.85541468694537959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3724957</v>
      </c>
      <c r="D111" s="448">
        <f>LN_IC23-LN_IC24</f>
        <v>2960688</v>
      </c>
      <c r="E111" s="448">
        <f>D111-C111</f>
        <v>-764269</v>
      </c>
      <c r="F111" s="449">
        <f>IF(C111=0,0,E111/C111)</f>
        <v>-0.20517525437206388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1643599.8833943228</v>
      </c>
      <c r="D113" s="448">
        <f>LN_IC10+LN_IC22</f>
        <v>2756194.3361742077</v>
      </c>
      <c r="E113" s="448">
        <f>D113-C113</f>
        <v>1112594.4527798849</v>
      </c>
      <c r="F113" s="449">
        <f>IF(C113=0,0,E113/C113)</f>
        <v>0.67692536609468579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13894334</v>
      </c>
      <c r="D118" s="448">
        <v>14754235</v>
      </c>
      <c r="E118" s="448">
        <f t="shared" ref="E118:E130" si="12">D118-C118</f>
        <v>859901</v>
      </c>
      <c r="F118" s="449">
        <f t="shared" ref="F118:F130" si="13">IF(C118=0,0,E118/C118)</f>
        <v>6.1888608694738445E-2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4809984</v>
      </c>
      <c r="D119" s="448">
        <v>6289360</v>
      </c>
      <c r="E119" s="448">
        <f t="shared" si="12"/>
        <v>1479376</v>
      </c>
      <c r="F119" s="449">
        <f t="shared" si="13"/>
        <v>0.30756360104316355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0.34618312759719178</v>
      </c>
      <c r="D120" s="453">
        <f>IF(LN_ID1=0,0,LN_1D2/LN_ID1)</f>
        <v>0.42627489666526253</v>
      </c>
      <c r="E120" s="454">
        <f t="shared" si="12"/>
        <v>8.0091769068070751E-2</v>
      </c>
      <c r="F120" s="449">
        <f t="shared" si="13"/>
        <v>0.23135665109959697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1265</v>
      </c>
      <c r="D121" s="456">
        <v>948</v>
      </c>
      <c r="E121" s="456">
        <f t="shared" si="12"/>
        <v>-317</v>
      </c>
      <c r="F121" s="449">
        <f t="shared" si="13"/>
        <v>-0.25059288537549407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0.89239999999999997</v>
      </c>
      <c r="D122" s="459">
        <v>0.89770000000000005</v>
      </c>
      <c r="E122" s="460">
        <f t="shared" si="12"/>
        <v>5.3000000000000824E-3</v>
      </c>
      <c r="F122" s="449">
        <f t="shared" si="13"/>
        <v>5.9390407888840011E-3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1128.886</v>
      </c>
      <c r="D123" s="463">
        <f>LN_ID4*LN_ID5</f>
        <v>851.01960000000008</v>
      </c>
      <c r="E123" s="463">
        <f t="shared" si="12"/>
        <v>-277.86639999999989</v>
      </c>
      <c r="F123" s="449">
        <f t="shared" si="13"/>
        <v>-0.24614212595425924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4260.823502107387</v>
      </c>
      <c r="D124" s="465">
        <f>IF(LN_ID6=0,0,LN_1D2/LN_ID6)</f>
        <v>7390.382078156601</v>
      </c>
      <c r="E124" s="465">
        <f t="shared" si="12"/>
        <v>3129.558576049214</v>
      </c>
      <c r="F124" s="449">
        <f t="shared" si="13"/>
        <v>0.73449617767582875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4072.7074742567875</v>
      </c>
      <c r="D125" s="465">
        <f>LN_IB7-LN_ID7</f>
        <v>-2075.7970912129331</v>
      </c>
      <c r="E125" s="465">
        <f t="shared" si="12"/>
        <v>-6148.5045654697205</v>
      </c>
      <c r="F125" s="449">
        <f t="shared" si="13"/>
        <v>-1.5096847991990237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2958.8330046064157</v>
      </c>
      <c r="D126" s="465">
        <f>LN_IA7-LN_ID7</f>
        <v>961.6687407816371</v>
      </c>
      <c r="E126" s="465">
        <f t="shared" si="12"/>
        <v>-1997.1642638247786</v>
      </c>
      <c r="F126" s="449">
        <f t="shared" si="13"/>
        <v>-0.67498377256016906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3340185.155238118</v>
      </c>
      <c r="D127" s="479">
        <f>LN_ID9*LN_ID6</f>
        <v>818398.94711249252</v>
      </c>
      <c r="E127" s="479">
        <f t="shared" si="12"/>
        <v>-2521786.2081256257</v>
      </c>
      <c r="F127" s="449">
        <f t="shared" si="13"/>
        <v>-0.75498395775184224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4430</v>
      </c>
      <c r="D128" s="456">
        <v>3538</v>
      </c>
      <c r="E128" s="456">
        <f t="shared" si="12"/>
        <v>-892</v>
      </c>
      <c r="F128" s="449">
        <f t="shared" si="13"/>
        <v>-0.20135440180586908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1085.7751693002258</v>
      </c>
      <c r="D129" s="465">
        <f>IF(LN_ID11=0,0,LN_1D2/LN_ID11)</f>
        <v>1777.6596947427925</v>
      </c>
      <c r="E129" s="465">
        <f t="shared" si="12"/>
        <v>691.88452544256666</v>
      </c>
      <c r="F129" s="449">
        <f t="shared" si="13"/>
        <v>0.63722632917501809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3.5019762845849804</v>
      </c>
      <c r="D130" s="466">
        <f>IF(LN_ID4=0,0,LN_ID11/LN_ID4)</f>
        <v>3.7320675105485233</v>
      </c>
      <c r="E130" s="466">
        <f t="shared" si="12"/>
        <v>0.23009122596354281</v>
      </c>
      <c r="F130" s="449">
        <f t="shared" si="13"/>
        <v>6.5703250754826553E-2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30013739</v>
      </c>
      <c r="D133" s="448">
        <v>34689078</v>
      </c>
      <c r="E133" s="448">
        <f t="shared" ref="E133:E141" si="14">D133-C133</f>
        <v>4675339</v>
      </c>
      <c r="F133" s="449">
        <f t="shared" ref="F133:F141" si="15">IF(C133=0,0,E133/C133)</f>
        <v>0.155773294356961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11542331</v>
      </c>
      <c r="D134" s="448">
        <v>10627679</v>
      </c>
      <c r="E134" s="448">
        <f t="shared" si="14"/>
        <v>-914652</v>
      </c>
      <c r="F134" s="449">
        <f t="shared" si="15"/>
        <v>-7.9243265506768093E-2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0.38456824722837762</v>
      </c>
      <c r="D135" s="453">
        <f>IF(LN_ID14=0,0,LN_ID15/LN_ID14)</f>
        <v>0.3063696014059526</v>
      </c>
      <c r="E135" s="454">
        <f t="shared" si="14"/>
        <v>-7.8198645822425028E-2</v>
      </c>
      <c r="F135" s="449">
        <f t="shared" si="15"/>
        <v>-0.20334140009220886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2.1601423285203882</v>
      </c>
      <c r="D136" s="453">
        <f>IF(LN_ID1=0,0,LN_ID14/LN_ID1)</f>
        <v>2.3511268459530434</v>
      </c>
      <c r="E136" s="454">
        <f t="shared" si="14"/>
        <v>0.19098451743265521</v>
      </c>
      <c r="F136" s="449">
        <f t="shared" si="15"/>
        <v>8.841293229204579E-2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2732.580045578291</v>
      </c>
      <c r="D137" s="463">
        <f>LN_ID17*LN_ID4</f>
        <v>2228.8682499634851</v>
      </c>
      <c r="E137" s="463">
        <f t="shared" si="14"/>
        <v>-503.71179561480585</v>
      </c>
      <c r="F137" s="449">
        <f t="shared" si="15"/>
        <v>-0.18433560489102022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4223.9681207791728</v>
      </c>
      <c r="D138" s="465">
        <f>IF(LN_ID18=0,0,LN_ID15/LN_ID18)</f>
        <v>4768.1952489448895</v>
      </c>
      <c r="E138" s="465">
        <f t="shared" si="14"/>
        <v>544.22712816571675</v>
      </c>
      <c r="F138" s="449">
        <f t="shared" si="15"/>
        <v>0.12884262205684593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3989.4186105900208</v>
      </c>
      <c r="D139" s="465">
        <f>LN_IB18-LN_ID19</f>
        <v>453.12519952230741</v>
      </c>
      <c r="E139" s="465">
        <f t="shared" si="14"/>
        <v>-3536.2934110677134</v>
      </c>
      <c r="F139" s="449">
        <f t="shared" si="15"/>
        <v>-0.88641823690312316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2819.1408516098263</v>
      </c>
      <c r="D140" s="465">
        <f>LN_IA16-LN_ID19</f>
        <v>2385.2959169175383</v>
      </c>
      <c r="E140" s="465">
        <f t="shared" si="14"/>
        <v>-433.84493469228801</v>
      </c>
      <c r="F140" s="449">
        <f t="shared" si="15"/>
        <v>-0.15389260683606767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7703528.0367836012</v>
      </c>
      <c r="D141" s="441">
        <f>LN_ID21*LN_ID18</f>
        <v>5316510.3359850403</v>
      </c>
      <c r="E141" s="441">
        <f t="shared" si="14"/>
        <v>-2387017.7007985609</v>
      </c>
      <c r="F141" s="449">
        <f t="shared" si="15"/>
        <v>-0.30986032495770538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43908073</v>
      </c>
      <c r="D144" s="448">
        <f>LN_ID1+LN_ID14</f>
        <v>49443313</v>
      </c>
      <c r="E144" s="448">
        <f>D144-C144</f>
        <v>5535240</v>
      </c>
      <c r="F144" s="449">
        <f>IF(C144=0,0,E144/C144)</f>
        <v>0.126064288906507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16352315</v>
      </c>
      <c r="D145" s="448">
        <f>LN_1D2+LN_ID15</f>
        <v>16917039</v>
      </c>
      <c r="E145" s="448">
        <f>D145-C145</f>
        <v>564724</v>
      </c>
      <c r="F145" s="449">
        <f>IF(C145=0,0,E145/C145)</f>
        <v>3.4534804399254784E-2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27555758</v>
      </c>
      <c r="D146" s="448">
        <f>LN_ID23-LN_ID24</f>
        <v>32526274</v>
      </c>
      <c r="E146" s="448">
        <f>D146-C146</f>
        <v>4970516</v>
      </c>
      <c r="F146" s="449">
        <f>IF(C146=0,0,E146/C146)</f>
        <v>0.18038030381889694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11043713.19202172</v>
      </c>
      <c r="D148" s="448">
        <f>LN_ID10+LN_ID22</f>
        <v>6134909.2830975326</v>
      </c>
      <c r="E148" s="448">
        <f>D148-C148</f>
        <v>-4908803.9089241875</v>
      </c>
      <c r="F148" s="503">
        <f>IF(C148=0,0,E148/C148)</f>
        <v>-0.44448853601798005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8333.5309763641744</v>
      </c>
      <c r="D160" s="465">
        <f>LN_IB7-LN_IE7</f>
        <v>5314.5849869436679</v>
      </c>
      <c r="E160" s="465">
        <f t="shared" si="16"/>
        <v>-3018.9459894205065</v>
      </c>
      <c r="F160" s="449">
        <f t="shared" si="17"/>
        <v>-0.36226492683388795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7219.6565067138026</v>
      </c>
      <c r="D161" s="465">
        <f>LN_IA7-LN_IE7</f>
        <v>8352.0508189382381</v>
      </c>
      <c r="E161" s="465">
        <f t="shared" si="16"/>
        <v>1132.3943122244355</v>
      </c>
      <c r="F161" s="449">
        <f t="shared" si="17"/>
        <v>0.15684877960210208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8213.3867313691935</v>
      </c>
      <c r="D174" s="465">
        <f>LN_IB18-LN_IE19</f>
        <v>5221.3204484671969</v>
      </c>
      <c r="E174" s="465">
        <f t="shared" si="18"/>
        <v>-2992.0662829019966</v>
      </c>
      <c r="F174" s="449">
        <f t="shared" si="19"/>
        <v>-0.36429141604576692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7043.1089723889991</v>
      </c>
      <c r="D175" s="465">
        <f>LN_IA16-LN_IE19</f>
        <v>7153.4911658624278</v>
      </c>
      <c r="E175" s="465">
        <f t="shared" si="18"/>
        <v>110.38219347342874</v>
      </c>
      <c r="F175" s="449">
        <f t="shared" si="19"/>
        <v>1.567236768679265E-2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13894334</v>
      </c>
      <c r="D188" s="448">
        <f>LN_ID1+LN_IE1</f>
        <v>14754235</v>
      </c>
      <c r="E188" s="448">
        <f t="shared" ref="E188:E200" si="20">D188-C188</f>
        <v>859901</v>
      </c>
      <c r="F188" s="449">
        <f t="shared" ref="F188:F200" si="21">IF(C188=0,0,E188/C188)</f>
        <v>6.1888608694738445E-2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4809984</v>
      </c>
      <c r="D189" s="448">
        <f>LN_1D2+LN_IE2</f>
        <v>6289360</v>
      </c>
      <c r="E189" s="448">
        <f t="shared" si="20"/>
        <v>1479376</v>
      </c>
      <c r="F189" s="449">
        <f t="shared" si="21"/>
        <v>0.30756360104316355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0.34618312759719178</v>
      </c>
      <c r="D190" s="453">
        <f>IF(LN_IF1=0,0,LN_IF2/LN_IF1)</f>
        <v>0.42627489666526253</v>
      </c>
      <c r="E190" s="454">
        <f t="shared" si="20"/>
        <v>8.0091769068070751E-2</v>
      </c>
      <c r="F190" s="449">
        <f t="shared" si="21"/>
        <v>0.23135665109959697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1265</v>
      </c>
      <c r="D191" s="456">
        <f>LN_ID4+LN_IE4</f>
        <v>948</v>
      </c>
      <c r="E191" s="456">
        <f t="shared" si="20"/>
        <v>-317</v>
      </c>
      <c r="F191" s="449">
        <f t="shared" si="21"/>
        <v>-0.25059288537549407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0.89239999999999997</v>
      </c>
      <c r="D192" s="459">
        <f>IF((LN_ID4+LN_IE4)=0,0,(LN_ID6+LN_IE6)/(LN_ID4+LN_IE4))</f>
        <v>0.89770000000000005</v>
      </c>
      <c r="E192" s="460">
        <f t="shared" si="20"/>
        <v>5.3000000000000824E-3</v>
      </c>
      <c r="F192" s="449">
        <f t="shared" si="21"/>
        <v>5.9390407888840011E-3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1128.886</v>
      </c>
      <c r="D193" s="463">
        <f>LN_IF4*LN_IF5</f>
        <v>851.01960000000008</v>
      </c>
      <c r="E193" s="463">
        <f t="shared" si="20"/>
        <v>-277.86639999999989</v>
      </c>
      <c r="F193" s="449">
        <f t="shared" si="21"/>
        <v>-0.24614212595425924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4260.823502107387</v>
      </c>
      <c r="D194" s="465">
        <f>IF(LN_IF6=0,0,LN_IF2/LN_IF6)</f>
        <v>7390.382078156601</v>
      </c>
      <c r="E194" s="465">
        <f t="shared" si="20"/>
        <v>3129.558576049214</v>
      </c>
      <c r="F194" s="449">
        <f t="shared" si="21"/>
        <v>0.73449617767582875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4072.7074742567875</v>
      </c>
      <c r="D195" s="465">
        <f>LN_IB7-LN_IF7</f>
        <v>-2075.7970912129331</v>
      </c>
      <c r="E195" s="465">
        <f t="shared" si="20"/>
        <v>-6148.5045654697205</v>
      </c>
      <c r="F195" s="449">
        <f t="shared" si="21"/>
        <v>-1.5096847991990237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2958.8330046064157</v>
      </c>
      <c r="D196" s="465">
        <f>LN_IA7-LN_IF7</f>
        <v>961.6687407816371</v>
      </c>
      <c r="E196" s="465">
        <f t="shared" si="20"/>
        <v>-1997.1642638247786</v>
      </c>
      <c r="F196" s="449">
        <f t="shared" si="21"/>
        <v>-0.67498377256016906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3340185.155238118</v>
      </c>
      <c r="D197" s="479">
        <f>LN_IF9*LN_IF6</f>
        <v>818398.94711249252</v>
      </c>
      <c r="E197" s="479">
        <f t="shared" si="20"/>
        <v>-2521786.2081256257</v>
      </c>
      <c r="F197" s="449">
        <f t="shared" si="21"/>
        <v>-0.75498395775184224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4430</v>
      </c>
      <c r="D198" s="456">
        <f>LN_ID11+LN_IE11</f>
        <v>3538</v>
      </c>
      <c r="E198" s="456">
        <f t="shared" si="20"/>
        <v>-892</v>
      </c>
      <c r="F198" s="449">
        <f t="shared" si="21"/>
        <v>-0.20135440180586908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1085.7751693002258</v>
      </c>
      <c r="D199" s="519">
        <f>IF(LN_IF11=0,0,LN_IF2/LN_IF11)</f>
        <v>1777.6596947427925</v>
      </c>
      <c r="E199" s="519">
        <f t="shared" si="20"/>
        <v>691.88452544256666</v>
      </c>
      <c r="F199" s="449">
        <f t="shared" si="21"/>
        <v>0.63722632917501809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3.5019762845849804</v>
      </c>
      <c r="D200" s="466">
        <f>IF(LN_IF4=0,0,LN_IF11/LN_IF4)</f>
        <v>3.7320675105485233</v>
      </c>
      <c r="E200" s="466">
        <f t="shared" si="20"/>
        <v>0.23009122596354281</v>
      </c>
      <c r="F200" s="449">
        <f t="shared" si="21"/>
        <v>6.5703250754826553E-2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30013739</v>
      </c>
      <c r="D203" s="448">
        <f>LN_ID14+LN_IE14</f>
        <v>34689078</v>
      </c>
      <c r="E203" s="448">
        <f t="shared" ref="E203:E211" si="22">D203-C203</f>
        <v>4675339</v>
      </c>
      <c r="F203" s="449">
        <f t="shared" ref="F203:F211" si="23">IF(C203=0,0,E203/C203)</f>
        <v>0.155773294356961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11542331</v>
      </c>
      <c r="D204" s="448">
        <f>LN_ID15+LN_IE15</f>
        <v>10627679</v>
      </c>
      <c r="E204" s="448">
        <f t="shared" si="22"/>
        <v>-914652</v>
      </c>
      <c r="F204" s="449">
        <f t="shared" si="23"/>
        <v>-7.9243265506768093E-2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0.38456824722837762</v>
      </c>
      <c r="D205" s="453">
        <f>IF(LN_IF14=0,0,LN_IF15/LN_IF14)</f>
        <v>0.3063696014059526</v>
      </c>
      <c r="E205" s="454">
        <f t="shared" si="22"/>
        <v>-7.8198645822425028E-2</v>
      </c>
      <c r="F205" s="449">
        <f t="shared" si="23"/>
        <v>-0.20334140009220886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2.1601423285203882</v>
      </c>
      <c r="D206" s="453">
        <f>IF(LN_IF1=0,0,LN_IF14/LN_IF1)</f>
        <v>2.3511268459530434</v>
      </c>
      <c r="E206" s="454">
        <f t="shared" si="22"/>
        <v>0.19098451743265521</v>
      </c>
      <c r="F206" s="449">
        <f t="shared" si="23"/>
        <v>8.841293229204579E-2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2732.580045578291</v>
      </c>
      <c r="D207" s="463">
        <f>LN_ID18+LN_IE18</f>
        <v>2228.8682499634851</v>
      </c>
      <c r="E207" s="463">
        <f t="shared" si="22"/>
        <v>-503.71179561480585</v>
      </c>
      <c r="F207" s="449">
        <f t="shared" si="23"/>
        <v>-0.18433560489102022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4223.9681207791728</v>
      </c>
      <c r="D208" s="465">
        <f>IF(LN_IF18=0,0,LN_IF15/LN_IF18)</f>
        <v>4768.1952489448895</v>
      </c>
      <c r="E208" s="465">
        <f t="shared" si="22"/>
        <v>544.22712816571675</v>
      </c>
      <c r="F208" s="449">
        <f t="shared" si="23"/>
        <v>0.12884262205684593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3989.4186105900208</v>
      </c>
      <c r="D209" s="465">
        <f>LN_IB18-LN_IF19</f>
        <v>453.12519952230741</v>
      </c>
      <c r="E209" s="465">
        <f t="shared" si="22"/>
        <v>-3536.2934110677134</v>
      </c>
      <c r="F209" s="449">
        <f t="shared" si="23"/>
        <v>-0.88641823690312316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2819.1408516098263</v>
      </c>
      <c r="D210" s="465">
        <f>LN_IA16-LN_IF19</f>
        <v>2385.2959169175383</v>
      </c>
      <c r="E210" s="465">
        <f t="shared" si="22"/>
        <v>-433.84493469228801</v>
      </c>
      <c r="F210" s="449">
        <f t="shared" si="23"/>
        <v>-0.15389260683606767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7703528.0367836012</v>
      </c>
      <c r="D211" s="441">
        <f>LN_IF21*LN_IF18</f>
        <v>5316510.3359850403</v>
      </c>
      <c r="E211" s="441">
        <f t="shared" si="22"/>
        <v>-2387017.7007985609</v>
      </c>
      <c r="F211" s="449">
        <f t="shared" si="23"/>
        <v>-0.30986032495770538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43908073</v>
      </c>
      <c r="D214" s="448">
        <f>LN_IF1+LN_IF14</f>
        <v>49443313</v>
      </c>
      <c r="E214" s="448">
        <f>D214-C214</f>
        <v>5535240</v>
      </c>
      <c r="F214" s="449">
        <f>IF(C214=0,0,E214/C214)</f>
        <v>0.126064288906507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16352315</v>
      </c>
      <c r="D215" s="448">
        <f>LN_IF2+LN_IF15</f>
        <v>16917039</v>
      </c>
      <c r="E215" s="448">
        <f>D215-C215</f>
        <v>564724</v>
      </c>
      <c r="F215" s="449">
        <f>IF(C215=0,0,E215/C215)</f>
        <v>3.4534804399254784E-2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27555758</v>
      </c>
      <c r="D216" s="448">
        <f>LN_IF23-LN_IF24</f>
        <v>32526274</v>
      </c>
      <c r="E216" s="448">
        <f>D216-C216</f>
        <v>4970516</v>
      </c>
      <c r="F216" s="449">
        <f>IF(C216=0,0,E216/C216)</f>
        <v>0.18038030381889694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222098</v>
      </c>
      <c r="D221" s="448">
        <v>378115</v>
      </c>
      <c r="E221" s="448">
        <f t="shared" ref="E221:E230" si="24">D221-C221</f>
        <v>156017</v>
      </c>
      <c r="F221" s="449">
        <f t="shared" ref="F221:F230" si="25">IF(C221=0,0,E221/C221)</f>
        <v>0.70246918027177196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94784</v>
      </c>
      <c r="D222" s="448">
        <v>110536</v>
      </c>
      <c r="E222" s="448">
        <f t="shared" si="24"/>
        <v>15752</v>
      </c>
      <c r="F222" s="449">
        <f t="shared" si="25"/>
        <v>0.16618838622552329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0.42676656250844219</v>
      </c>
      <c r="D223" s="453">
        <f>IF(LN_IG1=0,0,LN_IG2/LN_IG1)</f>
        <v>0.29233434272641923</v>
      </c>
      <c r="E223" s="454">
        <f t="shared" si="24"/>
        <v>-0.13443221978202297</v>
      </c>
      <c r="F223" s="449">
        <f t="shared" si="25"/>
        <v>-0.3150017634742967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20</v>
      </c>
      <c r="D224" s="456">
        <v>31</v>
      </c>
      <c r="E224" s="456">
        <f t="shared" si="24"/>
        <v>11</v>
      </c>
      <c r="F224" s="449">
        <f t="shared" si="25"/>
        <v>0.55000000000000004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1.1019000000000001</v>
      </c>
      <c r="D225" s="459">
        <v>0.73329999999999995</v>
      </c>
      <c r="E225" s="460">
        <f t="shared" si="24"/>
        <v>-0.36860000000000015</v>
      </c>
      <c r="F225" s="449">
        <f t="shared" si="25"/>
        <v>-0.33451311371267822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22.038000000000004</v>
      </c>
      <c r="D226" s="463">
        <f>LN_IG3*LN_IG4</f>
        <v>22.732299999999999</v>
      </c>
      <c r="E226" s="463">
        <f t="shared" si="24"/>
        <v>0.69429999999999481</v>
      </c>
      <c r="F226" s="449">
        <f t="shared" si="25"/>
        <v>3.1504673745348703E-2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4300.9347490697874</v>
      </c>
      <c r="D227" s="465">
        <f>IF(LN_IG5=0,0,LN_IG2/LN_IG5)</f>
        <v>4862.508413139014</v>
      </c>
      <c r="E227" s="465">
        <f t="shared" si="24"/>
        <v>561.57366406922665</v>
      </c>
      <c r="F227" s="449">
        <f t="shared" si="25"/>
        <v>0.13057014273250359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52</v>
      </c>
      <c r="D228" s="456">
        <v>114</v>
      </c>
      <c r="E228" s="456">
        <f t="shared" si="24"/>
        <v>62</v>
      </c>
      <c r="F228" s="449">
        <f t="shared" si="25"/>
        <v>1.1923076923076923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1822.7692307692307</v>
      </c>
      <c r="D229" s="465">
        <f>IF(LN_IG6=0,0,LN_IG2/LN_IG6)</f>
        <v>969.61403508771934</v>
      </c>
      <c r="E229" s="465">
        <f t="shared" si="24"/>
        <v>-853.15519568151137</v>
      </c>
      <c r="F229" s="449">
        <f t="shared" si="25"/>
        <v>-0.46805442031818234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2.6</v>
      </c>
      <c r="D230" s="466">
        <f>IF(LN_IG3=0,0,LN_IG6/LN_IG3)</f>
        <v>3.6774193548387095</v>
      </c>
      <c r="E230" s="466">
        <f t="shared" si="24"/>
        <v>1.0774193548387094</v>
      </c>
      <c r="F230" s="449">
        <f t="shared" si="25"/>
        <v>0.41439205955334979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977760</v>
      </c>
      <c r="D233" s="448">
        <v>1102238</v>
      </c>
      <c r="E233" s="448">
        <f>D233-C233</f>
        <v>124478</v>
      </c>
      <c r="F233" s="449">
        <f>IF(C233=0,0,E233/C233)</f>
        <v>0.1273093601701849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350516</v>
      </c>
      <c r="D234" s="448">
        <v>329460</v>
      </c>
      <c r="E234" s="448">
        <f>D234-C234</f>
        <v>-21056</v>
      </c>
      <c r="F234" s="449">
        <f>IF(C234=0,0,E234/C234)</f>
        <v>-6.0071437537801413E-2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1199858</v>
      </c>
      <c r="D237" s="448">
        <f>LN_IG1+LN_IG9</f>
        <v>1480353</v>
      </c>
      <c r="E237" s="448">
        <f>D237-C237</f>
        <v>280495</v>
      </c>
      <c r="F237" s="449">
        <f>IF(C237=0,0,E237/C237)</f>
        <v>0.23377349653042276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445300</v>
      </c>
      <c r="D238" s="448">
        <f>LN_IG2+LN_IG10</f>
        <v>439996</v>
      </c>
      <c r="E238" s="448">
        <f>D238-C238</f>
        <v>-5304</v>
      </c>
      <c r="F238" s="449">
        <f>IF(C238=0,0,E238/C238)</f>
        <v>-1.1911071187963172E-2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754558</v>
      </c>
      <c r="D239" s="448">
        <f>LN_IG13-LN_IG14</f>
        <v>1040357</v>
      </c>
      <c r="E239" s="448">
        <f>D239-C239</f>
        <v>285799</v>
      </c>
      <c r="F239" s="449">
        <f>IF(C239=0,0,E239/C239)</f>
        <v>0.37876346152316986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4807000</v>
      </c>
      <c r="D243" s="448">
        <v>6153524</v>
      </c>
      <c r="E243" s="441">
        <f>D243-C243</f>
        <v>1346524</v>
      </c>
      <c r="F243" s="503">
        <f>IF(C243=0,0,E243/C243)</f>
        <v>0.28011732889536095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110624592</v>
      </c>
      <c r="D244" s="448">
        <v>109004882</v>
      </c>
      <c r="E244" s="441">
        <f>D244-C244</f>
        <v>-1619710</v>
      </c>
      <c r="F244" s="503">
        <f>IF(C244=0,0,E244/C244)</f>
        <v>-1.4641500327522112E-2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703850</v>
      </c>
      <c r="D248" s="441">
        <v>522721</v>
      </c>
      <c r="E248" s="441">
        <f>D248-C248</f>
        <v>-181129</v>
      </c>
      <c r="F248" s="449">
        <f>IF(C248=0,0,E248/C248)</f>
        <v>-0.25734034240250053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3021107</v>
      </c>
      <c r="D249" s="441">
        <v>3150512</v>
      </c>
      <c r="E249" s="441">
        <f>D249-C249</f>
        <v>129405</v>
      </c>
      <c r="F249" s="449">
        <f>IF(C249=0,0,E249/C249)</f>
        <v>4.2833636809288783E-2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3724957</v>
      </c>
      <c r="D250" s="441">
        <f>LN_IH4+LN_IH5</f>
        <v>3673233</v>
      </c>
      <c r="E250" s="441">
        <f>D250-C250</f>
        <v>-51724</v>
      </c>
      <c r="F250" s="449">
        <f>IF(C250=0,0,E250/C250)</f>
        <v>-1.3885797876324478E-2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1689081.99265066</v>
      </c>
      <c r="D251" s="441">
        <f>LN_IH6*LN_III10</f>
        <v>1633851.1423631986</v>
      </c>
      <c r="E251" s="441">
        <f>D251-C251</f>
        <v>-55230.850287461421</v>
      </c>
      <c r="F251" s="449">
        <f>IF(C251=0,0,E251/C251)</f>
        <v>-3.2698738443589816E-2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43908073</v>
      </c>
      <c r="D254" s="441">
        <f>LN_IF23</f>
        <v>49443313</v>
      </c>
      <c r="E254" s="441">
        <f>D254-C254</f>
        <v>5535240</v>
      </c>
      <c r="F254" s="449">
        <f>IF(C254=0,0,E254/C254)</f>
        <v>0.126064288906507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16352315</v>
      </c>
      <c r="D255" s="441">
        <f>LN_IF24</f>
        <v>16917039</v>
      </c>
      <c r="E255" s="441">
        <f>D255-C255</f>
        <v>564724</v>
      </c>
      <c r="F255" s="449">
        <f>IF(C255=0,0,E255/C255)</f>
        <v>3.4534804399254784E-2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19910118.542654492</v>
      </c>
      <c r="D256" s="441">
        <f>LN_IH8*LN_III10</f>
        <v>21992346.640485693</v>
      </c>
      <c r="E256" s="441">
        <f>D256-C256</f>
        <v>2082228.0978312008</v>
      </c>
      <c r="F256" s="449">
        <f>IF(C256=0,0,E256/C256)</f>
        <v>0.10458140132969747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3557803.542654492</v>
      </c>
      <c r="D257" s="441">
        <f>LN_IH10-LN_IH9</f>
        <v>5075307.6404856928</v>
      </c>
      <c r="E257" s="441">
        <f>D257-C257</f>
        <v>1517504.0978312008</v>
      </c>
      <c r="F257" s="449">
        <f>IF(C257=0,0,E257/C257)</f>
        <v>0.42652835650924803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63684617</v>
      </c>
      <c r="D261" s="448">
        <f>LN_IA1+LN_IB1+LN_IF1+LN_IG1</f>
        <v>64417573</v>
      </c>
      <c r="E261" s="448">
        <f t="shared" ref="E261:E274" si="26">D261-C261</f>
        <v>732956</v>
      </c>
      <c r="F261" s="503">
        <f t="shared" ref="F261:F274" si="27">IF(C261=0,0,E261/C261)</f>
        <v>1.1509152987447502E-2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31174146</v>
      </c>
      <c r="D262" s="448">
        <f>+LN_IA2+LN_IB2+LN_IF2+LN_IG2</f>
        <v>33016368</v>
      </c>
      <c r="E262" s="448">
        <f t="shared" si="26"/>
        <v>1842222</v>
      </c>
      <c r="F262" s="503">
        <f t="shared" si="27"/>
        <v>5.9094545845778744E-2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0.48950825911381396</v>
      </c>
      <c r="D263" s="453">
        <f>IF(LN_IIA1=0,0,LN_IIA2/LN_IIA1)</f>
        <v>0.51253666449060409</v>
      </c>
      <c r="E263" s="454">
        <f t="shared" si="26"/>
        <v>2.3028405376790129E-2</v>
      </c>
      <c r="F263" s="458">
        <f t="shared" si="27"/>
        <v>4.7043956762813005E-2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4331</v>
      </c>
      <c r="D264" s="456">
        <f>LN_IA4+LN_IB4+LN_IF4+LN_IG3</f>
        <v>4511</v>
      </c>
      <c r="E264" s="456">
        <f t="shared" si="26"/>
        <v>180</v>
      </c>
      <c r="F264" s="503">
        <f t="shared" si="27"/>
        <v>4.1560840452551373E-2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1.0683783652736087</v>
      </c>
      <c r="D265" s="525">
        <f>IF(LN_IIA4=0,0,LN_IIA6/LN_IIA4)</f>
        <v>1.034710330303702</v>
      </c>
      <c r="E265" s="525">
        <f t="shared" si="26"/>
        <v>-3.3668034969906779E-2</v>
      </c>
      <c r="F265" s="503">
        <f t="shared" si="27"/>
        <v>-3.151321298169913E-2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4627.1466999999993</v>
      </c>
      <c r="D266" s="463">
        <f>LN_IA6+LN_IB6+LN_IF6+LN_IG5</f>
        <v>4667.5782999999992</v>
      </c>
      <c r="E266" s="463">
        <f t="shared" si="26"/>
        <v>40.431599999999889</v>
      </c>
      <c r="F266" s="503">
        <f t="shared" si="27"/>
        <v>8.7379118539725343E-3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153064782</v>
      </c>
      <c r="D267" s="448">
        <f>LN_IA11+LN_IB13+LN_IF14+LN_IG9</f>
        <v>160450429</v>
      </c>
      <c r="E267" s="448">
        <f t="shared" si="26"/>
        <v>7385647</v>
      </c>
      <c r="F267" s="503">
        <f t="shared" si="27"/>
        <v>4.8251772246342077E-2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2.4034812362929028</v>
      </c>
      <c r="D268" s="453">
        <f>IF(LN_IIA1=0,0,LN_IIA7/LN_IIA1)</f>
        <v>2.4907866212221315</v>
      </c>
      <c r="E268" s="454">
        <f t="shared" si="26"/>
        <v>8.730538492922868E-2</v>
      </c>
      <c r="F268" s="458">
        <f t="shared" si="27"/>
        <v>3.6324554405045964E-2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72732209</v>
      </c>
      <c r="D269" s="448">
        <f>LN_IA12+LN_IB14+LN_IF15+LN_IG10</f>
        <v>72348623</v>
      </c>
      <c r="E269" s="448">
        <f t="shared" si="26"/>
        <v>-383586</v>
      </c>
      <c r="F269" s="503">
        <f t="shared" si="27"/>
        <v>-5.273949537267595E-3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0.47517272131220883</v>
      </c>
      <c r="D270" s="453">
        <f>IF(LN_IIA7=0,0,LN_IIA9/LN_IIA7)</f>
        <v>0.45090950177515576</v>
      </c>
      <c r="E270" s="454">
        <f t="shared" si="26"/>
        <v>-2.4263219537053071E-2</v>
      </c>
      <c r="F270" s="458">
        <f t="shared" si="27"/>
        <v>-5.1061894862249671E-2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216749399</v>
      </c>
      <c r="D271" s="441">
        <f>LN_IIA1+LN_IIA7</f>
        <v>224868002</v>
      </c>
      <c r="E271" s="441">
        <f t="shared" si="26"/>
        <v>8118603</v>
      </c>
      <c r="F271" s="503">
        <f t="shared" si="27"/>
        <v>3.7456173061868561E-2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103906355</v>
      </c>
      <c r="D272" s="441">
        <f>LN_IIA2+LN_IIA9</f>
        <v>105364991</v>
      </c>
      <c r="E272" s="441">
        <f t="shared" si="26"/>
        <v>1458636</v>
      </c>
      <c r="F272" s="503">
        <f t="shared" si="27"/>
        <v>1.4037986415749066E-2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0.47938474329979575</v>
      </c>
      <c r="D273" s="453">
        <f>IF(LN_IIA11=0,0,LN_IIA12/LN_IIA11)</f>
        <v>0.46856373544867447</v>
      </c>
      <c r="E273" s="454">
        <f t="shared" si="26"/>
        <v>-1.0821007851121278E-2</v>
      </c>
      <c r="F273" s="458">
        <f t="shared" si="27"/>
        <v>-2.2572699699694197E-2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16124</v>
      </c>
      <c r="D274" s="508">
        <f>LN_IA8+LN_IB10+LN_IF11+LN_IG6</f>
        <v>16844</v>
      </c>
      <c r="E274" s="528">
        <f t="shared" si="26"/>
        <v>720</v>
      </c>
      <c r="F274" s="458">
        <f t="shared" si="27"/>
        <v>4.465393202679236E-2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48080032</v>
      </c>
      <c r="D277" s="448">
        <f>LN_IA1+LN_IF1+LN_IG1</f>
        <v>49139584</v>
      </c>
      <c r="E277" s="448">
        <f t="shared" ref="E277:E291" si="28">D277-C277</f>
        <v>1059552</v>
      </c>
      <c r="F277" s="503">
        <f t="shared" ref="F277:F291" si="29">IF(C277=0,0,E277/C277)</f>
        <v>2.2037256547582998E-2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22403918</v>
      </c>
      <c r="D278" s="448">
        <f>LN_IA2+LN_IF2+LN_IG2</f>
        <v>24145926</v>
      </c>
      <c r="E278" s="448">
        <f t="shared" si="28"/>
        <v>1742008</v>
      </c>
      <c r="F278" s="503">
        <f t="shared" si="29"/>
        <v>7.7754614170610692E-2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0.46597136208228812</v>
      </c>
      <c r="D279" s="453">
        <f>IF(D277=0,0,LN_IIB2/D277)</f>
        <v>0.49137424525205586</v>
      </c>
      <c r="E279" s="454">
        <f t="shared" si="28"/>
        <v>2.5402883169767743E-2</v>
      </c>
      <c r="F279" s="458">
        <f t="shared" si="29"/>
        <v>5.4515975093940912E-2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3232</v>
      </c>
      <c r="D280" s="456">
        <f>LN_IA4+LN_IF4+LN_IG3</f>
        <v>2783</v>
      </c>
      <c r="E280" s="456">
        <f t="shared" si="28"/>
        <v>-449</v>
      </c>
      <c r="F280" s="503">
        <f t="shared" si="29"/>
        <v>-0.13892326732673269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1.1060471225247523</v>
      </c>
      <c r="D281" s="525">
        <f>IF(LN_IIB4=0,0,LN_IIB6/LN_IIB4)</f>
        <v>1.0774355371900826</v>
      </c>
      <c r="E281" s="525">
        <f t="shared" si="28"/>
        <v>-2.8611585334669787E-2</v>
      </c>
      <c r="F281" s="503">
        <f t="shared" si="29"/>
        <v>-2.5868324008979541E-2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3574.7442999999998</v>
      </c>
      <c r="D282" s="463">
        <f>LN_IA6+LN_IF6+LN_IG5</f>
        <v>2998.5030999999999</v>
      </c>
      <c r="E282" s="463">
        <f t="shared" si="28"/>
        <v>-576.24119999999994</v>
      </c>
      <c r="F282" s="503">
        <f t="shared" si="29"/>
        <v>-0.16119787924411824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86940617</v>
      </c>
      <c r="D283" s="448">
        <f>LN_IA11+LN_IF14+LN_IG9</f>
        <v>93714191</v>
      </c>
      <c r="E283" s="448">
        <f t="shared" si="28"/>
        <v>6773574</v>
      </c>
      <c r="F283" s="503">
        <f t="shared" si="29"/>
        <v>7.791035115382261E-2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1.8082479021644577</v>
      </c>
      <c r="D284" s="453">
        <f>IF(D277=0,0,LN_IIB7/D277)</f>
        <v>1.9071018387131646</v>
      </c>
      <c r="E284" s="454">
        <f t="shared" si="28"/>
        <v>9.8853936548706889E-2</v>
      </c>
      <c r="F284" s="458">
        <f t="shared" si="29"/>
        <v>5.4668354062725327E-2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34482517</v>
      </c>
      <c r="D285" s="448">
        <f>LN_IA12+LN_IF15+LN_IG10</f>
        <v>32937427</v>
      </c>
      <c r="E285" s="448">
        <f t="shared" si="28"/>
        <v>-1545090</v>
      </c>
      <c r="F285" s="503">
        <f t="shared" si="29"/>
        <v>-4.4807923969123253E-2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0.39662148935519975</v>
      </c>
      <c r="D286" s="453">
        <f>IF(LN_IIB7=0,0,LN_IIB9/LN_IIB7)</f>
        <v>0.35146680186355128</v>
      </c>
      <c r="E286" s="454">
        <f t="shared" si="28"/>
        <v>-4.5154687491648471E-2</v>
      </c>
      <c r="F286" s="458">
        <f t="shared" si="29"/>
        <v>-0.11384831307314662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135020649</v>
      </c>
      <c r="D287" s="441">
        <f>D277+LN_IIB7</f>
        <v>142853775</v>
      </c>
      <c r="E287" s="441">
        <f t="shared" si="28"/>
        <v>7833126</v>
      </c>
      <c r="F287" s="503">
        <f t="shared" si="29"/>
        <v>5.8014281948829918E-2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56886435</v>
      </c>
      <c r="D288" s="441">
        <f>LN_IIB2+LN_IIB9</f>
        <v>57083353</v>
      </c>
      <c r="E288" s="441">
        <f t="shared" si="28"/>
        <v>196918</v>
      </c>
      <c r="F288" s="503">
        <f t="shared" si="29"/>
        <v>3.4615985339914515E-3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0.42131655729191464</v>
      </c>
      <c r="D289" s="453">
        <f>IF(LN_IIB11=0,0,LN_IIB12/LN_IIB11)</f>
        <v>0.39959289140241483</v>
      </c>
      <c r="E289" s="454">
        <f t="shared" si="28"/>
        <v>-2.172366588949981E-2</v>
      </c>
      <c r="F289" s="458">
        <f t="shared" si="29"/>
        <v>-5.1561386595230074E-2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12643</v>
      </c>
      <c r="D290" s="508">
        <f>LN_IA8+LN_IF11+LN_IG6</f>
        <v>10390</v>
      </c>
      <c r="E290" s="528">
        <f t="shared" si="28"/>
        <v>-2253</v>
      </c>
      <c r="F290" s="458">
        <f t="shared" si="29"/>
        <v>-0.17820137625563554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78134214</v>
      </c>
      <c r="D291" s="516">
        <f>LN_IIB11-LN_IIB12</f>
        <v>85770422</v>
      </c>
      <c r="E291" s="441">
        <f t="shared" si="28"/>
        <v>7636208</v>
      </c>
      <c r="F291" s="503">
        <f t="shared" si="29"/>
        <v>9.7731935973656814E-2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4.1915767847971237</v>
      </c>
      <c r="D294" s="466">
        <f>IF(LN_IA4=0,0,LN_IA8/LN_IA4)</f>
        <v>3.7350332594235032</v>
      </c>
      <c r="E294" s="466">
        <f t="shared" ref="E294:E300" si="30">D294-C294</f>
        <v>-0.45654352537362053</v>
      </c>
      <c r="F294" s="503">
        <f t="shared" ref="F294:F300" si="31">IF(C294=0,0,E294/C294)</f>
        <v>-0.10891927997824276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3.167424931756142</v>
      </c>
      <c r="D295" s="466">
        <f>IF(LN_IB4=0,0,(LN_IB10)/(LN_IB4))</f>
        <v>3.7349537037037037</v>
      </c>
      <c r="E295" s="466">
        <f t="shared" si="30"/>
        <v>0.56752877194756168</v>
      </c>
      <c r="F295" s="503">
        <f t="shared" si="31"/>
        <v>0.17917670794897164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3.5254237288135593</v>
      </c>
      <c r="D296" s="466">
        <f>IF(LN_IC4=0,0,LN_IC11/LN_IC4)</f>
        <v>3.7049180327868854</v>
      </c>
      <c r="E296" s="466">
        <f t="shared" si="30"/>
        <v>0.17949430397332611</v>
      </c>
      <c r="F296" s="503">
        <f t="shared" si="31"/>
        <v>5.0914249684741543E-2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3.5019762845849804</v>
      </c>
      <c r="D297" s="466">
        <f>IF(LN_ID4=0,0,LN_ID11/LN_ID4)</f>
        <v>3.7320675105485233</v>
      </c>
      <c r="E297" s="466">
        <f t="shared" si="30"/>
        <v>0.23009122596354281</v>
      </c>
      <c r="F297" s="503">
        <f t="shared" si="31"/>
        <v>6.5703250754826553E-2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</v>
      </c>
      <c r="D299" s="466">
        <f>IF(LN_IG3=0,0,LN_IG6/LN_IG3)</f>
        <v>3.6774193548387095</v>
      </c>
      <c r="E299" s="466">
        <f t="shared" si="30"/>
        <v>1.0774193548387094</v>
      </c>
      <c r="F299" s="503">
        <f t="shared" si="31"/>
        <v>0.41439205955334979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3.7229277303163242</v>
      </c>
      <c r="D300" s="466">
        <f>IF(LN_IIA4=0,0,LN_IIA14/LN_IIA4)</f>
        <v>3.7339835956550655</v>
      </c>
      <c r="E300" s="466">
        <f t="shared" si="30"/>
        <v>1.1055865338741366E-2</v>
      </c>
      <c r="F300" s="503">
        <f t="shared" si="31"/>
        <v>2.9696696094076444E-3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216749399</v>
      </c>
      <c r="D304" s="441">
        <f>LN_IIA11</f>
        <v>224868002</v>
      </c>
      <c r="E304" s="441">
        <f t="shared" ref="E304:E316" si="32">D304-C304</f>
        <v>8118603</v>
      </c>
      <c r="F304" s="449">
        <f>IF(C304=0,0,E304/C304)</f>
        <v>3.7456173061868561E-2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78134214</v>
      </c>
      <c r="D305" s="441">
        <f>LN_IIB14</f>
        <v>85770422</v>
      </c>
      <c r="E305" s="441">
        <f t="shared" si="32"/>
        <v>7636208</v>
      </c>
      <c r="F305" s="449">
        <f>IF(C305=0,0,E305/C305)</f>
        <v>9.7731935973656814E-2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3724957</v>
      </c>
      <c r="D306" s="441">
        <f>LN_IH6</f>
        <v>3673233</v>
      </c>
      <c r="E306" s="441">
        <f t="shared" si="32"/>
        <v>-51724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34708830</v>
      </c>
      <c r="D307" s="441">
        <f>LN_IB32-LN_IB33</f>
        <v>33732589</v>
      </c>
      <c r="E307" s="441">
        <f t="shared" si="32"/>
        <v>-976241</v>
      </c>
      <c r="F307" s="449">
        <f t="shared" ref="F307:F316" si="33">IF(C307=0,0,E307/C307)</f>
        <v>-2.8126589112914494E-2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1896369</v>
      </c>
      <c r="D308" s="441">
        <v>1670648</v>
      </c>
      <c r="E308" s="441">
        <f t="shared" si="32"/>
        <v>-225721</v>
      </c>
      <c r="F308" s="449">
        <f t="shared" si="33"/>
        <v>-0.11902799507901679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118464370</v>
      </c>
      <c r="D309" s="441">
        <f>LN_III2+LN_III3+LN_III4+LN_III5</f>
        <v>124846892</v>
      </c>
      <c r="E309" s="441">
        <f t="shared" si="32"/>
        <v>6382522</v>
      </c>
      <c r="F309" s="449">
        <f t="shared" si="33"/>
        <v>5.3877144663834364E-2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98285029</v>
      </c>
      <c r="D310" s="441">
        <f>LN_III1-LN_III6</f>
        <v>100021110</v>
      </c>
      <c r="E310" s="441">
        <f t="shared" si="32"/>
        <v>1736081</v>
      </c>
      <c r="F310" s="449">
        <f t="shared" si="33"/>
        <v>1.7663737983940567E-2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98285029</v>
      </c>
      <c r="D312" s="441">
        <f>LN_III7+LN_III8</f>
        <v>100021110</v>
      </c>
      <c r="E312" s="441">
        <f t="shared" si="32"/>
        <v>1736081</v>
      </c>
      <c r="F312" s="449">
        <f t="shared" si="33"/>
        <v>1.7663737983940567E-2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0.45345006469891064</v>
      </c>
      <c r="D313" s="532">
        <f>IF(LN_III1=0,0,LN_III9/LN_III1)</f>
        <v>0.44479921158369168</v>
      </c>
      <c r="E313" s="532">
        <f t="shared" si="32"/>
        <v>-8.6508531152189594E-3</v>
      </c>
      <c r="F313" s="449">
        <f t="shared" si="33"/>
        <v>-1.9077851760729372E-2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1689081.99265066</v>
      </c>
      <c r="D314" s="441">
        <f>D313*LN_III5</f>
        <v>1633851.1423631986</v>
      </c>
      <c r="E314" s="441">
        <f t="shared" si="32"/>
        <v>-55230.850287461421</v>
      </c>
      <c r="F314" s="449">
        <f t="shared" si="33"/>
        <v>-3.2698738443589816E-2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3557803.542654492</v>
      </c>
      <c r="D315" s="441">
        <f>D313*LN_IH8-LN_IH9</f>
        <v>5075307.6404856928</v>
      </c>
      <c r="E315" s="441">
        <f t="shared" si="32"/>
        <v>1517504.0978312008</v>
      </c>
      <c r="F315" s="449">
        <f t="shared" si="33"/>
        <v>0.42652835650924803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5246885.5353051517</v>
      </c>
      <c r="D318" s="441">
        <f>D314+D315+D316</f>
        <v>6709158.7828488909</v>
      </c>
      <c r="E318" s="441">
        <f>D318-C318</f>
        <v>1462273.2475437392</v>
      </c>
      <c r="F318" s="449">
        <f>IF(C318=0,0,E318/C318)</f>
        <v>0.27869356739429907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7703528.0367836012</v>
      </c>
      <c r="D322" s="441">
        <f>LN_ID22</f>
        <v>5316510.3359850403</v>
      </c>
      <c r="E322" s="441">
        <f>LN_IV2-C322</f>
        <v>-2387017.7007985609</v>
      </c>
      <c r="F322" s="449">
        <f>IF(C322=0,0,E322/C322)</f>
        <v>-0.30986032495770538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1643599.8833943228</v>
      </c>
      <c r="D324" s="441">
        <f>LN_IC10+LN_IC22</f>
        <v>2756194.3361742077</v>
      </c>
      <c r="E324" s="441">
        <f>LN_IV1-C324</f>
        <v>1112594.4527798849</v>
      </c>
      <c r="F324" s="449">
        <f>IF(C324=0,0,E324/C324)</f>
        <v>0.67692536609468579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9347127.9201779235</v>
      </c>
      <c r="D325" s="516">
        <f>LN_IV1+LN_IV2+LN_IV3</f>
        <v>8072704.672159248</v>
      </c>
      <c r="E325" s="441">
        <f>LN_IV4-C325</f>
        <v>-1274423.2480186755</v>
      </c>
      <c r="F325" s="449">
        <f>IF(C325=0,0,E325/C325)</f>
        <v>-0.13634383298291447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3866194</v>
      </c>
      <c r="D329" s="518">
        <v>3210149</v>
      </c>
      <c r="E329" s="518">
        <f t="shared" ref="E329:E335" si="34">D329-C329</f>
        <v>-656045</v>
      </c>
      <c r="F329" s="542">
        <f t="shared" ref="F329:F335" si="35">IF(C329=0,0,E329/C329)</f>
        <v>-0.16968755318538076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742945</v>
      </c>
      <c r="D330" s="516">
        <v>-517655</v>
      </c>
      <c r="E330" s="518">
        <f t="shared" si="34"/>
        <v>-1260600</v>
      </c>
      <c r="F330" s="543">
        <f t="shared" si="35"/>
        <v>-1.6967608638593705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104649330</v>
      </c>
      <c r="D331" s="516">
        <v>104847336</v>
      </c>
      <c r="E331" s="518">
        <f t="shared" si="34"/>
        <v>198006</v>
      </c>
      <c r="F331" s="542">
        <f t="shared" si="35"/>
        <v>1.8920904701444337E-3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216749429</v>
      </c>
      <c r="D333" s="516">
        <v>224868002</v>
      </c>
      <c r="E333" s="518">
        <f t="shared" si="34"/>
        <v>8118573</v>
      </c>
      <c r="F333" s="542">
        <f t="shared" si="35"/>
        <v>3.7456029468940374E-2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119186</v>
      </c>
      <c r="D334" s="516">
        <v>100093</v>
      </c>
      <c r="E334" s="516">
        <f t="shared" si="34"/>
        <v>-19093</v>
      </c>
      <c r="F334" s="543">
        <f t="shared" si="35"/>
        <v>-0.16019498934438609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3844143</v>
      </c>
      <c r="D335" s="516">
        <v>3773326</v>
      </c>
      <c r="E335" s="516">
        <f t="shared" si="34"/>
        <v>-70817</v>
      </c>
      <c r="F335" s="542">
        <f t="shared" si="35"/>
        <v>-1.8422051416921794E-2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FILING&amp;RDAY KIMBALL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15604585</v>
      </c>
      <c r="D14" s="589">
        <v>15277989</v>
      </c>
      <c r="E14" s="590">
        <f t="shared" ref="E14:E22" si="0">D14-C14</f>
        <v>-326596</v>
      </c>
    </row>
    <row r="15" spans="1:5" s="421" customFormat="1" x14ac:dyDescent="0.2">
      <c r="A15" s="588">
        <v>2</v>
      </c>
      <c r="B15" s="587" t="s">
        <v>634</v>
      </c>
      <c r="C15" s="589">
        <v>33963600</v>
      </c>
      <c r="D15" s="591">
        <v>34007234</v>
      </c>
      <c r="E15" s="590">
        <f t="shared" si="0"/>
        <v>43634</v>
      </c>
    </row>
    <row r="16" spans="1:5" s="421" customFormat="1" x14ac:dyDescent="0.2">
      <c r="A16" s="588">
        <v>3</v>
      </c>
      <c r="B16" s="587" t="s">
        <v>776</v>
      </c>
      <c r="C16" s="589">
        <v>13894334</v>
      </c>
      <c r="D16" s="591">
        <v>14754235</v>
      </c>
      <c r="E16" s="590">
        <f t="shared" si="0"/>
        <v>859901</v>
      </c>
    </row>
    <row r="17" spans="1:5" s="421" customFormat="1" x14ac:dyDescent="0.2">
      <c r="A17" s="588">
        <v>4</v>
      </c>
      <c r="B17" s="587" t="s">
        <v>115</v>
      </c>
      <c r="C17" s="589">
        <v>13894334</v>
      </c>
      <c r="D17" s="591">
        <v>14754235</v>
      </c>
      <c r="E17" s="590">
        <f t="shared" si="0"/>
        <v>859901</v>
      </c>
    </row>
    <row r="18" spans="1:5" s="421" customFormat="1" x14ac:dyDescent="0.2">
      <c r="A18" s="588">
        <v>5</v>
      </c>
      <c r="B18" s="587" t="s">
        <v>742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222098</v>
      </c>
      <c r="D19" s="591">
        <v>378115</v>
      </c>
      <c r="E19" s="590">
        <f t="shared" si="0"/>
        <v>156017</v>
      </c>
    </row>
    <row r="20" spans="1:5" s="421" customFormat="1" x14ac:dyDescent="0.2">
      <c r="A20" s="588">
        <v>7</v>
      </c>
      <c r="B20" s="587" t="s">
        <v>757</v>
      </c>
      <c r="C20" s="589">
        <v>856999</v>
      </c>
      <c r="D20" s="591">
        <v>470731</v>
      </c>
      <c r="E20" s="590">
        <f t="shared" si="0"/>
        <v>-386268</v>
      </c>
    </row>
    <row r="21" spans="1:5" s="421" customFormat="1" x14ac:dyDescent="0.2">
      <c r="A21" s="588"/>
      <c r="B21" s="592" t="s">
        <v>777</v>
      </c>
      <c r="C21" s="593">
        <f>SUM(C15+C16+C19)</f>
        <v>48080032</v>
      </c>
      <c r="D21" s="593">
        <f>SUM(D15+D16+D19)</f>
        <v>49139584</v>
      </c>
      <c r="E21" s="593">
        <f t="shared" si="0"/>
        <v>1059552</v>
      </c>
    </row>
    <row r="22" spans="1:5" s="421" customFormat="1" x14ac:dyDescent="0.2">
      <c r="A22" s="588"/>
      <c r="B22" s="592" t="s">
        <v>465</v>
      </c>
      <c r="C22" s="593">
        <f>SUM(C14+C21)</f>
        <v>63684617</v>
      </c>
      <c r="D22" s="593">
        <f>SUM(D14+D21)</f>
        <v>64417573</v>
      </c>
      <c r="E22" s="593">
        <f t="shared" si="0"/>
        <v>732956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66124165</v>
      </c>
      <c r="D25" s="589">
        <v>66736238</v>
      </c>
      <c r="E25" s="590">
        <f t="shared" ref="E25:E33" si="1">D25-C25</f>
        <v>612073</v>
      </c>
    </row>
    <row r="26" spans="1:5" s="421" customFormat="1" x14ac:dyDescent="0.2">
      <c r="A26" s="588">
        <v>2</v>
      </c>
      <c r="B26" s="587" t="s">
        <v>634</v>
      </c>
      <c r="C26" s="589">
        <v>55949118</v>
      </c>
      <c r="D26" s="591">
        <v>57922875</v>
      </c>
      <c r="E26" s="590">
        <f t="shared" si="1"/>
        <v>1973757</v>
      </c>
    </row>
    <row r="27" spans="1:5" s="421" customFormat="1" x14ac:dyDescent="0.2">
      <c r="A27" s="588">
        <v>3</v>
      </c>
      <c r="B27" s="587" t="s">
        <v>776</v>
      </c>
      <c r="C27" s="589">
        <v>30013739</v>
      </c>
      <c r="D27" s="591">
        <v>34689078</v>
      </c>
      <c r="E27" s="590">
        <f t="shared" si="1"/>
        <v>4675339</v>
      </c>
    </row>
    <row r="28" spans="1:5" s="421" customFormat="1" x14ac:dyDescent="0.2">
      <c r="A28" s="588">
        <v>4</v>
      </c>
      <c r="B28" s="587" t="s">
        <v>115</v>
      </c>
      <c r="C28" s="589">
        <v>30013739</v>
      </c>
      <c r="D28" s="591">
        <v>34689078</v>
      </c>
      <c r="E28" s="590">
        <f t="shared" si="1"/>
        <v>4675339</v>
      </c>
    </row>
    <row r="29" spans="1:5" s="421" customFormat="1" x14ac:dyDescent="0.2">
      <c r="A29" s="588">
        <v>5</v>
      </c>
      <c r="B29" s="587" t="s">
        <v>742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977760</v>
      </c>
      <c r="D30" s="591">
        <v>1102238</v>
      </c>
      <c r="E30" s="590">
        <f t="shared" si="1"/>
        <v>124478</v>
      </c>
    </row>
    <row r="31" spans="1:5" s="421" customFormat="1" x14ac:dyDescent="0.2">
      <c r="A31" s="588">
        <v>7</v>
      </c>
      <c r="B31" s="587" t="s">
        <v>757</v>
      </c>
      <c r="C31" s="590">
        <v>3119256</v>
      </c>
      <c r="D31" s="594">
        <v>2526291</v>
      </c>
      <c r="E31" s="590">
        <f t="shared" si="1"/>
        <v>-592965</v>
      </c>
    </row>
    <row r="32" spans="1:5" s="421" customFormat="1" x14ac:dyDescent="0.2">
      <c r="A32" s="588"/>
      <c r="B32" s="592" t="s">
        <v>779</v>
      </c>
      <c r="C32" s="593">
        <f>SUM(C26+C27+C30)</f>
        <v>86940617</v>
      </c>
      <c r="D32" s="593">
        <f>SUM(D26+D27+D30)</f>
        <v>93714191</v>
      </c>
      <c r="E32" s="593">
        <f t="shared" si="1"/>
        <v>6773574</v>
      </c>
    </row>
    <row r="33" spans="1:5" s="421" customFormat="1" x14ac:dyDescent="0.2">
      <c r="A33" s="588"/>
      <c r="B33" s="592" t="s">
        <v>467</v>
      </c>
      <c r="C33" s="593">
        <f>SUM(C25+C32)</f>
        <v>153064782</v>
      </c>
      <c r="D33" s="593">
        <f>SUM(D25+D32)</f>
        <v>160450429</v>
      </c>
      <c r="E33" s="593">
        <f t="shared" si="1"/>
        <v>7385647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81728750</v>
      </c>
      <c r="D36" s="590">
        <f t="shared" si="2"/>
        <v>82014227</v>
      </c>
      <c r="E36" s="590">
        <f t="shared" ref="E36:E44" si="3">D36-C36</f>
        <v>285477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89912718</v>
      </c>
      <c r="D37" s="590">
        <f t="shared" si="2"/>
        <v>91930109</v>
      </c>
      <c r="E37" s="590">
        <f t="shared" si="3"/>
        <v>2017391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43908073</v>
      </c>
      <c r="D38" s="590">
        <f t="shared" si="2"/>
        <v>49443313</v>
      </c>
      <c r="E38" s="590">
        <f t="shared" si="3"/>
        <v>5535240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43908073</v>
      </c>
      <c r="D39" s="590">
        <f t="shared" si="2"/>
        <v>49443313</v>
      </c>
      <c r="E39" s="590">
        <f t="shared" si="3"/>
        <v>5535240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1199858</v>
      </c>
      <c r="D41" s="590">
        <f t="shared" si="2"/>
        <v>1480353</v>
      </c>
      <c r="E41" s="590">
        <f t="shared" si="3"/>
        <v>280495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3976255</v>
      </c>
      <c r="D42" s="590">
        <f t="shared" si="2"/>
        <v>2997022</v>
      </c>
      <c r="E42" s="590">
        <f t="shared" si="3"/>
        <v>-979233</v>
      </c>
    </row>
    <row r="43" spans="1:5" s="421" customFormat="1" x14ac:dyDescent="0.2">
      <c r="A43" s="588"/>
      <c r="B43" s="592" t="s">
        <v>787</v>
      </c>
      <c r="C43" s="593">
        <f>SUM(C37+C38+C41)</f>
        <v>135020649</v>
      </c>
      <c r="D43" s="593">
        <f>SUM(D37+D38+D41)</f>
        <v>142853775</v>
      </c>
      <c r="E43" s="593">
        <f t="shared" si="3"/>
        <v>7833126</v>
      </c>
    </row>
    <row r="44" spans="1:5" s="421" customFormat="1" x14ac:dyDescent="0.2">
      <c r="A44" s="588"/>
      <c r="B44" s="592" t="s">
        <v>724</v>
      </c>
      <c r="C44" s="593">
        <f>SUM(C36+C43)</f>
        <v>216749399</v>
      </c>
      <c r="D44" s="593">
        <f>SUM(D36+D43)</f>
        <v>224868002</v>
      </c>
      <c r="E44" s="593">
        <f t="shared" si="3"/>
        <v>8118603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8770228</v>
      </c>
      <c r="D47" s="589">
        <v>8870442</v>
      </c>
      <c r="E47" s="590">
        <f t="shared" ref="E47:E55" si="4">D47-C47</f>
        <v>100214</v>
      </c>
    </row>
    <row r="48" spans="1:5" s="421" customFormat="1" x14ac:dyDescent="0.2">
      <c r="A48" s="588">
        <v>2</v>
      </c>
      <c r="B48" s="587" t="s">
        <v>634</v>
      </c>
      <c r="C48" s="589">
        <v>17499150</v>
      </c>
      <c r="D48" s="591">
        <v>17746030</v>
      </c>
      <c r="E48" s="590">
        <f t="shared" si="4"/>
        <v>246880</v>
      </c>
    </row>
    <row r="49" spans="1:5" s="421" customFormat="1" x14ac:dyDescent="0.2">
      <c r="A49" s="588">
        <v>3</v>
      </c>
      <c r="B49" s="587" t="s">
        <v>776</v>
      </c>
      <c r="C49" s="589">
        <v>4809984</v>
      </c>
      <c r="D49" s="591">
        <v>6289360</v>
      </c>
      <c r="E49" s="590">
        <f t="shared" si="4"/>
        <v>1479376</v>
      </c>
    </row>
    <row r="50" spans="1:5" s="421" customFormat="1" x14ac:dyDescent="0.2">
      <c r="A50" s="588">
        <v>4</v>
      </c>
      <c r="B50" s="587" t="s">
        <v>115</v>
      </c>
      <c r="C50" s="589">
        <v>4809984</v>
      </c>
      <c r="D50" s="591">
        <v>6289360</v>
      </c>
      <c r="E50" s="590">
        <f t="shared" si="4"/>
        <v>1479376</v>
      </c>
    </row>
    <row r="51" spans="1:5" s="421" customFormat="1" x14ac:dyDescent="0.2">
      <c r="A51" s="588">
        <v>5</v>
      </c>
      <c r="B51" s="587" t="s">
        <v>742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94784</v>
      </c>
      <c r="D52" s="591">
        <v>110536</v>
      </c>
      <c r="E52" s="590">
        <f t="shared" si="4"/>
        <v>15752</v>
      </c>
    </row>
    <row r="53" spans="1:5" s="421" customFormat="1" x14ac:dyDescent="0.2">
      <c r="A53" s="588">
        <v>7</v>
      </c>
      <c r="B53" s="587" t="s">
        <v>757</v>
      </c>
      <c r="C53" s="589">
        <v>38867</v>
      </c>
      <c r="D53" s="591">
        <v>5560</v>
      </c>
      <c r="E53" s="590">
        <f t="shared" si="4"/>
        <v>-33307</v>
      </c>
    </row>
    <row r="54" spans="1:5" s="421" customFormat="1" x14ac:dyDescent="0.2">
      <c r="A54" s="588"/>
      <c r="B54" s="592" t="s">
        <v>789</v>
      </c>
      <c r="C54" s="593">
        <f>SUM(C48+C49+C52)</f>
        <v>22403918</v>
      </c>
      <c r="D54" s="593">
        <f>SUM(D48+D49+D52)</f>
        <v>24145926</v>
      </c>
      <c r="E54" s="593">
        <f t="shared" si="4"/>
        <v>1742008</v>
      </c>
    </row>
    <row r="55" spans="1:5" s="421" customFormat="1" x14ac:dyDescent="0.2">
      <c r="A55" s="588"/>
      <c r="B55" s="592" t="s">
        <v>466</v>
      </c>
      <c r="C55" s="593">
        <f>SUM(C47+C54)</f>
        <v>31174146</v>
      </c>
      <c r="D55" s="593">
        <f>SUM(D47+D54)</f>
        <v>33016368</v>
      </c>
      <c r="E55" s="593">
        <f t="shared" si="4"/>
        <v>1842222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38249692</v>
      </c>
      <c r="D58" s="589">
        <v>39411196</v>
      </c>
      <c r="E58" s="590">
        <f t="shared" ref="E58:E66" si="5">D58-C58</f>
        <v>1161504</v>
      </c>
    </row>
    <row r="59" spans="1:5" s="421" customFormat="1" x14ac:dyDescent="0.2">
      <c r="A59" s="588">
        <v>2</v>
      </c>
      <c r="B59" s="587" t="s">
        <v>634</v>
      </c>
      <c r="C59" s="589">
        <v>22589670</v>
      </c>
      <c r="D59" s="591">
        <v>21980288</v>
      </c>
      <c r="E59" s="590">
        <f t="shared" si="5"/>
        <v>-609382</v>
      </c>
    </row>
    <row r="60" spans="1:5" s="421" customFormat="1" x14ac:dyDescent="0.2">
      <c r="A60" s="588">
        <v>3</v>
      </c>
      <c r="B60" s="587" t="s">
        <v>776</v>
      </c>
      <c r="C60" s="589">
        <f>C61+C62</f>
        <v>11542331</v>
      </c>
      <c r="D60" s="591">
        <f>D61+D62</f>
        <v>10627679</v>
      </c>
      <c r="E60" s="590">
        <f t="shared" si="5"/>
        <v>-914652</v>
      </c>
    </row>
    <row r="61" spans="1:5" s="421" customFormat="1" x14ac:dyDescent="0.2">
      <c r="A61" s="588">
        <v>4</v>
      </c>
      <c r="B61" s="587" t="s">
        <v>115</v>
      </c>
      <c r="C61" s="589">
        <v>11542331</v>
      </c>
      <c r="D61" s="591">
        <v>10627679</v>
      </c>
      <c r="E61" s="590">
        <f t="shared" si="5"/>
        <v>-914652</v>
      </c>
    </row>
    <row r="62" spans="1:5" s="421" customFormat="1" x14ac:dyDescent="0.2">
      <c r="A62" s="588">
        <v>5</v>
      </c>
      <c r="B62" s="587" t="s">
        <v>742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350516</v>
      </c>
      <c r="D63" s="591">
        <v>329460</v>
      </c>
      <c r="E63" s="590">
        <f t="shared" si="5"/>
        <v>-21056</v>
      </c>
    </row>
    <row r="64" spans="1:5" s="421" customFormat="1" x14ac:dyDescent="0.2">
      <c r="A64" s="588">
        <v>7</v>
      </c>
      <c r="B64" s="587" t="s">
        <v>757</v>
      </c>
      <c r="C64" s="589">
        <v>212431</v>
      </c>
      <c r="D64" s="591">
        <v>30774</v>
      </c>
      <c r="E64" s="590">
        <f t="shared" si="5"/>
        <v>-181657</v>
      </c>
    </row>
    <row r="65" spans="1:5" s="421" customFormat="1" x14ac:dyDescent="0.2">
      <c r="A65" s="588"/>
      <c r="B65" s="592" t="s">
        <v>791</v>
      </c>
      <c r="C65" s="593">
        <f>SUM(C59+C60+C63)</f>
        <v>34482517</v>
      </c>
      <c r="D65" s="593">
        <f>SUM(D59+D60+D63)</f>
        <v>32937427</v>
      </c>
      <c r="E65" s="593">
        <f t="shared" si="5"/>
        <v>-1545090</v>
      </c>
    </row>
    <row r="66" spans="1:5" s="421" customFormat="1" x14ac:dyDescent="0.2">
      <c r="A66" s="588"/>
      <c r="B66" s="592" t="s">
        <v>468</v>
      </c>
      <c r="C66" s="593">
        <f>SUM(C58+C65)</f>
        <v>72732209</v>
      </c>
      <c r="D66" s="593">
        <f>SUM(D58+D65)</f>
        <v>72348623</v>
      </c>
      <c r="E66" s="593">
        <f t="shared" si="5"/>
        <v>-383586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47019920</v>
      </c>
      <c r="D69" s="590">
        <f t="shared" si="6"/>
        <v>48281638</v>
      </c>
      <c r="E69" s="590">
        <f t="shared" ref="E69:E77" si="7">D69-C69</f>
        <v>1261718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40088820</v>
      </c>
      <c r="D70" s="590">
        <f t="shared" si="6"/>
        <v>39726318</v>
      </c>
      <c r="E70" s="590">
        <f t="shared" si="7"/>
        <v>-362502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16352315</v>
      </c>
      <c r="D71" s="590">
        <f t="shared" si="6"/>
        <v>16917039</v>
      </c>
      <c r="E71" s="590">
        <f t="shared" si="7"/>
        <v>564724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16352315</v>
      </c>
      <c r="D72" s="590">
        <f t="shared" si="6"/>
        <v>16917039</v>
      </c>
      <c r="E72" s="590">
        <f t="shared" si="7"/>
        <v>564724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445300</v>
      </c>
      <c r="D74" s="590">
        <f t="shared" si="6"/>
        <v>439996</v>
      </c>
      <c r="E74" s="590">
        <f t="shared" si="7"/>
        <v>-5304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251298</v>
      </c>
      <c r="D75" s="590">
        <f t="shared" si="6"/>
        <v>36334</v>
      </c>
      <c r="E75" s="590">
        <f t="shared" si="7"/>
        <v>-214964</v>
      </c>
    </row>
    <row r="76" spans="1:5" s="421" customFormat="1" x14ac:dyDescent="0.2">
      <c r="A76" s="588"/>
      <c r="B76" s="592" t="s">
        <v>792</v>
      </c>
      <c r="C76" s="593">
        <f>SUM(C70+C71+C74)</f>
        <v>56886435</v>
      </c>
      <c r="D76" s="593">
        <f>SUM(D70+D71+D74)</f>
        <v>57083353</v>
      </c>
      <c r="E76" s="593">
        <f t="shared" si="7"/>
        <v>196918</v>
      </c>
    </row>
    <row r="77" spans="1:5" s="421" customFormat="1" x14ac:dyDescent="0.2">
      <c r="A77" s="588"/>
      <c r="B77" s="592" t="s">
        <v>725</v>
      </c>
      <c r="C77" s="593">
        <f>SUM(C69+C76)</f>
        <v>103906355</v>
      </c>
      <c r="D77" s="593">
        <f>SUM(D69+D76)</f>
        <v>105364991</v>
      </c>
      <c r="E77" s="593">
        <f t="shared" si="7"/>
        <v>1458636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7.1993671364228323E-2</v>
      </c>
      <c r="D83" s="599">
        <f t="shared" si="8"/>
        <v>6.7942032054876353E-2</v>
      </c>
      <c r="E83" s="599">
        <f t="shared" ref="E83:E91" si="9">D83-C83</f>
        <v>-4.0516393093519704E-3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0.15669524416997346</v>
      </c>
      <c r="D84" s="599">
        <f t="shared" si="8"/>
        <v>0.15123198364167437</v>
      </c>
      <c r="E84" s="599">
        <f t="shared" si="9"/>
        <v>-5.4632605282990965E-3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6.410321811319071E-2</v>
      </c>
      <c r="D85" s="599">
        <f t="shared" si="8"/>
        <v>6.5612870078331553E-2</v>
      </c>
      <c r="E85" s="599">
        <f t="shared" si="9"/>
        <v>1.509651965140843E-3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6.410321811319071E-2</v>
      </c>
      <c r="D86" s="599">
        <f t="shared" si="8"/>
        <v>6.5612870078331553E-2</v>
      </c>
      <c r="E86" s="599">
        <f t="shared" si="9"/>
        <v>1.509651965140843E-3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1.0246764282838912E-3</v>
      </c>
      <c r="D88" s="599">
        <f t="shared" si="8"/>
        <v>1.6814975747416478E-3</v>
      </c>
      <c r="E88" s="599">
        <f t="shared" si="9"/>
        <v>6.5682114645775665E-4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3.9538702481015878E-3</v>
      </c>
      <c r="D89" s="599">
        <f t="shared" si="8"/>
        <v>2.0933658671454733E-3</v>
      </c>
      <c r="E89" s="599">
        <f t="shared" si="9"/>
        <v>-1.8605043809561145E-3</v>
      </c>
    </row>
    <row r="90" spans="1:5" s="421" customFormat="1" x14ac:dyDescent="0.2">
      <c r="A90" s="588"/>
      <c r="B90" s="592" t="s">
        <v>795</v>
      </c>
      <c r="C90" s="600">
        <f>SUM(C84+C85+C88)</f>
        <v>0.22182313871144807</v>
      </c>
      <c r="D90" s="600">
        <f>SUM(D84+D85+D88)</f>
        <v>0.21852635129474757</v>
      </c>
      <c r="E90" s="601">
        <f t="shared" si="9"/>
        <v>-3.2967874167005029E-3</v>
      </c>
    </row>
    <row r="91" spans="1:5" s="421" customFormat="1" x14ac:dyDescent="0.2">
      <c r="A91" s="588"/>
      <c r="B91" s="592" t="s">
        <v>796</v>
      </c>
      <c r="C91" s="600">
        <f>SUM(C83+C90)</f>
        <v>0.29381681007567639</v>
      </c>
      <c r="D91" s="600">
        <f>SUM(D83+D90)</f>
        <v>0.28646838334962393</v>
      </c>
      <c r="E91" s="601">
        <f t="shared" si="9"/>
        <v>-7.3484267260524594E-3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0.30507196469781217</v>
      </c>
      <c r="D95" s="599">
        <f t="shared" si="10"/>
        <v>0.29677961028888405</v>
      </c>
      <c r="E95" s="599">
        <f t="shared" ref="E95:E103" si="11">D95-C95</f>
        <v>-8.2923544089281154E-3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0.25812813441757226</v>
      </c>
      <c r="D96" s="599">
        <f t="shared" si="10"/>
        <v>0.25758611489775235</v>
      </c>
      <c r="E96" s="599">
        <f t="shared" si="11"/>
        <v>-5.4201951981991403E-4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0.13847207484067811</v>
      </c>
      <c r="D97" s="599">
        <f t="shared" si="10"/>
        <v>0.15426418028119449</v>
      </c>
      <c r="E97" s="599">
        <f t="shared" si="11"/>
        <v>1.5792105440516374E-2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0.13847207484067811</v>
      </c>
      <c r="D98" s="599">
        <f t="shared" si="10"/>
        <v>0.15426418028119449</v>
      </c>
      <c r="E98" s="599">
        <f t="shared" si="11"/>
        <v>1.5792105440516374E-2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4.5110159682611164E-3</v>
      </c>
      <c r="D100" s="599">
        <f t="shared" si="10"/>
        <v>4.9017111825452164E-3</v>
      </c>
      <c r="E100" s="599">
        <f t="shared" si="11"/>
        <v>3.9069521428409994E-4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1.4391071045138169E-2</v>
      </c>
      <c r="D101" s="599">
        <f t="shared" si="10"/>
        <v>1.1234550836628148E-2</v>
      </c>
      <c r="E101" s="599">
        <f t="shared" si="11"/>
        <v>-3.1565202085100212E-3</v>
      </c>
    </row>
    <row r="102" spans="1:5" s="421" customFormat="1" x14ac:dyDescent="0.2">
      <c r="A102" s="588"/>
      <c r="B102" s="592" t="s">
        <v>798</v>
      </c>
      <c r="C102" s="600">
        <f>SUM(C96+C97+C100)</f>
        <v>0.40111122522651144</v>
      </c>
      <c r="D102" s="600">
        <f>SUM(D96+D97+D100)</f>
        <v>0.41675200636149207</v>
      </c>
      <c r="E102" s="601">
        <f t="shared" si="11"/>
        <v>1.564078113498063E-2</v>
      </c>
    </row>
    <row r="103" spans="1:5" s="421" customFormat="1" x14ac:dyDescent="0.2">
      <c r="A103" s="588"/>
      <c r="B103" s="592" t="s">
        <v>799</v>
      </c>
      <c r="C103" s="600">
        <f>SUM(C95+C102)</f>
        <v>0.70618318992432361</v>
      </c>
      <c r="D103" s="600">
        <f>SUM(D95+D102)</f>
        <v>0.71353161665037612</v>
      </c>
      <c r="E103" s="601">
        <f t="shared" si="11"/>
        <v>7.3484267260525149E-3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8.440511651091985E-2</v>
      </c>
      <c r="D109" s="599">
        <f t="shared" si="12"/>
        <v>8.4187754545530208E-2</v>
      </c>
      <c r="E109" s="599">
        <f t="shared" ref="E109:E117" si="13">D109-C109</f>
        <v>-2.1736196538964248E-4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0.16841270199498384</v>
      </c>
      <c r="D110" s="599">
        <f t="shared" si="12"/>
        <v>0.16842434884277643</v>
      </c>
      <c r="E110" s="599">
        <f t="shared" si="13"/>
        <v>1.1646847792590176E-5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4.629152855953806E-2</v>
      </c>
      <c r="D111" s="599">
        <f t="shared" si="12"/>
        <v>5.9691173892854034E-2</v>
      </c>
      <c r="E111" s="599">
        <f t="shared" si="13"/>
        <v>1.3399645333315974E-2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4.629152855953806E-2</v>
      </c>
      <c r="D112" s="599">
        <f t="shared" si="12"/>
        <v>5.9691173892854034E-2</v>
      </c>
      <c r="E112" s="599">
        <f t="shared" si="13"/>
        <v>1.3399645333315974E-2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9.1220599548506919E-4</v>
      </c>
      <c r="D114" s="599">
        <f t="shared" si="12"/>
        <v>1.049077107594495E-3</v>
      </c>
      <c r="E114" s="599">
        <f t="shared" si="13"/>
        <v>1.368711121094258E-4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3.7405796786924147E-4</v>
      </c>
      <c r="D115" s="599">
        <f t="shared" si="12"/>
        <v>5.2768950552086126E-5</v>
      </c>
      <c r="E115" s="599">
        <f t="shared" si="13"/>
        <v>-3.2128901731715535E-4</v>
      </c>
    </row>
    <row r="116" spans="1:5" s="421" customFormat="1" x14ac:dyDescent="0.2">
      <c r="A116" s="588"/>
      <c r="B116" s="592" t="s">
        <v>795</v>
      </c>
      <c r="C116" s="600">
        <f>SUM(C110+C111+C114)</f>
        <v>0.21561643655000698</v>
      </c>
      <c r="D116" s="600">
        <f>SUM(D110+D111+D114)</f>
        <v>0.22916459984322496</v>
      </c>
      <c r="E116" s="601">
        <f t="shared" si="13"/>
        <v>1.354816329321798E-2</v>
      </c>
    </row>
    <row r="117" spans="1:5" s="421" customFormat="1" x14ac:dyDescent="0.2">
      <c r="A117" s="588"/>
      <c r="B117" s="592" t="s">
        <v>796</v>
      </c>
      <c r="C117" s="600">
        <f>SUM(C109+C116)</f>
        <v>0.30002155306092682</v>
      </c>
      <c r="D117" s="600">
        <f>SUM(D109+D116)</f>
        <v>0.31335235438875519</v>
      </c>
      <c r="E117" s="601">
        <f t="shared" si="13"/>
        <v>1.3330801327828379E-2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0.3681169645494734</v>
      </c>
      <c r="D121" s="599">
        <f t="shared" si="14"/>
        <v>0.37404450592132638</v>
      </c>
      <c r="E121" s="599">
        <f t="shared" ref="E121:E129" si="15">D121-C121</f>
        <v>5.9275413718529735E-3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0.21740412316455524</v>
      </c>
      <c r="D122" s="599">
        <f t="shared" si="14"/>
        <v>0.20861092276845541</v>
      </c>
      <c r="E122" s="599">
        <f t="shared" si="15"/>
        <v>-8.7932003960998206E-3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0.1110839755662683</v>
      </c>
      <c r="D123" s="599">
        <f t="shared" si="14"/>
        <v>0.10086537187669858</v>
      </c>
      <c r="E123" s="599">
        <f t="shared" si="15"/>
        <v>-1.0218603689569714E-2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0.1110839755662683</v>
      </c>
      <c r="D124" s="599">
        <f t="shared" si="14"/>
        <v>0.10086537187669858</v>
      </c>
      <c r="E124" s="599">
        <f t="shared" si="15"/>
        <v>-1.0218603689569714E-2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3.3733836587762126E-3</v>
      </c>
      <c r="D126" s="599">
        <f t="shared" si="14"/>
        <v>3.1268450447644418E-3</v>
      </c>
      <c r="E126" s="599">
        <f t="shared" si="15"/>
        <v>-2.4653861401177082E-4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2.0444466558373641E-3</v>
      </c>
      <c r="D127" s="599">
        <f t="shared" si="14"/>
        <v>2.9207044681472998E-4</v>
      </c>
      <c r="E127" s="599">
        <f t="shared" si="15"/>
        <v>-1.7523762090226342E-3</v>
      </c>
    </row>
    <row r="128" spans="1:5" s="421" customFormat="1" x14ac:dyDescent="0.2">
      <c r="A128" s="588"/>
      <c r="B128" s="592" t="s">
        <v>798</v>
      </c>
      <c r="C128" s="600">
        <f>SUM(C122+C123+C126)</f>
        <v>0.33186148238959973</v>
      </c>
      <c r="D128" s="600">
        <f>SUM(D122+D123+D126)</f>
        <v>0.31260313968991849</v>
      </c>
      <c r="E128" s="601">
        <f t="shared" si="15"/>
        <v>-1.9258342699681241E-2</v>
      </c>
    </row>
    <row r="129" spans="1:5" s="421" customFormat="1" x14ac:dyDescent="0.2">
      <c r="A129" s="588"/>
      <c r="B129" s="592" t="s">
        <v>799</v>
      </c>
      <c r="C129" s="600">
        <f>SUM(C121+C128)</f>
        <v>0.69997844693907307</v>
      </c>
      <c r="D129" s="600">
        <f>SUM(D121+D128)</f>
        <v>0.68664764561124492</v>
      </c>
      <c r="E129" s="601">
        <f t="shared" si="15"/>
        <v>-1.3330801327828157E-2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0.99999999999999989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1099</v>
      </c>
      <c r="D137" s="606">
        <v>1728</v>
      </c>
      <c r="E137" s="607">
        <f t="shared" ref="E137:E145" si="16">D137-C137</f>
        <v>629</v>
      </c>
    </row>
    <row r="138" spans="1:5" s="421" customFormat="1" x14ac:dyDescent="0.2">
      <c r="A138" s="588">
        <v>2</v>
      </c>
      <c r="B138" s="587" t="s">
        <v>634</v>
      </c>
      <c r="C138" s="606">
        <v>1947</v>
      </c>
      <c r="D138" s="606">
        <v>1804</v>
      </c>
      <c r="E138" s="607">
        <f t="shared" si="16"/>
        <v>-143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1265</v>
      </c>
      <c r="D139" s="606">
        <f>D140+D141</f>
        <v>948</v>
      </c>
      <c r="E139" s="607">
        <f t="shared" si="16"/>
        <v>-317</v>
      </c>
    </row>
    <row r="140" spans="1:5" s="421" customFormat="1" x14ac:dyDescent="0.2">
      <c r="A140" s="588">
        <v>4</v>
      </c>
      <c r="B140" s="587" t="s">
        <v>115</v>
      </c>
      <c r="C140" s="606">
        <v>1265</v>
      </c>
      <c r="D140" s="606">
        <v>948</v>
      </c>
      <c r="E140" s="607">
        <f t="shared" si="16"/>
        <v>-317</v>
      </c>
    </row>
    <row r="141" spans="1:5" s="421" customFormat="1" x14ac:dyDescent="0.2">
      <c r="A141" s="588">
        <v>5</v>
      </c>
      <c r="B141" s="587" t="s">
        <v>742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20</v>
      </c>
      <c r="D142" s="606">
        <v>31</v>
      </c>
      <c r="E142" s="607">
        <f t="shared" si="16"/>
        <v>11</v>
      </c>
    </row>
    <row r="143" spans="1:5" s="421" customFormat="1" x14ac:dyDescent="0.2">
      <c r="A143" s="588">
        <v>7</v>
      </c>
      <c r="B143" s="587" t="s">
        <v>757</v>
      </c>
      <c r="C143" s="606">
        <v>59</v>
      </c>
      <c r="D143" s="606">
        <v>61</v>
      </c>
      <c r="E143" s="607">
        <f t="shared" si="16"/>
        <v>2</v>
      </c>
    </row>
    <row r="144" spans="1:5" s="421" customFormat="1" x14ac:dyDescent="0.2">
      <c r="A144" s="588"/>
      <c r="B144" s="592" t="s">
        <v>806</v>
      </c>
      <c r="C144" s="608">
        <f>SUM(C138+C139+C142)</f>
        <v>3232</v>
      </c>
      <c r="D144" s="608">
        <f>SUM(D138+D139+D142)</f>
        <v>2783</v>
      </c>
      <c r="E144" s="609">
        <f t="shared" si="16"/>
        <v>-449</v>
      </c>
    </row>
    <row r="145" spans="1:5" s="421" customFormat="1" x14ac:dyDescent="0.2">
      <c r="A145" s="588"/>
      <c r="B145" s="592" t="s">
        <v>138</v>
      </c>
      <c r="C145" s="608">
        <f>SUM(C137+C144)</f>
        <v>4331</v>
      </c>
      <c r="D145" s="608">
        <f>SUM(D137+D144)</f>
        <v>4511</v>
      </c>
      <c r="E145" s="609">
        <f t="shared" si="16"/>
        <v>180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3481</v>
      </c>
      <c r="D149" s="610">
        <v>6454</v>
      </c>
      <c r="E149" s="607">
        <f t="shared" ref="E149:E157" si="17">D149-C149</f>
        <v>2973</v>
      </c>
    </row>
    <row r="150" spans="1:5" s="421" customFormat="1" x14ac:dyDescent="0.2">
      <c r="A150" s="588">
        <v>2</v>
      </c>
      <c r="B150" s="587" t="s">
        <v>634</v>
      </c>
      <c r="C150" s="610">
        <v>8161</v>
      </c>
      <c r="D150" s="610">
        <v>6738</v>
      </c>
      <c r="E150" s="607">
        <f t="shared" si="17"/>
        <v>-1423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4430</v>
      </c>
      <c r="D151" s="610">
        <f>D152+D153</f>
        <v>3538</v>
      </c>
      <c r="E151" s="607">
        <f t="shared" si="17"/>
        <v>-892</v>
      </c>
    </row>
    <row r="152" spans="1:5" s="421" customFormat="1" x14ac:dyDescent="0.2">
      <c r="A152" s="588">
        <v>4</v>
      </c>
      <c r="B152" s="587" t="s">
        <v>115</v>
      </c>
      <c r="C152" s="610">
        <v>4430</v>
      </c>
      <c r="D152" s="610">
        <v>3538</v>
      </c>
      <c r="E152" s="607">
        <f t="shared" si="17"/>
        <v>-892</v>
      </c>
    </row>
    <row r="153" spans="1:5" s="421" customFormat="1" x14ac:dyDescent="0.2">
      <c r="A153" s="588">
        <v>5</v>
      </c>
      <c r="B153" s="587" t="s">
        <v>742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52</v>
      </c>
      <c r="D154" s="610">
        <v>114</v>
      </c>
      <c r="E154" s="607">
        <f t="shared" si="17"/>
        <v>62</v>
      </c>
    </row>
    <row r="155" spans="1:5" s="421" customFormat="1" x14ac:dyDescent="0.2">
      <c r="A155" s="588">
        <v>7</v>
      </c>
      <c r="B155" s="587" t="s">
        <v>757</v>
      </c>
      <c r="C155" s="610">
        <v>208</v>
      </c>
      <c r="D155" s="610">
        <v>226</v>
      </c>
      <c r="E155" s="607">
        <f t="shared" si="17"/>
        <v>18</v>
      </c>
    </row>
    <row r="156" spans="1:5" s="421" customFormat="1" x14ac:dyDescent="0.2">
      <c r="A156" s="588"/>
      <c r="B156" s="592" t="s">
        <v>807</v>
      </c>
      <c r="C156" s="608">
        <f>SUM(C150+C151+C154)</f>
        <v>12643</v>
      </c>
      <c r="D156" s="608">
        <f>SUM(D150+D151+D154)</f>
        <v>10390</v>
      </c>
      <c r="E156" s="609">
        <f t="shared" si="17"/>
        <v>-2253</v>
      </c>
    </row>
    <row r="157" spans="1:5" s="421" customFormat="1" x14ac:dyDescent="0.2">
      <c r="A157" s="588"/>
      <c r="B157" s="592" t="s">
        <v>140</v>
      </c>
      <c r="C157" s="608">
        <f>SUM(C149+C156)</f>
        <v>16124</v>
      </c>
      <c r="D157" s="608">
        <f>SUM(D149+D156)</f>
        <v>16844</v>
      </c>
      <c r="E157" s="609">
        <f t="shared" si="17"/>
        <v>720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3.167424931756142</v>
      </c>
      <c r="D161" s="612">
        <f t="shared" si="18"/>
        <v>3.7349537037037037</v>
      </c>
      <c r="E161" s="613">
        <f t="shared" ref="E161:E169" si="19">D161-C161</f>
        <v>0.56752877194756168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4.1915767847971237</v>
      </c>
      <c r="D162" s="612">
        <f t="shared" si="18"/>
        <v>3.7350332594235032</v>
      </c>
      <c r="E162" s="613">
        <f t="shared" si="19"/>
        <v>-0.45654352537362053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3.5019762845849804</v>
      </c>
      <c r="D163" s="612">
        <f t="shared" si="18"/>
        <v>3.7320675105485233</v>
      </c>
      <c r="E163" s="613">
        <f t="shared" si="19"/>
        <v>0.23009122596354281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3.5019762845849804</v>
      </c>
      <c r="D164" s="612">
        <f t="shared" si="18"/>
        <v>3.7320675105485233</v>
      </c>
      <c r="E164" s="613">
        <f t="shared" si="19"/>
        <v>0.23009122596354281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</v>
      </c>
      <c r="D166" s="612">
        <f t="shared" si="18"/>
        <v>3.6774193548387095</v>
      </c>
      <c r="E166" s="613">
        <f t="shared" si="19"/>
        <v>1.0774193548387094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3.5254237288135593</v>
      </c>
      <c r="D167" s="612">
        <f t="shared" si="18"/>
        <v>3.7049180327868854</v>
      </c>
      <c r="E167" s="613">
        <f t="shared" si="19"/>
        <v>0.17949430397332611</v>
      </c>
    </row>
    <row r="168" spans="1:5" s="421" customFormat="1" x14ac:dyDescent="0.2">
      <c r="A168" s="588"/>
      <c r="B168" s="592" t="s">
        <v>809</v>
      </c>
      <c r="C168" s="614">
        <f t="shared" si="18"/>
        <v>3.9118193069306932</v>
      </c>
      <c r="D168" s="614">
        <f t="shared" si="18"/>
        <v>3.7333812432626661</v>
      </c>
      <c r="E168" s="615">
        <f t="shared" si="19"/>
        <v>-0.17843806366802717</v>
      </c>
    </row>
    <row r="169" spans="1:5" s="421" customFormat="1" x14ac:dyDescent="0.2">
      <c r="A169" s="588"/>
      <c r="B169" s="592" t="s">
        <v>743</v>
      </c>
      <c r="C169" s="614">
        <f t="shared" si="18"/>
        <v>3.7229277303163242</v>
      </c>
      <c r="D169" s="614">
        <f t="shared" si="18"/>
        <v>3.7339835956550655</v>
      </c>
      <c r="E169" s="615">
        <f t="shared" si="19"/>
        <v>1.1055865338741366E-2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0.9575999999999999</v>
      </c>
      <c r="D173" s="617">
        <f t="shared" si="20"/>
        <v>0.96589999999999998</v>
      </c>
      <c r="E173" s="618">
        <f t="shared" ref="E173:E181" si="21">D173-C173</f>
        <v>8.3000000000000851E-3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1.2448999999999999</v>
      </c>
      <c r="D174" s="617">
        <f t="shared" si="20"/>
        <v>1.1777999999999997</v>
      </c>
      <c r="E174" s="618">
        <f t="shared" si="21"/>
        <v>-6.710000000000016E-2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0.89239999999999997</v>
      </c>
      <c r="D175" s="617">
        <f t="shared" si="20"/>
        <v>0.89770000000000005</v>
      </c>
      <c r="E175" s="618">
        <f t="shared" si="21"/>
        <v>5.3000000000000824E-3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0.89239999999999997</v>
      </c>
      <c r="D176" s="617">
        <f t="shared" si="20"/>
        <v>0.89770000000000005</v>
      </c>
      <c r="E176" s="618">
        <f t="shared" si="21"/>
        <v>5.3000000000000824E-3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1.1019000000000001</v>
      </c>
      <c r="D178" s="617">
        <f t="shared" si="20"/>
        <v>0.73329999999999995</v>
      </c>
      <c r="E178" s="618">
        <f t="shared" si="21"/>
        <v>-0.36860000000000015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0.89780000000000004</v>
      </c>
      <c r="D179" s="617">
        <f t="shared" si="20"/>
        <v>0.88460000000000005</v>
      </c>
      <c r="E179" s="618">
        <f t="shared" si="21"/>
        <v>-1.319999999999999E-2</v>
      </c>
    </row>
    <row r="180" spans="1:5" s="421" customFormat="1" x14ac:dyDescent="0.2">
      <c r="A180" s="588"/>
      <c r="B180" s="592" t="s">
        <v>811</v>
      </c>
      <c r="C180" s="619">
        <f t="shared" si="20"/>
        <v>1.1060471225247523</v>
      </c>
      <c r="D180" s="619">
        <f t="shared" si="20"/>
        <v>1.0774355371900826</v>
      </c>
      <c r="E180" s="620">
        <f t="shared" si="21"/>
        <v>-2.8611585334669787E-2</v>
      </c>
    </row>
    <row r="181" spans="1:5" s="421" customFormat="1" x14ac:dyDescent="0.2">
      <c r="A181" s="588"/>
      <c r="B181" s="592" t="s">
        <v>722</v>
      </c>
      <c r="C181" s="619">
        <f t="shared" si="20"/>
        <v>1.0683783652736087</v>
      </c>
      <c r="D181" s="619">
        <f t="shared" si="20"/>
        <v>1.0347103303037022</v>
      </c>
      <c r="E181" s="620">
        <f t="shared" si="21"/>
        <v>-3.3668034969906557E-2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813</v>
      </c>
      <c r="C185" s="589">
        <v>81728750</v>
      </c>
      <c r="D185" s="589">
        <v>82014227</v>
      </c>
      <c r="E185" s="590">
        <f>D185-C185</f>
        <v>285477</v>
      </c>
    </row>
    <row r="186" spans="1:5" s="421" customFormat="1" ht="25.5" x14ac:dyDescent="0.2">
      <c r="A186" s="588">
        <v>2</v>
      </c>
      <c r="B186" s="587" t="s">
        <v>814</v>
      </c>
      <c r="C186" s="589">
        <v>47019920</v>
      </c>
      <c r="D186" s="589">
        <v>48281638</v>
      </c>
      <c r="E186" s="590">
        <f>D186-C186</f>
        <v>1261718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34708830</v>
      </c>
      <c r="D188" s="622">
        <f>+D185-D186</f>
        <v>33732589</v>
      </c>
      <c r="E188" s="590">
        <f t="shared" ref="E188:E197" si="22">D188-C188</f>
        <v>-976241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0.42468323570347033</v>
      </c>
      <c r="D189" s="623">
        <f>IF(D185=0,0,+D188/D185)</f>
        <v>0.41130167574462417</v>
      </c>
      <c r="E189" s="599">
        <f t="shared" si="22"/>
        <v>-1.3381559958846156E-2</v>
      </c>
    </row>
    <row r="190" spans="1:5" s="421" customFormat="1" x14ac:dyDescent="0.2">
      <c r="A190" s="588">
        <v>5</v>
      </c>
      <c r="B190" s="587" t="s">
        <v>761</v>
      </c>
      <c r="C190" s="589">
        <v>3866194</v>
      </c>
      <c r="D190" s="589">
        <v>3210149</v>
      </c>
      <c r="E190" s="622">
        <f t="shared" si="22"/>
        <v>-656045</v>
      </c>
    </row>
    <row r="191" spans="1:5" s="421" customFormat="1" x14ac:dyDescent="0.2">
      <c r="A191" s="588">
        <v>6</v>
      </c>
      <c r="B191" s="587" t="s">
        <v>747</v>
      </c>
      <c r="C191" s="589">
        <v>1896369</v>
      </c>
      <c r="D191" s="589">
        <v>1670648</v>
      </c>
      <c r="E191" s="622">
        <f t="shared" si="22"/>
        <v>-225721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703850</v>
      </c>
      <c r="D193" s="589">
        <v>522721</v>
      </c>
      <c r="E193" s="622">
        <f t="shared" si="22"/>
        <v>-181129</v>
      </c>
    </row>
    <row r="194" spans="1:5" s="421" customFormat="1" x14ac:dyDescent="0.2">
      <c r="A194" s="588">
        <v>9</v>
      </c>
      <c r="B194" s="587" t="s">
        <v>817</v>
      </c>
      <c r="C194" s="589">
        <v>3021107</v>
      </c>
      <c r="D194" s="589">
        <v>3150512</v>
      </c>
      <c r="E194" s="622">
        <f t="shared" si="22"/>
        <v>129405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3724957</v>
      </c>
      <c r="D195" s="589">
        <f>+D193+D194</f>
        <v>3673233</v>
      </c>
      <c r="E195" s="625">
        <f t="shared" si="22"/>
        <v>-51724</v>
      </c>
    </row>
    <row r="196" spans="1:5" s="421" customFormat="1" x14ac:dyDescent="0.2">
      <c r="A196" s="588">
        <v>11</v>
      </c>
      <c r="B196" s="587" t="s">
        <v>819</v>
      </c>
      <c r="C196" s="589">
        <v>4807000</v>
      </c>
      <c r="D196" s="589">
        <v>6153524</v>
      </c>
      <c r="E196" s="622">
        <f t="shared" si="22"/>
        <v>1346524</v>
      </c>
    </row>
    <row r="197" spans="1:5" s="421" customFormat="1" x14ac:dyDescent="0.2">
      <c r="A197" s="588">
        <v>12</v>
      </c>
      <c r="B197" s="587" t="s">
        <v>709</v>
      </c>
      <c r="C197" s="589">
        <v>110624592</v>
      </c>
      <c r="D197" s="589">
        <v>109004882</v>
      </c>
      <c r="E197" s="622">
        <f t="shared" si="22"/>
        <v>-1619710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1052.4023999999999</v>
      </c>
      <c r="D203" s="629">
        <v>1669.0752</v>
      </c>
      <c r="E203" s="630">
        <f t="shared" ref="E203:E211" si="23">D203-C203</f>
        <v>616.67280000000005</v>
      </c>
    </row>
    <row r="204" spans="1:5" s="421" customFormat="1" x14ac:dyDescent="0.2">
      <c r="A204" s="588">
        <v>2</v>
      </c>
      <c r="B204" s="587" t="s">
        <v>634</v>
      </c>
      <c r="C204" s="629">
        <v>2423.8202999999999</v>
      </c>
      <c r="D204" s="629">
        <v>2124.7511999999997</v>
      </c>
      <c r="E204" s="630">
        <f t="shared" si="23"/>
        <v>-299.06910000000016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1128.886</v>
      </c>
      <c r="D205" s="629">
        <f>D206+D207</f>
        <v>851.01960000000008</v>
      </c>
      <c r="E205" s="630">
        <f t="shared" si="23"/>
        <v>-277.86639999999989</v>
      </c>
    </row>
    <row r="206" spans="1:5" s="421" customFormat="1" x14ac:dyDescent="0.2">
      <c r="A206" s="588">
        <v>4</v>
      </c>
      <c r="B206" s="587" t="s">
        <v>115</v>
      </c>
      <c r="C206" s="629">
        <v>1128.886</v>
      </c>
      <c r="D206" s="629">
        <v>851.01960000000008</v>
      </c>
      <c r="E206" s="630">
        <f t="shared" si="23"/>
        <v>-277.86639999999989</v>
      </c>
    </row>
    <row r="207" spans="1:5" s="421" customFormat="1" x14ac:dyDescent="0.2">
      <c r="A207" s="588">
        <v>5</v>
      </c>
      <c r="B207" s="587" t="s">
        <v>742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22.038000000000004</v>
      </c>
      <c r="D208" s="629">
        <v>22.732299999999999</v>
      </c>
      <c r="E208" s="630">
        <f t="shared" si="23"/>
        <v>0.69429999999999481</v>
      </c>
    </row>
    <row r="209" spans="1:5" s="421" customFormat="1" x14ac:dyDescent="0.2">
      <c r="A209" s="588">
        <v>7</v>
      </c>
      <c r="B209" s="587" t="s">
        <v>757</v>
      </c>
      <c r="C209" s="629">
        <v>52.970200000000006</v>
      </c>
      <c r="D209" s="629">
        <v>53.960600000000007</v>
      </c>
      <c r="E209" s="630">
        <f t="shared" si="23"/>
        <v>0.99040000000000106</v>
      </c>
    </row>
    <row r="210" spans="1:5" s="421" customFormat="1" x14ac:dyDescent="0.2">
      <c r="A210" s="588"/>
      <c r="B210" s="592" t="s">
        <v>822</v>
      </c>
      <c r="C210" s="631">
        <f>C204+C205+C208</f>
        <v>3574.7442999999998</v>
      </c>
      <c r="D210" s="631">
        <f>D204+D205+D208</f>
        <v>2998.5030999999999</v>
      </c>
      <c r="E210" s="632">
        <f t="shared" si="23"/>
        <v>-576.24119999999994</v>
      </c>
    </row>
    <row r="211" spans="1:5" s="421" customFormat="1" x14ac:dyDescent="0.2">
      <c r="A211" s="588"/>
      <c r="B211" s="592" t="s">
        <v>723</v>
      </c>
      <c r="C211" s="631">
        <f>C210+C203</f>
        <v>4627.1466999999993</v>
      </c>
      <c r="D211" s="631">
        <f>D210+D203</f>
        <v>4667.5783000000001</v>
      </c>
      <c r="E211" s="632">
        <f t="shared" si="23"/>
        <v>40.431600000000799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4656.9939114048848</v>
      </c>
      <c r="D215" s="633">
        <f>IF(D14*D137=0,0,D25/D14*D137)</f>
        <v>7548.1281773406172</v>
      </c>
      <c r="E215" s="633">
        <f t="shared" ref="E215:E223" si="24">D215-C215</f>
        <v>2891.1342659357324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3207.3435308977846</v>
      </c>
      <c r="D216" s="633">
        <f>IF(D15*D138=0,0,D26/D15*D138)</f>
        <v>3072.6658480957317</v>
      </c>
      <c r="E216" s="633">
        <f t="shared" si="24"/>
        <v>-134.67768280205291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2732.580045578291</v>
      </c>
      <c r="D217" s="633">
        <f>D218+D219</f>
        <v>2228.8682499634851</v>
      </c>
      <c r="E217" s="633">
        <f t="shared" si="24"/>
        <v>-503.71179561480585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2732.580045578291</v>
      </c>
      <c r="D218" s="633">
        <f t="shared" si="25"/>
        <v>2228.8682499634851</v>
      </c>
      <c r="E218" s="633">
        <f t="shared" si="24"/>
        <v>-503.71179561480585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88.047618618807917</v>
      </c>
      <c r="D220" s="633">
        <f t="shared" si="25"/>
        <v>90.367687079327709</v>
      </c>
      <c r="E220" s="633">
        <f t="shared" si="24"/>
        <v>2.3200684605197921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214.74482934052432</v>
      </c>
      <c r="D221" s="633">
        <f t="shared" si="25"/>
        <v>327.37115465095775</v>
      </c>
      <c r="E221" s="633">
        <f t="shared" si="24"/>
        <v>112.62632531043343</v>
      </c>
    </row>
    <row r="222" spans="1:5" s="421" customFormat="1" x14ac:dyDescent="0.2">
      <c r="A222" s="588"/>
      <c r="B222" s="592" t="s">
        <v>824</v>
      </c>
      <c r="C222" s="634">
        <f>C216+C218+C219+C220</f>
        <v>6027.971195094884</v>
      </c>
      <c r="D222" s="634">
        <f>D216+D218+D219+D220</f>
        <v>5391.9017851385452</v>
      </c>
      <c r="E222" s="634">
        <f t="shared" si="24"/>
        <v>-636.06940995633886</v>
      </c>
    </row>
    <row r="223" spans="1:5" s="421" customFormat="1" x14ac:dyDescent="0.2">
      <c r="A223" s="588"/>
      <c r="B223" s="592" t="s">
        <v>825</v>
      </c>
      <c r="C223" s="634">
        <f>C215+C222</f>
        <v>10684.965106499769</v>
      </c>
      <c r="D223" s="634">
        <f>D215+D222</f>
        <v>12940.029962479162</v>
      </c>
      <c r="E223" s="634">
        <f t="shared" si="24"/>
        <v>2255.0648559793935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8333.5309763641744</v>
      </c>
      <c r="D227" s="636">
        <f t="shared" si="26"/>
        <v>5314.5849869436679</v>
      </c>
      <c r="E227" s="636">
        <f t="shared" ref="E227:E235" si="27">D227-C227</f>
        <v>-3018.9459894205065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7219.6565067138026</v>
      </c>
      <c r="D228" s="636">
        <f t="shared" si="26"/>
        <v>8352.0508189382381</v>
      </c>
      <c r="E228" s="636">
        <f t="shared" si="27"/>
        <v>1132.3943122244355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4260.823502107387</v>
      </c>
      <c r="D229" s="636">
        <f t="shared" si="26"/>
        <v>7390.382078156601</v>
      </c>
      <c r="E229" s="636">
        <f t="shared" si="27"/>
        <v>3129.558576049214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4260.823502107387</v>
      </c>
      <c r="D230" s="636">
        <f t="shared" si="26"/>
        <v>7390.382078156601</v>
      </c>
      <c r="E230" s="636">
        <f t="shared" si="27"/>
        <v>3129.558576049214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4300.9347490697874</v>
      </c>
      <c r="D232" s="636">
        <f t="shared" si="26"/>
        <v>4862.508413139014</v>
      </c>
      <c r="E232" s="636">
        <f t="shared" si="27"/>
        <v>561.57366406922665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733.75218519091857</v>
      </c>
      <c r="D233" s="636">
        <f t="shared" si="26"/>
        <v>103.03814264481862</v>
      </c>
      <c r="E233" s="636">
        <f t="shared" si="27"/>
        <v>-630.7140425460999</v>
      </c>
    </row>
    <row r="234" spans="1:5" x14ac:dyDescent="0.2">
      <c r="A234" s="588"/>
      <c r="B234" s="592" t="s">
        <v>827</v>
      </c>
      <c r="C234" s="637">
        <f t="shared" si="26"/>
        <v>6267.2784735959995</v>
      </c>
      <c r="D234" s="637">
        <f t="shared" si="26"/>
        <v>8052.6600089224521</v>
      </c>
      <c r="E234" s="637">
        <f t="shared" si="27"/>
        <v>1785.3815353264526</v>
      </c>
    </row>
    <row r="235" spans="1:5" s="421" customFormat="1" x14ac:dyDescent="0.2">
      <c r="A235" s="588"/>
      <c r="B235" s="592" t="s">
        <v>828</v>
      </c>
      <c r="C235" s="637">
        <f t="shared" si="26"/>
        <v>6737.2287980409192</v>
      </c>
      <c r="D235" s="637">
        <f t="shared" si="26"/>
        <v>7073.5541811907042</v>
      </c>
      <c r="E235" s="637">
        <f t="shared" si="27"/>
        <v>336.32538314978501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8213.3867313691935</v>
      </c>
      <c r="D239" s="636">
        <f t="shared" si="28"/>
        <v>5221.3204484671969</v>
      </c>
      <c r="E239" s="638">
        <f t="shared" ref="E239:E247" si="29">D239-C239</f>
        <v>-2992.0662829019966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7043.1089723889991</v>
      </c>
      <c r="D240" s="636">
        <f t="shared" si="28"/>
        <v>7153.4911658624278</v>
      </c>
      <c r="E240" s="638">
        <f t="shared" si="29"/>
        <v>110.38219347342874</v>
      </c>
    </row>
    <row r="241" spans="1:5" x14ac:dyDescent="0.2">
      <c r="A241" s="588">
        <v>3</v>
      </c>
      <c r="B241" s="587" t="s">
        <v>776</v>
      </c>
      <c r="C241" s="636">
        <f t="shared" si="28"/>
        <v>4223.9681207791728</v>
      </c>
      <c r="D241" s="636">
        <f t="shared" si="28"/>
        <v>4768.1952489448895</v>
      </c>
      <c r="E241" s="638">
        <f t="shared" si="29"/>
        <v>544.22712816571675</v>
      </c>
    </row>
    <row r="242" spans="1:5" x14ac:dyDescent="0.2">
      <c r="A242" s="588">
        <v>4</v>
      </c>
      <c r="B242" s="587" t="s">
        <v>115</v>
      </c>
      <c r="C242" s="636">
        <f t="shared" si="28"/>
        <v>4223.9681207791728</v>
      </c>
      <c r="D242" s="636">
        <f t="shared" si="28"/>
        <v>4768.1952489448895</v>
      </c>
      <c r="E242" s="638">
        <f t="shared" si="29"/>
        <v>544.22712816571675</v>
      </c>
    </row>
    <row r="243" spans="1:5" x14ac:dyDescent="0.2">
      <c r="A243" s="588">
        <v>5</v>
      </c>
      <c r="B243" s="587" t="s">
        <v>742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3980.9821719031252</v>
      </c>
      <c r="D244" s="636">
        <f t="shared" si="28"/>
        <v>3645.7721852589771</v>
      </c>
      <c r="E244" s="638">
        <f t="shared" si="29"/>
        <v>-335.2099866441481</v>
      </c>
    </row>
    <row r="245" spans="1:5" x14ac:dyDescent="0.2">
      <c r="A245" s="588">
        <v>7</v>
      </c>
      <c r="B245" s="587" t="s">
        <v>757</v>
      </c>
      <c r="C245" s="636">
        <f t="shared" si="28"/>
        <v>989.22521511865955</v>
      </c>
      <c r="D245" s="636">
        <f t="shared" si="28"/>
        <v>94.003395115281791</v>
      </c>
      <c r="E245" s="638">
        <f t="shared" si="29"/>
        <v>-895.22182000337773</v>
      </c>
    </row>
    <row r="246" spans="1:5" ht="25.5" x14ac:dyDescent="0.2">
      <c r="A246" s="588"/>
      <c r="B246" s="592" t="s">
        <v>830</v>
      </c>
      <c r="C246" s="637">
        <f t="shared" si="28"/>
        <v>5720.4183437471156</v>
      </c>
      <c r="D246" s="637">
        <f t="shared" si="28"/>
        <v>6108.6845258910207</v>
      </c>
      <c r="E246" s="639">
        <f t="shared" si="29"/>
        <v>388.2661821439051</v>
      </c>
    </row>
    <row r="247" spans="1:5" x14ac:dyDescent="0.2">
      <c r="A247" s="588"/>
      <c r="B247" s="592" t="s">
        <v>831</v>
      </c>
      <c r="C247" s="637">
        <f t="shared" si="28"/>
        <v>6806.9673859539589</v>
      </c>
      <c r="D247" s="637">
        <f t="shared" si="28"/>
        <v>5591.0707478871118</v>
      </c>
      <c r="E247" s="639">
        <f t="shared" si="29"/>
        <v>-1215.8966380668471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7703528.0367836012</v>
      </c>
      <c r="D251" s="622">
        <f>((IF((IF(D15=0,0,D26/D15)*D138)=0,0,D59/(IF(D15=0,0,D26/D15)*D138)))-(IF((IF(D17=0,0,D28/D17)*D140)=0,0,D61/(IF(D17=0,0,D28/D17)*D140))))*(IF(D17=0,0,D28/D17)*D140)</f>
        <v>5316510.3359850403</v>
      </c>
      <c r="E251" s="622">
        <f>D251-C251</f>
        <v>-2387017.7007985609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1643599.8833943228</v>
      </c>
      <c r="D253" s="622">
        <f>IF(D233=0,0,(D228-D233)*D209+IF(D221=0,0,(D240-D245)*D221))</f>
        <v>2756194.3361742077</v>
      </c>
      <c r="E253" s="622">
        <f>D253-C253</f>
        <v>1112594.4527798849</v>
      </c>
    </row>
    <row r="254" spans="1:5" ht="15" customHeight="1" x14ac:dyDescent="0.2">
      <c r="A254" s="588"/>
      <c r="B254" s="592" t="s">
        <v>758</v>
      </c>
      <c r="C254" s="640">
        <f>+C251+C252+C253</f>
        <v>9347127.9201779235</v>
      </c>
      <c r="D254" s="640">
        <f>+D251+D252+D253</f>
        <v>8072704.672159248</v>
      </c>
      <c r="E254" s="640">
        <f>D254-C254</f>
        <v>-1274423.2480186755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216749399</v>
      </c>
      <c r="D258" s="625">
        <f>+D44</f>
        <v>224868002</v>
      </c>
      <c r="E258" s="622">
        <f t="shared" ref="E258:E271" si="30">D258-C258</f>
        <v>8118603</v>
      </c>
    </row>
    <row r="259" spans="1:5" x14ac:dyDescent="0.2">
      <c r="A259" s="588">
        <v>2</v>
      </c>
      <c r="B259" s="587" t="s">
        <v>741</v>
      </c>
      <c r="C259" s="622">
        <f>+(C43-C76)</f>
        <v>78134214</v>
      </c>
      <c r="D259" s="625">
        <f>+(D43-D76)</f>
        <v>85770422</v>
      </c>
      <c r="E259" s="622">
        <f t="shared" si="30"/>
        <v>7636208</v>
      </c>
    </row>
    <row r="260" spans="1:5" x14ac:dyDescent="0.2">
      <c r="A260" s="588">
        <v>3</v>
      </c>
      <c r="B260" s="587" t="s">
        <v>745</v>
      </c>
      <c r="C260" s="622">
        <f>C195</f>
        <v>3724957</v>
      </c>
      <c r="D260" s="622">
        <f>D195</f>
        <v>3673233</v>
      </c>
      <c r="E260" s="622">
        <f t="shared" si="30"/>
        <v>-51724</v>
      </c>
    </row>
    <row r="261" spans="1:5" x14ac:dyDescent="0.2">
      <c r="A261" s="588">
        <v>4</v>
      </c>
      <c r="B261" s="587" t="s">
        <v>746</v>
      </c>
      <c r="C261" s="622">
        <f>C188</f>
        <v>34708830</v>
      </c>
      <c r="D261" s="622">
        <f>D188</f>
        <v>33732589</v>
      </c>
      <c r="E261" s="622">
        <f t="shared" si="30"/>
        <v>-976241</v>
      </c>
    </row>
    <row r="262" spans="1:5" x14ac:dyDescent="0.2">
      <c r="A262" s="588">
        <v>5</v>
      </c>
      <c r="B262" s="587" t="s">
        <v>747</v>
      </c>
      <c r="C262" s="622">
        <f>C191</f>
        <v>1896369</v>
      </c>
      <c r="D262" s="622">
        <f>D191</f>
        <v>1670648</v>
      </c>
      <c r="E262" s="622">
        <f t="shared" si="30"/>
        <v>-225721</v>
      </c>
    </row>
    <row r="263" spans="1:5" x14ac:dyDescent="0.2">
      <c r="A263" s="588">
        <v>6</v>
      </c>
      <c r="B263" s="587" t="s">
        <v>748</v>
      </c>
      <c r="C263" s="622">
        <f>+C259+C260+C261+C262</f>
        <v>118464370</v>
      </c>
      <c r="D263" s="622">
        <f>+D259+D260+D261+D262</f>
        <v>124846892</v>
      </c>
      <c r="E263" s="622">
        <f t="shared" si="30"/>
        <v>6382522</v>
      </c>
    </row>
    <row r="264" spans="1:5" x14ac:dyDescent="0.2">
      <c r="A264" s="588">
        <v>7</v>
      </c>
      <c r="B264" s="587" t="s">
        <v>653</v>
      </c>
      <c r="C264" s="622">
        <f>+C258-C263</f>
        <v>98285029</v>
      </c>
      <c r="D264" s="622">
        <f>+D258-D263</f>
        <v>100021110</v>
      </c>
      <c r="E264" s="622">
        <f t="shared" si="30"/>
        <v>1736081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98285029</v>
      </c>
      <c r="D266" s="622">
        <f>+D264+D265</f>
        <v>100021110</v>
      </c>
      <c r="E266" s="641">
        <f t="shared" si="30"/>
        <v>1736081</v>
      </c>
    </row>
    <row r="267" spans="1:5" x14ac:dyDescent="0.2">
      <c r="A267" s="588">
        <v>10</v>
      </c>
      <c r="B267" s="587" t="s">
        <v>836</v>
      </c>
      <c r="C267" s="642">
        <f>IF(C258=0,0,C266/C258)</f>
        <v>0.45345006469891064</v>
      </c>
      <c r="D267" s="642">
        <f>IF(D258=0,0,D266/D258)</f>
        <v>0.44479921158369168</v>
      </c>
      <c r="E267" s="643">
        <f t="shared" si="30"/>
        <v>-8.6508531152189594E-3</v>
      </c>
    </row>
    <row r="268" spans="1:5" x14ac:dyDescent="0.2">
      <c r="A268" s="588">
        <v>11</v>
      </c>
      <c r="B268" s="587" t="s">
        <v>715</v>
      </c>
      <c r="C268" s="622">
        <f>+C260*C267</f>
        <v>1689081.99265066</v>
      </c>
      <c r="D268" s="644">
        <f>+D260*D267</f>
        <v>1633851.1423631986</v>
      </c>
      <c r="E268" s="622">
        <f t="shared" si="30"/>
        <v>-55230.850287461421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3557803.542654492</v>
      </c>
      <c r="D269" s="644">
        <f>((D17+D18+D28+D29)*D267)-(D50+D51+D61+D62)</f>
        <v>5075307.6404856928</v>
      </c>
      <c r="E269" s="622">
        <f t="shared" si="30"/>
        <v>1517504.0978312008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839</v>
      </c>
      <c r="C271" s="622">
        <f>+C268+C269+C270</f>
        <v>5246885.5353051517</v>
      </c>
      <c r="D271" s="622">
        <f>+D268+D269+D270</f>
        <v>6709158.7828488909</v>
      </c>
      <c r="E271" s="625">
        <f t="shared" si="30"/>
        <v>1462273.2475437392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0.56202891650114373</v>
      </c>
      <c r="D276" s="623">
        <f t="shared" si="31"/>
        <v>0.58060272199436724</v>
      </c>
      <c r="E276" s="650">
        <f t="shared" ref="E276:E284" si="32">D276-C276</f>
        <v>1.8573805493223516E-2</v>
      </c>
    </row>
    <row r="277" spans="1:5" x14ac:dyDescent="0.2">
      <c r="A277" s="588">
        <v>2</v>
      </c>
      <c r="B277" s="587" t="s">
        <v>634</v>
      </c>
      <c r="C277" s="623">
        <f t="shared" si="31"/>
        <v>0.51523248418895529</v>
      </c>
      <c r="D277" s="623">
        <f t="shared" si="31"/>
        <v>0.52183103159757127</v>
      </c>
      <c r="E277" s="650">
        <f t="shared" si="32"/>
        <v>6.5985474086159845E-3</v>
      </c>
    </row>
    <row r="278" spans="1:5" x14ac:dyDescent="0.2">
      <c r="A278" s="588">
        <v>3</v>
      </c>
      <c r="B278" s="587" t="s">
        <v>776</v>
      </c>
      <c r="C278" s="623">
        <f t="shared" si="31"/>
        <v>0.34618312759719178</v>
      </c>
      <c r="D278" s="623">
        <f t="shared" si="31"/>
        <v>0.42627489666526253</v>
      </c>
      <c r="E278" s="650">
        <f t="shared" si="32"/>
        <v>8.0091769068070751E-2</v>
      </c>
    </row>
    <row r="279" spans="1:5" x14ac:dyDescent="0.2">
      <c r="A279" s="588">
        <v>4</v>
      </c>
      <c r="B279" s="587" t="s">
        <v>115</v>
      </c>
      <c r="C279" s="623">
        <f t="shared" si="31"/>
        <v>0.34618312759719178</v>
      </c>
      <c r="D279" s="623">
        <f t="shared" si="31"/>
        <v>0.42627489666526253</v>
      </c>
      <c r="E279" s="650">
        <f t="shared" si="32"/>
        <v>8.0091769068070751E-2</v>
      </c>
    </row>
    <row r="280" spans="1:5" x14ac:dyDescent="0.2">
      <c r="A280" s="588">
        <v>5</v>
      </c>
      <c r="B280" s="587" t="s">
        <v>742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0.42676656250844219</v>
      </c>
      <c r="D281" s="623">
        <f t="shared" si="31"/>
        <v>0.29233434272641923</v>
      </c>
      <c r="E281" s="650">
        <f t="shared" si="32"/>
        <v>-0.13443221978202297</v>
      </c>
    </row>
    <row r="282" spans="1:5" x14ac:dyDescent="0.2">
      <c r="A282" s="588">
        <v>7</v>
      </c>
      <c r="B282" s="587" t="s">
        <v>757</v>
      </c>
      <c r="C282" s="623">
        <f t="shared" si="31"/>
        <v>4.5352444985350043E-2</v>
      </c>
      <c r="D282" s="623">
        <f t="shared" si="31"/>
        <v>1.1811416711455162E-2</v>
      </c>
      <c r="E282" s="650">
        <f t="shared" si="32"/>
        <v>-3.354102827389488E-2</v>
      </c>
    </row>
    <row r="283" spans="1:5" ht="29.25" customHeight="1" x14ac:dyDescent="0.2">
      <c r="A283" s="588"/>
      <c r="B283" s="592" t="s">
        <v>843</v>
      </c>
      <c r="C283" s="651">
        <f t="shared" si="31"/>
        <v>0.46597136208228812</v>
      </c>
      <c r="D283" s="651">
        <f t="shared" si="31"/>
        <v>0.49137424525205586</v>
      </c>
      <c r="E283" s="652">
        <f t="shared" si="32"/>
        <v>2.5402883169767743E-2</v>
      </c>
    </row>
    <row r="284" spans="1:5" x14ac:dyDescent="0.2">
      <c r="A284" s="588"/>
      <c r="B284" s="592" t="s">
        <v>844</v>
      </c>
      <c r="C284" s="651">
        <f t="shared" si="31"/>
        <v>0.48950825911381396</v>
      </c>
      <c r="D284" s="651">
        <f t="shared" si="31"/>
        <v>0.51253666449060409</v>
      </c>
      <c r="E284" s="652">
        <f t="shared" si="32"/>
        <v>2.3028405376790129E-2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0.57845255210406055</v>
      </c>
      <c r="D287" s="623">
        <f t="shared" si="33"/>
        <v>0.59055165800625442</v>
      </c>
      <c r="E287" s="650">
        <f t="shared" ref="E287:E295" si="34">D287-C287</f>
        <v>1.2099105902193874E-2</v>
      </c>
    </row>
    <row r="288" spans="1:5" x14ac:dyDescent="0.2">
      <c r="A288" s="588">
        <v>2</v>
      </c>
      <c r="B288" s="587" t="s">
        <v>634</v>
      </c>
      <c r="C288" s="623">
        <f t="shared" si="33"/>
        <v>0.40375381788860371</v>
      </c>
      <c r="D288" s="623">
        <f t="shared" si="33"/>
        <v>0.37947508648353523</v>
      </c>
      <c r="E288" s="650">
        <f t="shared" si="34"/>
        <v>-2.4278731405068477E-2</v>
      </c>
    </row>
    <row r="289" spans="1:5" x14ac:dyDescent="0.2">
      <c r="A289" s="588">
        <v>3</v>
      </c>
      <c r="B289" s="587" t="s">
        <v>776</v>
      </c>
      <c r="C289" s="623">
        <f t="shared" si="33"/>
        <v>0.38456824722837762</v>
      </c>
      <c r="D289" s="623">
        <f t="shared" si="33"/>
        <v>0.3063696014059526</v>
      </c>
      <c r="E289" s="650">
        <f t="shared" si="34"/>
        <v>-7.8198645822425028E-2</v>
      </c>
    </row>
    <row r="290" spans="1:5" x14ac:dyDescent="0.2">
      <c r="A290" s="588">
        <v>4</v>
      </c>
      <c r="B290" s="587" t="s">
        <v>115</v>
      </c>
      <c r="C290" s="623">
        <f t="shared" si="33"/>
        <v>0.38456824722837762</v>
      </c>
      <c r="D290" s="623">
        <f t="shared" si="33"/>
        <v>0.3063696014059526</v>
      </c>
      <c r="E290" s="650">
        <f t="shared" si="34"/>
        <v>-7.8198645822425028E-2</v>
      </c>
    </row>
    <row r="291" spans="1:5" x14ac:dyDescent="0.2">
      <c r="A291" s="588">
        <v>5</v>
      </c>
      <c r="B291" s="587" t="s">
        <v>742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0.35848879070528555</v>
      </c>
      <c r="D292" s="623">
        <f t="shared" si="33"/>
        <v>0.29890096331282356</v>
      </c>
      <c r="E292" s="650">
        <f t="shared" si="34"/>
        <v>-5.9587827392461989E-2</v>
      </c>
    </row>
    <row r="293" spans="1:5" x14ac:dyDescent="0.2">
      <c r="A293" s="588">
        <v>7</v>
      </c>
      <c r="B293" s="587" t="s">
        <v>757</v>
      </c>
      <c r="C293" s="623">
        <f t="shared" si="33"/>
        <v>6.8103098944107182E-2</v>
      </c>
      <c r="D293" s="623">
        <f t="shared" si="33"/>
        <v>1.2181494530915084E-2</v>
      </c>
      <c r="E293" s="650">
        <f t="shared" si="34"/>
        <v>-5.5921604413192098E-2</v>
      </c>
    </row>
    <row r="294" spans="1:5" ht="29.25" customHeight="1" x14ac:dyDescent="0.2">
      <c r="A294" s="588"/>
      <c r="B294" s="592" t="s">
        <v>846</v>
      </c>
      <c r="C294" s="651">
        <f t="shared" si="33"/>
        <v>0.39662148935519975</v>
      </c>
      <c r="D294" s="651">
        <f t="shared" si="33"/>
        <v>0.35146680186355128</v>
      </c>
      <c r="E294" s="652">
        <f t="shared" si="34"/>
        <v>-4.5154687491648471E-2</v>
      </c>
    </row>
    <row r="295" spans="1:5" x14ac:dyDescent="0.2">
      <c r="A295" s="588"/>
      <c r="B295" s="592" t="s">
        <v>847</v>
      </c>
      <c r="C295" s="651">
        <f t="shared" si="33"/>
        <v>0.47517272131220883</v>
      </c>
      <c r="D295" s="651">
        <f t="shared" si="33"/>
        <v>0.45090950177515576</v>
      </c>
      <c r="E295" s="652">
        <f t="shared" si="34"/>
        <v>-2.4263219537053071E-2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103906355</v>
      </c>
      <c r="D301" s="590">
        <f>+D48+D47+D50+D51+D52+D59+D58+D61+D62+D63</f>
        <v>105364991</v>
      </c>
      <c r="E301" s="590">
        <f>D301-C301</f>
        <v>1458636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103906355</v>
      </c>
      <c r="D303" s="593">
        <f>+D301+D302</f>
        <v>105364991</v>
      </c>
      <c r="E303" s="593">
        <f>D303-C303</f>
        <v>1458636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742945</v>
      </c>
      <c r="D305" s="654">
        <v>-517655</v>
      </c>
      <c r="E305" s="655">
        <f>D305-C305</f>
        <v>-1260600</v>
      </c>
    </row>
    <row r="306" spans="1:5" x14ac:dyDescent="0.2">
      <c r="A306" s="588">
        <v>4</v>
      </c>
      <c r="B306" s="592" t="s">
        <v>854</v>
      </c>
      <c r="C306" s="593">
        <f>+C303+C305+C194+C190-C191</f>
        <v>109640232</v>
      </c>
      <c r="D306" s="593">
        <f>+D303+D305</f>
        <v>104847336</v>
      </c>
      <c r="E306" s="656">
        <f>D306-C306</f>
        <v>-4792896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104649330</v>
      </c>
      <c r="D308" s="589">
        <v>104847336</v>
      </c>
      <c r="E308" s="590">
        <f>D308-C308</f>
        <v>198006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4990902</v>
      </c>
      <c r="D310" s="658">
        <f>D306-D308</f>
        <v>0</v>
      </c>
      <c r="E310" s="656">
        <f>D310-C310</f>
        <v>-4990902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216749399</v>
      </c>
      <c r="D314" s="590">
        <f>+D14+D15+D16+D19+D25+D26+D27+D30</f>
        <v>224868002</v>
      </c>
      <c r="E314" s="590">
        <f>D314-C314</f>
        <v>8118603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216749399</v>
      </c>
      <c r="D316" s="657">
        <f>D314+D315</f>
        <v>224868002</v>
      </c>
      <c r="E316" s="593">
        <f>D316-C316</f>
        <v>8118603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216749429</v>
      </c>
      <c r="D318" s="589">
        <v>224868002</v>
      </c>
      <c r="E318" s="590">
        <f>D318-C318</f>
        <v>8118573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-30</v>
      </c>
      <c r="D320" s="657">
        <f>D316-D318</f>
        <v>0</v>
      </c>
      <c r="E320" s="593">
        <f>D320-C320</f>
        <v>30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3724957</v>
      </c>
      <c r="D324" s="589">
        <f>+D193+D194</f>
        <v>3673233</v>
      </c>
      <c r="E324" s="590">
        <f>D324-C324</f>
        <v>-51724</v>
      </c>
    </row>
    <row r="325" spans="1:5" x14ac:dyDescent="0.2">
      <c r="A325" s="588">
        <v>2</v>
      </c>
      <c r="B325" s="587" t="s">
        <v>864</v>
      </c>
      <c r="C325" s="589">
        <v>119186</v>
      </c>
      <c r="D325" s="589">
        <v>100093</v>
      </c>
      <c r="E325" s="590">
        <f>D325-C325</f>
        <v>-19093</v>
      </c>
    </row>
    <row r="326" spans="1:5" x14ac:dyDescent="0.2">
      <c r="A326" s="588"/>
      <c r="B326" s="592" t="s">
        <v>865</v>
      </c>
      <c r="C326" s="657">
        <f>C324+C325</f>
        <v>3844143</v>
      </c>
      <c r="D326" s="657">
        <f>D324+D325</f>
        <v>3773326</v>
      </c>
      <c r="E326" s="593">
        <f>D326-C326</f>
        <v>-70817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3844143</v>
      </c>
      <c r="D328" s="589">
        <v>3773326</v>
      </c>
      <c r="E328" s="590">
        <f>D328-C328</f>
        <v>-70817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FILING&amp;RDAY KIMBALL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15277989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34007234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14754235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14754235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378115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470731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49139584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64417573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66736238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57922875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34689078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34689078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1102238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2526291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93714191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160450429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82014227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142853775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224868002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8870442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17746030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6289360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6289360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110536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5560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24145926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33016368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39411196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21980288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10627679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10627679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329460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30774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32937427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72348623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48281638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57083353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105364991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1728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1804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948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948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61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2783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4511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0.96589999999999998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1.1778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0.89770000000000005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0.89770000000000005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0.73329999999999995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0.88460000000000005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1.0774355371900826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1.034710330303702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82014227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48281638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33732589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0.41130167574462417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3210149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1670648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522721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3150512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3673233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6153524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109004882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105364991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105364991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-517655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104847336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104847336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224868002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224868002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224868002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3673233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100093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3773326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3773326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FILING&amp;RDAY KIMBALL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881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380</v>
      </c>
      <c r="D12" s="185">
        <v>366</v>
      </c>
      <c r="E12" s="185">
        <f>+D12-C12</f>
        <v>-14</v>
      </c>
      <c r="F12" s="77">
        <f>IF(C12=0,0,+E12/C12)</f>
        <v>-3.6842105263157891E-2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360</v>
      </c>
      <c r="D13" s="185">
        <v>357</v>
      </c>
      <c r="E13" s="185">
        <f>+D13-C13</f>
        <v>-3</v>
      </c>
      <c r="F13" s="77">
        <f>IF(C13=0,0,+E13/C13)</f>
        <v>-8.3333333333333332E-3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703850</v>
      </c>
      <c r="D15" s="76">
        <v>522721</v>
      </c>
      <c r="E15" s="76">
        <f>+D15-C15</f>
        <v>-181129</v>
      </c>
      <c r="F15" s="77">
        <f>IF(C15=0,0,+E15/C15)</f>
        <v>-0.25734034240250053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1955.1388888888889</v>
      </c>
      <c r="D16" s="79">
        <f>IF(D13=0,0,+D15/+D13)</f>
        <v>1464.2044817927172</v>
      </c>
      <c r="E16" s="79">
        <f>+D16-C16</f>
        <v>-490.93440709617175</v>
      </c>
      <c r="F16" s="80">
        <f>IF(C16=0,0,+E16/C16)</f>
        <v>-0.25109950494369798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0.52730500000000002</v>
      </c>
      <c r="D18" s="704">
        <v>0.499307</v>
      </c>
      <c r="E18" s="704">
        <f>+D18-C18</f>
        <v>-2.7998000000000023E-2</v>
      </c>
      <c r="F18" s="77">
        <f>IF(C18=0,0,+E18/C18)</f>
        <v>-5.3096405306226988E-2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371143.62424999999</v>
      </c>
      <c r="D19" s="79">
        <f>+D15*D18</f>
        <v>260998.25434700001</v>
      </c>
      <c r="E19" s="79">
        <f>+D19-C19</f>
        <v>-110145.36990299998</v>
      </c>
      <c r="F19" s="80">
        <f>IF(C19=0,0,+E19/C19)</f>
        <v>-0.29677290058688105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1030.9545118055555</v>
      </c>
      <c r="D20" s="79">
        <f>IF(D13=0,0,+D19/D13)</f>
        <v>731.08754719047624</v>
      </c>
      <c r="E20" s="79">
        <f>+D20-C20</f>
        <v>-299.86696461507927</v>
      </c>
      <c r="F20" s="80">
        <f>IF(C20=0,0,+E20/C20)</f>
        <v>-0.29086342916324137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195219</v>
      </c>
      <c r="D22" s="76">
        <v>195670</v>
      </c>
      <c r="E22" s="76">
        <f>+D22-C22</f>
        <v>451</v>
      </c>
      <c r="F22" s="77">
        <f>IF(C22=0,0,+E22/C22)</f>
        <v>2.3102259513674388E-3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305980</v>
      </c>
      <c r="D23" s="185">
        <v>113687</v>
      </c>
      <c r="E23" s="185">
        <f>+D23-C23</f>
        <v>-192293</v>
      </c>
      <c r="F23" s="77">
        <f>IF(C23=0,0,+E23/C23)</f>
        <v>-0.62844957186744232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202651</v>
      </c>
      <c r="D24" s="185">
        <v>213364</v>
      </c>
      <c r="E24" s="185">
        <f>+D24-C24</f>
        <v>10713</v>
      </c>
      <c r="F24" s="77">
        <f>IF(C24=0,0,+E24/C24)</f>
        <v>5.2864283916684351E-2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703850</v>
      </c>
      <c r="D25" s="79">
        <f>+D22+D23+D24</f>
        <v>522721</v>
      </c>
      <c r="E25" s="79">
        <f>+E22+E23+E24</f>
        <v>-181129</v>
      </c>
      <c r="F25" s="80">
        <f>IF(C25=0,0,+E25/C25)</f>
        <v>-0.25734034240250053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319</v>
      </c>
      <c r="D27" s="185">
        <v>450</v>
      </c>
      <c r="E27" s="185">
        <f>+D27-C27</f>
        <v>131</v>
      </c>
      <c r="F27" s="77">
        <f>IF(C27=0,0,+E27/C27)</f>
        <v>0.41065830721003133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95</v>
      </c>
      <c r="D28" s="185">
        <v>98</v>
      </c>
      <c r="E28" s="185">
        <f>+D28-C28</f>
        <v>3</v>
      </c>
      <c r="F28" s="77">
        <f>IF(C28=0,0,+E28/C28)</f>
        <v>3.1578947368421054E-2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347</v>
      </c>
      <c r="D29" s="185">
        <v>220</v>
      </c>
      <c r="E29" s="185">
        <f>+D29-C29</f>
        <v>-127</v>
      </c>
      <c r="F29" s="77">
        <f>IF(C29=0,0,+E29/C29)</f>
        <v>-0.36599423631123917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929</v>
      </c>
      <c r="D30" s="185">
        <v>779</v>
      </c>
      <c r="E30" s="185">
        <f>+D30-C30</f>
        <v>-150</v>
      </c>
      <c r="F30" s="77">
        <f>IF(C30=0,0,+E30/C30)</f>
        <v>-0.16146393972012918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384245</v>
      </c>
      <c r="D33" s="76">
        <v>934365</v>
      </c>
      <c r="E33" s="76">
        <f>+D33-C33</f>
        <v>550120</v>
      </c>
      <c r="F33" s="77">
        <f>IF(C33=0,0,+E33/C33)</f>
        <v>1.4316907181615897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1259497</v>
      </c>
      <c r="D34" s="185">
        <v>945992</v>
      </c>
      <c r="E34" s="185">
        <f>+D34-C34</f>
        <v>-313505</v>
      </c>
      <c r="F34" s="77">
        <f>IF(C34=0,0,+E34/C34)</f>
        <v>-0.24891285965746643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1377365</v>
      </c>
      <c r="D35" s="185">
        <v>1270155</v>
      </c>
      <c r="E35" s="185">
        <f>+D35-C35</f>
        <v>-107210</v>
      </c>
      <c r="F35" s="77">
        <f>IF(C35=0,0,+E35/C35)</f>
        <v>-7.7837029400340499E-2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3021107</v>
      </c>
      <c r="D36" s="79">
        <f>+D33+D34+D35</f>
        <v>3150512</v>
      </c>
      <c r="E36" s="79">
        <f>+E33+E34+E35</f>
        <v>129405</v>
      </c>
      <c r="F36" s="80">
        <f>IF(C36=0,0,+E36/C36)</f>
        <v>4.2833636809288783E-2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703850</v>
      </c>
      <c r="D39" s="76">
        <f>+D25</f>
        <v>522721</v>
      </c>
      <c r="E39" s="76">
        <f>+D39-C39</f>
        <v>-181129</v>
      </c>
      <c r="F39" s="77">
        <f>IF(C39=0,0,+E39/C39)</f>
        <v>-0.25734034240250053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3021107</v>
      </c>
      <c r="D40" s="185">
        <f>+D36</f>
        <v>3150512</v>
      </c>
      <c r="E40" s="185">
        <f>+D40-C40</f>
        <v>129405</v>
      </c>
      <c r="F40" s="77">
        <f>IF(C40=0,0,+E40/C40)</f>
        <v>4.2833636809288783E-2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3724957</v>
      </c>
      <c r="D41" s="79">
        <f>+D39+D40</f>
        <v>3673233</v>
      </c>
      <c r="E41" s="79">
        <f>+E39+E40</f>
        <v>-51724</v>
      </c>
      <c r="F41" s="80">
        <f>IF(C41=0,0,+E41/C41)</f>
        <v>-1.3885797876324478E-2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579464</v>
      </c>
      <c r="D43" s="76">
        <f t="shared" si="0"/>
        <v>1130035</v>
      </c>
      <c r="E43" s="76">
        <f>+D43-C43</f>
        <v>550571</v>
      </c>
      <c r="F43" s="77">
        <f>IF(C43=0,0,+E43/C43)</f>
        <v>0.95013840376623915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1565477</v>
      </c>
      <c r="D44" s="185">
        <f t="shared" si="0"/>
        <v>1059679</v>
      </c>
      <c r="E44" s="185">
        <f>+D44-C44</f>
        <v>-505798</v>
      </c>
      <c r="F44" s="77">
        <f>IF(C44=0,0,+E44/C44)</f>
        <v>-0.32309513330441775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1580016</v>
      </c>
      <c r="D45" s="185">
        <f t="shared" si="0"/>
        <v>1483519</v>
      </c>
      <c r="E45" s="185">
        <f>+D45-C45</f>
        <v>-96497</v>
      </c>
      <c r="F45" s="77">
        <f>IF(C45=0,0,+E45/C45)</f>
        <v>-6.107343216777552E-2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3724957</v>
      </c>
      <c r="D46" s="79">
        <f>+D43+D44+D45</f>
        <v>3673233</v>
      </c>
      <c r="E46" s="79">
        <f>+E43+E44+E45</f>
        <v>-51724</v>
      </c>
      <c r="F46" s="80">
        <f>IF(C46=0,0,+E46/C46)</f>
        <v>-1.3885797876324478E-2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910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FILING&amp;RDAY KIMBALL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911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912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81728750</v>
      </c>
      <c r="D15" s="76">
        <v>82014227</v>
      </c>
      <c r="E15" s="76">
        <f>+D15-C15</f>
        <v>285477</v>
      </c>
      <c r="F15" s="77">
        <f>IF(C15=0,0,E15/C15)</f>
        <v>3.492981356009972E-3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529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34708830</v>
      </c>
      <c r="D17" s="76">
        <v>33732589</v>
      </c>
      <c r="E17" s="76">
        <f>+D17-C17</f>
        <v>-976241</v>
      </c>
      <c r="F17" s="77">
        <f>IF(C17=0,0,E17/C17)</f>
        <v>-2.8126589112914494E-2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47019920</v>
      </c>
      <c r="D19" s="79">
        <f>+D15-D17</f>
        <v>48281638</v>
      </c>
      <c r="E19" s="79">
        <f>+D19-C19</f>
        <v>1261718</v>
      </c>
      <c r="F19" s="80">
        <f>IF(C19=0,0,E19/C19)</f>
        <v>2.6833690912277181E-2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0.42468323570347033</v>
      </c>
      <c r="D21" s="720">
        <f>IF(D15=0,0,D17/D15)</f>
        <v>0.41130167574462417</v>
      </c>
      <c r="E21" s="720">
        <f>+D21-C21</f>
        <v>-1.3381559958846156E-2</v>
      </c>
      <c r="F21" s="80">
        <f>IF(C21=0,0,E21/C21)</f>
        <v>-3.1509508343742727E-2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529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529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529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529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FILING&amp;R&amp;12DAY KIMBALL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60261612</v>
      </c>
      <c r="D10" s="744">
        <v>63684617</v>
      </c>
      <c r="E10" s="744">
        <v>64417573</v>
      </c>
    </row>
    <row r="11" spans="1:6" ht="26.1" customHeight="1" x14ac:dyDescent="0.25">
      <c r="A11" s="742">
        <v>2</v>
      </c>
      <c r="B11" s="743" t="s">
        <v>931</v>
      </c>
      <c r="C11" s="744">
        <v>152062080</v>
      </c>
      <c r="D11" s="744">
        <v>153064782</v>
      </c>
      <c r="E11" s="744">
        <v>160450429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212323692</v>
      </c>
      <c r="D12" s="744">
        <f>+D11+D10</f>
        <v>216749399</v>
      </c>
      <c r="E12" s="744">
        <f>+E11+E10</f>
        <v>224868002</v>
      </c>
    </row>
    <row r="13" spans="1:6" ht="26.1" customHeight="1" x14ac:dyDescent="0.25">
      <c r="A13" s="742">
        <v>4</v>
      </c>
      <c r="B13" s="743" t="s">
        <v>506</v>
      </c>
      <c r="C13" s="744">
        <v>113405335</v>
      </c>
      <c r="D13" s="744">
        <v>104649330</v>
      </c>
      <c r="E13" s="744">
        <v>104847336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115241429</v>
      </c>
      <c r="D16" s="744">
        <v>110624592</v>
      </c>
      <c r="E16" s="744">
        <v>109004882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18484</v>
      </c>
      <c r="D19" s="747">
        <v>16124</v>
      </c>
      <c r="E19" s="747">
        <v>16844</v>
      </c>
    </row>
    <row r="20" spans="1:5" ht="26.1" customHeight="1" x14ac:dyDescent="0.25">
      <c r="A20" s="742">
        <v>2</v>
      </c>
      <c r="B20" s="743" t="s">
        <v>381</v>
      </c>
      <c r="C20" s="748">
        <v>5097</v>
      </c>
      <c r="D20" s="748">
        <v>4331</v>
      </c>
      <c r="E20" s="748">
        <v>4511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3.6264469295664115</v>
      </c>
      <c r="D21" s="749">
        <f>IF(D20=0,0,+D19/D20)</f>
        <v>3.7229277303163242</v>
      </c>
      <c r="E21" s="749">
        <f>IF(E20=0,0,+E19/E20)</f>
        <v>3.7339835956550655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65125.890142600234</v>
      </c>
      <c r="D22" s="748">
        <f>IF(D10=0,0,D19*(D12/D10))</f>
        <v>54877.731453986766</v>
      </c>
      <c r="E22" s="748">
        <f>IF(E10=0,0,E19*(E12/E10))</f>
        <v>58798.809847865581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17958.59457135</v>
      </c>
      <c r="D23" s="748">
        <f>IF(D10=0,0,D20*(D12/D10))</f>
        <v>14740.477234384562</v>
      </c>
      <c r="E23" s="748">
        <f>IF(E10=0,0,E20*(E12/E10))</f>
        <v>15746.938448333034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1.0285464587011968</v>
      </c>
      <c r="D26" s="750">
        <v>1.0683783652736087</v>
      </c>
      <c r="E26" s="750">
        <v>1.034710330303702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19011.652742632919</v>
      </c>
      <c r="D27" s="748">
        <f>D19*D26</f>
        <v>17226.532761671668</v>
      </c>
      <c r="E27" s="748">
        <f>E19*E26</f>
        <v>17428.660803635557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5242.5012999999999</v>
      </c>
      <c r="D28" s="748">
        <f>D20*D26</f>
        <v>4627.1466999999993</v>
      </c>
      <c r="E28" s="748">
        <f>E20*E26</f>
        <v>4667.5782999999992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66985.003675934655</v>
      </c>
      <c r="D29" s="748">
        <f>D22*D26</f>
        <v>58630.181020734482</v>
      </c>
      <c r="E29" s="748">
        <f>E22*E26</f>
        <v>60839.735959149562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18471.248849612581</v>
      </c>
      <c r="D30" s="748">
        <f>D23*D26</f>
        <v>15748.406971024624</v>
      </c>
      <c r="E30" s="748">
        <f>E23*E26</f>
        <v>16293.519883146737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11486.89093269855</v>
      </c>
      <c r="D33" s="744">
        <f>IF(D19=0,0,D12/D19)</f>
        <v>13442.656846936245</v>
      </c>
      <c r="E33" s="744">
        <f>IF(E19=0,0,E12/E19)</f>
        <v>13350.035739729281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41656.600353148911</v>
      </c>
      <c r="D34" s="744">
        <f>IF(D20=0,0,D12/D20)</f>
        <v>50046.039944585544</v>
      </c>
      <c r="E34" s="744">
        <f>IF(E20=0,0,E12/E20)</f>
        <v>49848.81445355797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3260.2040683834666</v>
      </c>
      <c r="D35" s="744">
        <f>IF(D22=0,0,D12/D22)</f>
        <v>3949.6785537087567</v>
      </c>
      <c r="E35" s="744">
        <f>IF(E22=0,0,E12/E22)</f>
        <v>3824.3631560199478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11822.957033549146</v>
      </c>
      <c r="D36" s="744">
        <f>IF(D23=0,0,D12/D23)</f>
        <v>14704.367813438004</v>
      </c>
      <c r="E36" s="744">
        <f>IF(E23=0,0,E12/E23)</f>
        <v>14280.109288406118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3169.7197932121694</v>
      </c>
      <c r="D37" s="744">
        <f>IF(D29=0,0,D12/D29)</f>
        <v>3696.8911783394778</v>
      </c>
      <c r="E37" s="744">
        <f>IF(E29=0,0,E12/E29)</f>
        <v>3696.0713003584719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11494.820611680152</v>
      </c>
      <c r="D38" s="744">
        <f>IF(D30=0,0,D12/D30)</f>
        <v>13763.258683801834</v>
      </c>
      <c r="E38" s="744">
        <f>IF(E30=0,0,E12/E30)</f>
        <v>13801.069603910022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925.30960986561001</v>
      </c>
      <c r="D39" s="744">
        <f>IF(D22=0,0,D10/D22)</f>
        <v>1160.4819534750179</v>
      </c>
      <c r="E39" s="744">
        <f>IF(E22=0,0,E10/E22)</f>
        <v>1095.5591306469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3355.5861935954354</v>
      </c>
      <c r="D40" s="744">
        <f>IF(D23=0,0,D10/D23)</f>
        <v>4320.3904451238031</v>
      </c>
      <c r="E40" s="744">
        <f>IF(E23=0,0,E10/E23)</f>
        <v>4090.7998219056494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6135.3243345596193</v>
      </c>
      <c r="D43" s="744">
        <f>IF(D19=0,0,D13/D19)</f>
        <v>6490.2834284296705</v>
      </c>
      <c r="E43" s="744">
        <f>IF(E19=0,0,E13/E19)</f>
        <v>6224.6103063405371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22249.428094957817</v>
      </c>
      <c r="D44" s="744">
        <f>IF(D20=0,0,D13/D20)</f>
        <v>24162.856153313322</v>
      </c>
      <c r="E44" s="744">
        <f>IF(E20=0,0,E13/E20)</f>
        <v>23242.592773221015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1741.3249132055878</v>
      </c>
      <c r="D45" s="744">
        <f>IF(D22=0,0,D13/D22)</f>
        <v>1906.9543734282299</v>
      </c>
      <c r="E45" s="744">
        <f>IF(E22=0,0,E13/E22)</f>
        <v>1783.1540514387809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6314.8223848719017</v>
      </c>
      <c r="D46" s="744">
        <f>IF(D23=0,0,D13/D23)</f>
        <v>7099.4533172839483</v>
      </c>
      <c r="E46" s="744">
        <f>IF(E23=0,0,E13/E23)</f>
        <v>6658.2679765982766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1692.9958763403417</v>
      </c>
      <c r="D47" s="744">
        <f>IF(D29=0,0,D13/D29)</f>
        <v>1784.905456167548</v>
      </c>
      <c r="E47" s="744">
        <f>IF(E29=0,0,E13/E29)</f>
        <v>1723.3364732285993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6139.5596975230283</v>
      </c>
      <c r="D48" s="744">
        <f>IF(D30=0,0,D13/D30)</f>
        <v>6645.0740187590727</v>
      </c>
      <c r="E48" s="744">
        <f>IF(E30=0,0,E13/E30)</f>
        <v>6434.9101208296452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6234.6585695736858</v>
      </c>
      <c r="D51" s="744">
        <f>IF(D19=0,0,D16/D19)</f>
        <v>6860.8652939717194</v>
      </c>
      <c r="E51" s="744">
        <f>IF(E19=0,0,E16/E19)</f>
        <v>6471.4368321063885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22609.658426525406</v>
      </c>
      <c r="D52" s="744">
        <f>IF(D20=0,0,D16/D20)</f>
        <v>25542.505656892172</v>
      </c>
      <c r="E52" s="744">
        <f>IF(E20=0,0,E16/E20)</f>
        <v>24164.238971403236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1769.5179098153797</v>
      </c>
      <c r="D53" s="744">
        <f>IF(D22=0,0,D16/D22)</f>
        <v>2015.837555033688</v>
      </c>
      <c r="E53" s="744">
        <f>IF(E22=0,0,E16/E22)</f>
        <v>1853.8620472427287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6417.0627908627575</v>
      </c>
      <c r="D54" s="744">
        <f>IF(D23=0,0,D16/D23)</f>
        <v>7504.8175334479765</v>
      </c>
      <c r="E54" s="744">
        <f>IF(E23=0,0,E16/E23)</f>
        <v>6922.2904730118653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1720.4063995804806</v>
      </c>
      <c r="D55" s="744">
        <f>IF(D29=0,0,D16/D29)</f>
        <v>1886.8198950448025</v>
      </c>
      <c r="E55" s="744">
        <f>IF(E29=0,0,E16/E29)</f>
        <v>1791.6725028719816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6238.9625053650389</v>
      </c>
      <c r="D56" s="744">
        <f>IF(D30=0,0,D16/D30)</f>
        <v>7024.4941093748312</v>
      </c>
      <c r="E56" s="744">
        <f>IF(E30=0,0,E16/E30)</f>
        <v>6690.0757345102338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16633835</v>
      </c>
      <c r="D59" s="752">
        <v>17402531</v>
      </c>
      <c r="E59" s="752">
        <v>16787759</v>
      </c>
    </row>
    <row r="60" spans="1:6" ht="26.1" customHeight="1" x14ac:dyDescent="0.25">
      <c r="A60" s="742">
        <v>2</v>
      </c>
      <c r="B60" s="743" t="s">
        <v>967</v>
      </c>
      <c r="C60" s="752">
        <v>5673578</v>
      </c>
      <c r="D60" s="752">
        <v>6244691</v>
      </c>
      <c r="E60" s="752">
        <v>6015407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22307413</v>
      </c>
      <c r="D61" s="755">
        <f>D59+D60</f>
        <v>23647222</v>
      </c>
      <c r="E61" s="755">
        <f>E59+E60</f>
        <v>22803166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3748829</v>
      </c>
      <c r="D64" s="744">
        <v>1443401</v>
      </c>
      <c r="E64" s="752">
        <v>1080913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1278675</v>
      </c>
      <c r="D65" s="752">
        <v>517947</v>
      </c>
      <c r="E65" s="752">
        <v>387314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5027504</v>
      </c>
      <c r="D66" s="757">
        <f>D64+D65</f>
        <v>1961348</v>
      </c>
      <c r="E66" s="757">
        <f>E64+E65</f>
        <v>1468227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30660397</v>
      </c>
      <c r="D69" s="752">
        <v>28859814</v>
      </c>
      <c r="E69" s="752">
        <v>29778061</v>
      </c>
    </row>
    <row r="70" spans="1:6" ht="26.1" customHeight="1" x14ac:dyDescent="0.25">
      <c r="A70" s="742">
        <v>2</v>
      </c>
      <c r="B70" s="743" t="s">
        <v>975</v>
      </c>
      <c r="C70" s="752">
        <v>10457849</v>
      </c>
      <c r="D70" s="752">
        <v>10356001</v>
      </c>
      <c r="E70" s="752">
        <v>10670104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41118246</v>
      </c>
      <c r="D71" s="755">
        <f>D69+D70</f>
        <v>39215815</v>
      </c>
      <c r="E71" s="755">
        <f>E69+E70</f>
        <v>40448165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51043061</v>
      </c>
      <c r="D75" s="744">
        <f t="shared" si="0"/>
        <v>47705746</v>
      </c>
      <c r="E75" s="744">
        <f t="shared" si="0"/>
        <v>47646733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17410102</v>
      </c>
      <c r="D76" s="744">
        <f t="shared" si="0"/>
        <v>17118639</v>
      </c>
      <c r="E76" s="744">
        <f t="shared" si="0"/>
        <v>17072825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68453163</v>
      </c>
      <c r="D77" s="757">
        <f>D75+D76</f>
        <v>64824385</v>
      </c>
      <c r="E77" s="757">
        <f>E75+E76</f>
        <v>64719558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615</v>
      </c>
      <c r="C80" s="749">
        <v>274.2</v>
      </c>
      <c r="D80" s="749">
        <v>284.10000000000002</v>
      </c>
      <c r="E80" s="749">
        <v>276.39999999999998</v>
      </c>
    </row>
    <row r="81" spans="1:5" ht="26.1" customHeight="1" x14ac:dyDescent="0.25">
      <c r="A81" s="742">
        <v>2</v>
      </c>
      <c r="B81" s="743" t="s">
        <v>616</v>
      </c>
      <c r="C81" s="749">
        <v>16.100000000000001</v>
      </c>
      <c r="D81" s="749">
        <v>5.6</v>
      </c>
      <c r="E81" s="749">
        <v>5</v>
      </c>
    </row>
    <row r="82" spans="1:5" ht="26.1" customHeight="1" x14ac:dyDescent="0.25">
      <c r="A82" s="742">
        <v>3</v>
      </c>
      <c r="B82" s="743" t="s">
        <v>981</v>
      </c>
      <c r="C82" s="749">
        <v>545.1</v>
      </c>
      <c r="D82" s="749">
        <v>517</v>
      </c>
      <c r="E82" s="749">
        <v>502.5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835.40000000000009</v>
      </c>
      <c r="D83" s="759">
        <f>D80+D81+D82</f>
        <v>806.7</v>
      </c>
      <c r="E83" s="759">
        <f>E80+E81+E82</f>
        <v>783.9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60663.147337709706</v>
      </c>
      <c r="D86" s="752">
        <f>IF(D80=0,0,D59/D80)</f>
        <v>61254.948961633221</v>
      </c>
      <c r="E86" s="752">
        <f>IF(E80=0,0,E59/E80)</f>
        <v>60737.188856729386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20691.385849744715</v>
      </c>
      <c r="D87" s="752">
        <f>IF(D80=0,0,D60/D80)</f>
        <v>21980.608940513903</v>
      </c>
      <c r="E87" s="752">
        <f>IF(E80=0,0,E60/E80)</f>
        <v>21763.411722141824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81354.533187454421</v>
      </c>
      <c r="D88" s="755">
        <f>+D86+D87</f>
        <v>83235.55790214712</v>
      </c>
      <c r="E88" s="755">
        <f>+E86+E87</f>
        <v>82500.600578871206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232846.5217391304</v>
      </c>
      <c r="D91" s="744">
        <f>IF(D81=0,0,D64/D81)</f>
        <v>257750.17857142858</v>
      </c>
      <c r="E91" s="744">
        <f>IF(E81=0,0,E64/E81)</f>
        <v>216182.6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79420.807453416142</v>
      </c>
      <c r="D92" s="744">
        <f>IF(D81=0,0,D65/D81)</f>
        <v>92490.535714285725</v>
      </c>
      <c r="E92" s="744">
        <f>IF(E81=0,0,E65/E81)</f>
        <v>77462.8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312267.32919254655</v>
      </c>
      <c r="D93" s="757">
        <f>+D91+D92</f>
        <v>350240.71428571432</v>
      </c>
      <c r="E93" s="757">
        <f>+E91+E92</f>
        <v>293645.40000000002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56247.28857090442</v>
      </c>
      <c r="D96" s="752">
        <f>IF(D82=0,0,D69/D82)</f>
        <v>55821.690522243713</v>
      </c>
      <c r="E96" s="752">
        <f>IF(E82=0,0,E69/E82)</f>
        <v>59259.822885572139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19185.193542469271</v>
      </c>
      <c r="D97" s="752">
        <f>IF(D82=0,0,D70/D82)</f>
        <v>20030.949709864602</v>
      </c>
      <c r="E97" s="752">
        <f>IF(E82=0,0,E70/E82)</f>
        <v>21234.037810945272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75432.482113373699</v>
      </c>
      <c r="D98" s="757">
        <f>+D96+D97</f>
        <v>75852.640232108315</v>
      </c>
      <c r="E98" s="757">
        <f>+E96+E97</f>
        <v>80493.860696517411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61100.144840794819</v>
      </c>
      <c r="D101" s="744">
        <f>IF(D83=0,0,D75/D83)</f>
        <v>59136.91087145159</v>
      </c>
      <c r="E101" s="744">
        <f>IF(E83=0,0,E75/E83)</f>
        <v>60781.646893736448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20840.438113478573</v>
      </c>
      <c r="D102" s="761">
        <f>IF(D83=0,0,D76/D83)</f>
        <v>21220.57642246188</v>
      </c>
      <c r="E102" s="761">
        <f>IF(E83=0,0,E76/E83)</f>
        <v>21779.340477101672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81940.582954273385</v>
      </c>
      <c r="D103" s="757">
        <f>+D101+D102</f>
        <v>80357.487293913466</v>
      </c>
      <c r="E103" s="757">
        <f>+E101+E102</f>
        <v>82560.98737083812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3703.3738909326985</v>
      </c>
      <c r="D108" s="744">
        <f>IF(D19=0,0,D77/D19)</f>
        <v>4020.3662242619698</v>
      </c>
      <c r="E108" s="744">
        <f>IF(E19=0,0,E77/E19)</f>
        <v>3842.2914984564236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13430.088875809299</v>
      </c>
      <c r="D109" s="744">
        <f>IF(D20=0,0,D77/D20)</f>
        <v>14967.532902332025</v>
      </c>
      <c r="E109" s="744">
        <f>IF(E20=0,0,E77/E20)</f>
        <v>14347.053424961206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1051.0898638024653</v>
      </c>
      <c r="D110" s="744">
        <f>IF(D22=0,0,D77/D22)</f>
        <v>1181.2511793486433</v>
      </c>
      <c r="E110" s="744">
        <f>IF(E22=0,0,E77/E22)</f>
        <v>1100.6950339208158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3811.721609284828</v>
      </c>
      <c r="D111" s="744">
        <f>IF(D23=0,0,D77/D23)</f>
        <v>4397.7127720659255</v>
      </c>
      <c r="E111" s="744">
        <f>IF(E23=0,0,E77/E23)</f>
        <v>4109.9772004793222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1021.9177314846189</v>
      </c>
      <c r="D112" s="744">
        <f>IF(D29=0,0,D77/D29)</f>
        <v>1105.6487268404467</v>
      </c>
      <c r="E112" s="744">
        <f>IF(E29=0,0,E77/E29)</f>
        <v>1063.7711847312341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3705.9304196118687</v>
      </c>
      <c r="D113" s="744">
        <f>IF(D30=0,0,D77/D30)</f>
        <v>4116.2503051432377</v>
      </c>
      <c r="E113" s="744">
        <f>IF(E30=0,0,E77/E30)</f>
        <v>3972.1041533169832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FILING&amp;R&amp;"Arial,Bold"&amp;12DAY KIMBALL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216749429</v>
      </c>
      <c r="D12" s="76">
        <v>224868002</v>
      </c>
      <c r="E12" s="76">
        <f t="shared" ref="E12:E21" si="0">D12-C12</f>
        <v>8118573</v>
      </c>
      <c r="F12" s="77">
        <f t="shared" ref="F12:F21" si="1">IF(C12=0,0,E12/C12)</f>
        <v>3.7456029468940374E-2</v>
      </c>
    </row>
    <row r="13" spans="1:8" ht="23.1" customHeight="1" x14ac:dyDescent="0.2">
      <c r="A13" s="74">
        <v>2</v>
      </c>
      <c r="B13" s="75" t="s">
        <v>72</v>
      </c>
      <c r="C13" s="76">
        <v>108255956</v>
      </c>
      <c r="D13" s="76">
        <v>116247340</v>
      </c>
      <c r="E13" s="76">
        <f t="shared" si="0"/>
        <v>7991384</v>
      </c>
      <c r="F13" s="77">
        <f t="shared" si="1"/>
        <v>7.3819347177535438E-2</v>
      </c>
    </row>
    <row r="14" spans="1:8" ht="23.1" customHeight="1" x14ac:dyDescent="0.2">
      <c r="A14" s="74">
        <v>3</v>
      </c>
      <c r="B14" s="75" t="s">
        <v>73</v>
      </c>
      <c r="C14" s="76">
        <v>703850</v>
      </c>
      <c r="D14" s="76">
        <v>522721</v>
      </c>
      <c r="E14" s="76">
        <f t="shared" si="0"/>
        <v>-181129</v>
      </c>
      <c r="F14" s="77">
        <f t="shared" si="1"/>
        <v>-0.25734034240250053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107789623</v>
      </c>
      <c r="D16" s="79">
        <f>D12-D13-D14-D15</f>
        <v>108097941</v>
      </c>
      <c r="E16" s="79">
        <f t="shared" si="0"/>
        <v>308318</v>
      </c>
      <c r="F16" s="80">
        <f t="shared" si="1"/>
        <v>2.860368107976405E-3</v>
      </c>
    </row>
    <row r="17" spans="1:7" ht="23.1" customHeight="1" x14ac:dyDescent="0.2">
      <c r="A17" s="74">
        <v>5</v>
      </c>
      <c r="B17" s="75" t="s">
        <v>76</v>
      </c>
      <c r="C17" s="76">
        <v>3140293</v>
      </c>
      <c r="D17" s="76">
        <v>3250605</v>
      </c>
      <c r="E17" s="76">
        <f t="shared" si="0"/>
        <v>110312</v>
      </c>
      <c r="F17" s="77">
        <f t="shared" si="1"/>
        <v>3.5127932329881317E-2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104649330</v>
      </c>
      <c r="D18" s="79">
        <f>D16-D17</f>
        <v>104847336</v>
      </c>
      <c r="E18" s="79">
        <f t="shared" si="0"/>
        <v>198006</v>
      </c>
      <c r="F18" s="80">
        <f t="shared" si="1"/>
        <v>1.8920904701444337E-3</v>
      </c>
    </row>
    <row r="19" spans="1:7" ht="23.1" customHeight="1" x14ac:dyDescent="0.2">
      <c r="A19" s="74">
        <v>6</v>
      </c>
      <c r="B19" s="75" t="s">
        <v>78</v>
      </c>
      <c r="C19" s="76">
        <v>4807000</v>
      </c>
      <c r="D19" s="76">
        <v>6153524</v>
      </c>
      <c r="E19" s="76">
        <f t="shared" si="0"/>
        <v>1346524</v>
      </c>
      <c r="F19" s="77">
        <f t="shared" si="1"/>
        <v>0.28011732889536095</v>
      </c>
      <c r="G19" s="65"/>
    </row>
    <row r="20" spans="1:7" ht="33" customHeight="1" x14ac:dyDescent="0.2">
      <c r="A20" s="74">
        <v>7</v>
      </c>
      <c r="B20" s="82" t="s">
        <v>79</v>
      </c>
      <c r="C20" s="76">
        <v>1624641</v>
      </c>
      <c r="D20" s="76">
        <v>542228</v>
      </c>
      <c r="E20" s="76">
        <f t="shared" si="0"/>
        <v>-1082413</v>
      </c>
      <c r="F20" s="77">
        <f t="shared" si="1"/>
        <v>-0.66624749713936804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111080971</v>
      </c>
      <c r="D21" s="79">
        <f>SUM(D18:D20)</f>
        <v>111543088</v>
      </c>
      <c r="E21" s="79">
        <f t="shared" si="0"/>
        <v>462117</v>
      </c>
      <c r="F21" s="80">
        <f t="shared" si="1"/>
        <v>4.1601814949925129E-3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47705746</v>
      </c>
      <c r="D24" s="76">
        <v>47646733</v>
      </c>
      <c r="E24" s="76">
        <f t="shared" ref="E24:E33" si="2">D24-C24</f>
        <v>-59013</v>
      </c>
      <c r="F24" s="77">
        <f t="shared" ref="F24:F33" si="3">IF(C24=0,0,E24/C24)</f>
        <v>-1.2370207982912583E-3</v>
      </c>
    </row>
    <row r="25" spans="1:7" ht="23.1" customHeight="1" x14ac:dyDescent="0.2">
      <c r="A25" s="74">
        <v>2</v>
      </c>
      <c r="B25" s="75" t="s">
        <v>83</v>
      </c>
      <c r="C25" s="76">
        <v>17118639</v>
      </c>
      <c r="D25" s="76">
        <v>17072825</v>
      </c>
      <c r="E25" s="76">
        <f t="shared" si="2"/>
        <v>-45814</v>
      </c>
      <c r="F25" s="77">
        <f t="shared" si="3"/>
        <v>-2.6762641586168152E-3</v>
      </c>
    </row>
    <row r="26" spans="1:7" ht="23.1" customHeight="1" x14ac:dyDescent="0.2">
      <c r="A26" s="74">
        <v>3</v>
      </c>
      <c r="B26" s="75" t="s">
        <v>84</v>
      </c>
      <c r="C26" s="76">
        <v>3579600</v>
      </c>
      <c r="D26" s="76">
        <v>2525960</v>
      </c>
      <c r="E26" s="76">
        <f t="shared" si="2"/>
        <v>-1053640</v>
      </c>
      <c r="F26" s="77">
        <f t="shared" si="3"/>
        <v>-0.29434573695384958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15220013</v>
      </c>
      <c r="D27" s="76">
        <v>13187429</v>
      </c>
      <c r="E27" s="76">
        <f t="shared" si="2"/>
        <v>-2032584</v>
      </c>
      <c r="F27" s="77">
        <f t="shared" si="3"/>
        <v>-0.13354679789038287</v>
      </c>
    </row>
    <row r="28" spans="1:7" ht="23.1" customHeight="1" x14ac:dyDescent="0.2">
      <c r="A28" s="74">
        <v>5</v>
      </c>
      <c r="B28" s="75" t="s">
        <v>86</v>
      </c>
      <c r="C28" s="76">
        <v>4726233</v>
      </c>
      <c r="D28" s="76">
        <v>5177041</v>
      </c>
      <c r="E28" s="76">
        <f t="shared" si="2"/>
        <v>450808</v>
      </c>
      <c r="F28" s="77">
        <f t="shared" si="3"/>
        <v>9.5384209792449923E-2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952190</v>
      </c>
      <c r="D30" s="76">
        <v>1343831</v>
      </c>
      <c r="E30" s="76">
        <f t="shared" si="2"/>
        <v>391641</v>
      </c>
      <c r="F30" s="77">
        <f t="shared" si="3"/>
        <v>0.4113055167561096</v>
      </c>
    </row>
    <row r="31" spans="1:7" ht="23.1" customHeight="1" x14ac:dyDescent="0.2">
      <c r="A31" s="74">
        <v>8</v>
      </c>
      <c r="B31" s="75" t="s">
        <v>89</v>
      </c>
      <c r="C31" s="76">
        <v>289062</v>
      </c>
      <c r="D31" s="76">
        <v>231502</v>
      </c>
      <c r="E31" s="76">
        <f t="shared" si="2"/>
        <v>-57560</v>
      </c>
      <c r="F31" s="77">
        <f t="shared" si="3"/>
        <v>-0.19912683092208591</v>
      </c>
    </row>
    <row r="32" spans="1:7" ht="23.1" customHeight="1" x14ac:dyDescent="0.2">
      <c r="A32" s="74">
        <v>9</v>
      </c>
      <c r="B32" s="75" t="s">
        <v>90</v>
      </c>
      <c r="C32" s="76">
        <v>21033109</v>
      </c>
      <c r="D32" s="76">
        <v>21819561</v>
      </c>
      <c r="E32" s="76">
        <f t="shared" si="2"/>
        <v>786452</v>
      </c>
      <c r="F32" s="77">
        <f t="shared" si="3"/>
        <v>3.7391143648806267E-2</v>
      </c>
    </row>
    <row r="33" spans="1:6" ht="23.1" customHeight="1" x14ac:dyDescent="0.25">
      <c r="A33" s="71"/>
      <c r="B33" s="78" t="s">
        <v>91</v>
      </c>
      <c r="C33" s="79">
        <f>SUM(C24:C32)</f>
        <v>110624592</v>
      </c>
      <c r="D33" s="79">
        <f>SUM(D24:D32)</f>
        <v>109004882</v>
      </c>
      <c r="E33" s="79">
        <f t="shared" si="2"/>
        <v>-1619710</v>
      </c>
      <c r="F33" s="80">
        <f t="shared" si="3"/>
        <v>-1.4641500327522112E-2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456379</v>
      </c>
      <c r="D35" s="79">
        <f>+D21-D33</f>
        <v>2538206</v>
      </c>
      <c r="E35" s="79">
        <f>D35-C35</f>
        <v>2081827</v>
      </c>
      <c r="F35" s="80">
        <f>IF(C35=0,0,E35/C35)</f>
        <v>4.5616187423172407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878011</v>
      </c>
      <c r="D38" s="76">
        <v>405541</v>
      </c>
      <c r="E38" s="76">
        <f>D38-C38</f>
        <v>-472470</v>
      </c>
      <c r="F38" s="77">
        <f>IF(C38=0,0,E38/C38)</f>
        <v>-0.53811398718239289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-447476</v>
      </c>
      <c r="D40" s="76">
        <v>113623</v>
      </c>
      <c r="E40" s="76">
        <f>D40-C40</f>
        <v>561099</v>
      </c>
      <c r="F40" s="77">
        <f>IF(C40=0,0,E40/C40)</f>
        <v>-1.2539197632945678</v>
      </c>
    </row>
    <row r="41" spans="1:6" ht="23.1" customHeight="1" x14ac:dyDescent="0.25">
      <c r="A41" s="83"/>
      <c r="B41" s="78" t="s">
        <v>97</v>
      </c>
      <c r="C41" s="79">
        <f>SUM(C38:C40)</f>
        <v>430535</v>
      </c>
      <c r="D41" s="79">
        <f>SUM(D38:D40)</f>
        <v>519164</v>
      </c>
      <c r="E41" s="79">
        <f>D41-C41</f>
        <v>88629</v>
      </c>
      <c r="F41" s="80">
        <f>IF(C41=0,0,E41/C41)</f>
        <v>0.20585782805114566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886914</v>
      </c>
      <c r="D43" s="79">
        <f>D35+D41</f>
        <v>3057370</v>
      </c>
      <c r="E43" s="79">
        <f>D43-C43</f>
        <v>2170456</v>
      </c>
      <c r="F43" s="80">
        <f>IF(C43=0,0,E43/C43)</f>
        <v>2.447200066748298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886914</v>
      </c>
      <c r="D50" s="79">
        <f>D43+D48</f>
        <v>3057370</v>
      </c>
      <c r="E50" s="79">
        <f>D50-C50</f>
        <v>2170456</v>
      </c>
      <c r="F50" s="80">
        <f>IF(C50=0,0,E50/C50)</f>
        <v>2.447200066748298</v>
      </c>
    </row>
    <row r="51" spans="1:6" ht="23.1" customHeight="1" x14ac:dyDescent="0.2">
      <c r="A51" s="85"/>
      <c r="B51" s="75" t="s">
        <v>104</v>
      </c>
      <c r="C51" s="76">
        <v>593333</v>
      </c>
      <c r="D51" s="76">
        <v>775833</v>
      </c>
      <c r="E51" s="76">
        <f>D51-C51</f>
        <v>182500</v>
      </c>
      <c r="F51" s="77">
        <f>IF(C51=0,0,E51/C51)</f>
        <v>0.3075844424631699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FILING&amp;RDAY KIMBALL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27082039</v>
      </c>
      <c r="D14" s="113">
        <v>26675745</v>
      </c>
      <c r="E14" s="113">
        <f t="shared" ref="E14:E25" si="0">D14-C14</f>
        <v>-406294</v>
      </c>
      <c r="F14" s="114">
        <f t="shared" ref="F14:F25" si="1">IF(C14=0,0,E14/C14)</f>
        <v>-1.5002341588829408E-2</v>
      </c>
    </row>
    <row r="15" spans="1:6" x14ac:dyDescent="0.2">
      <c r="A15" s="115">
        <v>2</v>
      </c>
      <c r="B15" s="116" t="s">
        <v>114</v>
      </c>
      <c r="C15" s="113">
        <v>6881561</v>
      </c>
      <c r="D15" s="113">
        <v>7331489</v>
      </c>
      <c r="E15" s="113">
        <f t="shared" si="0"/>
        <v>449928</v>
      </c>
      <c r="F15" s="114">
        <f t="shared" si="1"/>
        <v>6.5381677209574982E-2</v>
      </c>
    </row>
    <row r="16" spans="1:6" x14ac:dyDescent="0.2">
      <c r="A16" s="115">
        <v>3</v>
      </c>
      <c r="B16" s="116" t="s">
        <v>115</v>
      </c>
      <c r="C16" s="113">
        <v>13752491</v>
      </c>
      <c r="D16" s="113">
        <v>14650407</v>
      </c>
      <c r="E16" s="113">
        <f t="shared" si="0"/>
        <v>897916</v>
      </c>
      <c r="F16" s="114">
        <f t="shared" si="1"/>
        <v>6.5291153435403079E-2</v>
      </c>
    </row>
    <row r="17" spans="1:6" x14ac:dyDescent="0.2">
      <c r="A17" s="115">
        <v>4</v>
      </c>
      <c r="B17" s="116" t="s">
        <v>116</v>
      </c>
      <c r="C17" s="113">
        <v>141843</v>
      </c>
      <c r="D17" s="113">
        <v>103828</v>
      </c>
      <c r="E17" s="113">
        <f t="shared" si="0"/>
        <v>-38015</v>
      </c>
      <c r="F17" s="114">
        <f t="shared" si="1"/>
        <v>-0.2680075858519631</v>
      </c>
    </row>
    <row r="18" spans="1:6" x14ac:dyDescent="0.2">
      <c r="A18" s="115">
        <v>5</v>
      </c>
      <c r="B18" s="116" t="s">
        <v>117</v>
      </c>
      <c r="C18" s="113">
        <v>222098</v>
      </c>
      <c r="D18" s="113">
        <v>378115</v>
      </c>
      <c r="E18" s="113">
        <f t="shared" si="0"/>
        <v>156017</v>
      </c>
      <c r="F18" s="114">
        <f t="shared" si="1"/>
        <v>0.70246918027177196</v>
      </c>
    </row>
    <row r="19" spans="1:6" x14ac:dyDescent="0.2">
      <c r="A19" s="115">
        <v>6</v>
      </c>
      <c r="B19" s="116" t="s">
        <v>118</v>
      </c>
      <c r="C19" s="113">
        <v>14684689</v>
      </c>
      <c r="D19" s="113">
        <v>14610787</v>
      </c>
      <c r="E19" s="113">
        <f t="shared" si="0"/>
        <v>-73902</v>
      </c>
      <c r="F19" s="114">
        <f t="shared" si="1"/>
        <v>-5.0325887051472454E-3</v>
      </c>
    </row>
    <row r="20" spans="1:6" x14ac:dyDescent="0.2">
      <c r="A20" s="115">
        <v>7</v>
      </c>
      <c r="B20" s="116" t="s">
        <v>119</v>
      </c>
      <c r="C20" s="113">
        <v>0</v>
      </c>
      <c r="D20" s="113">
        <v>0</v>
      </c>
      <c r="E20" s="113">
        <f t="shared" si="0"/>
        <v>0</v>
      </c>
      <c r="F20" s="114">
        <f t="shared" si="1"/>
        <v>0</v>
      </c>
    </row>
    <row r="21" spans="1:6" x14ac:dyDescent="0.2">
      <c r="A21" s="115">
        <v>8</v>
      </c>
      <c r="B21" s="116" t="s">
        <v>120</v>
      </c>
      <c r="C21" s="113">
        <v>62897</v>
      </c>
      <c r="D21" s="113">
        <v>196471</v>
      </c>
      <c r="E21" s="113">
        <f t="shared" si="0"/>
        <v>133574</v>
      </c>
      <c r="F21" s="114">
        <f t="shared" si="1"/>
        <v>2.1236942938454932</v>
      </c>
    </row>
    <row r="22" spans="1:6" x14ac:dyDescent="0.2">
      <c r="A22" s="115">
        <v>9</v>
      </c>
      <c r="B22" s="116" t="s">
        <v>121</v>
      </c>
      <c r="C22" s="113">
        <v>856999</v>
      </c>
      <c r="D22" s="113">
        <v>470731</v>
      </c>
      <c r="E22" s="113">
        <f t="shared" si="0"/>
        <v>-386268</v>
      </c>
      <c r="F22" s="114">
        <f t="shared" si="1"/>
        <v>-0.45072164611627319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63684617</v>
      </c>
      <c r="D25" s="119">
        <f>SUM(D14:D24)</f>
        <v>64417573</v>
      </c>
      <c r="E25" s="119">
        <f t="shared" si="0"/>
        <v>732956</v>
      </c>
      <c r="F25" s="120">
        <f t="shared" si="1"/>
        <v>1.1509152987447502E-2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43408788</v>
      </c>
      <c r="D27" s="113">
        <v>44697434</v>
      </c>
      <c r="E27" s="113">
        <f t="shared" ref="E27:E38" si="2">D27-C27</f>
        <v>1288646</v>
      </c>
      <c r="F27" s="114">
        <f t="shared" ref="F27:F38" si="3">IF(C27=0,0,E27/C27)</f>
        <v>2.9686293015137855E-2</v>
      </c>
    </row>
    <row r="28" spans="1:6" x14ac:dyDescent="0.2">
      <c r="A28" s="115">
        <v>2</v>
      </c>
      <c r="B28" s="116" t="s">
        <v>114</v>
      </c>
      <c r="C28" s="113">
        <v>12540330</v>
      </c>
      <c r="D28" s="113">
        <v>13225441</v>
      </c>
      <c r="E28" s="113">
        <f t="shared" si="2"/>
        <v>685111</v>
      </c>
      <c r="F28" s="114">
        <f t="shared" si="3"/>
        <v>5.463261333633166E-2</v>
      </c>
    </row>
    <row r="29" spans="1:6" x14ac:dyDescent="0.2">
      <c r="A29" s="115">
        <v>3</v>
      </c>
      <c r="B29" s="116" t="s">
        <v>115</v>
      </c>
      <c r="C29" s="113">
        <v>29037537</v>
      </c>
      <c r="D29" s="113">
        <v>34396241</v>
      </c>
      <c r="E29" s="113">
        <f t="shared" si="2"/>
        <v>5358704</v>
      </c>
      <c r="F29" s="114">
        <f t="shared" si="3"/>
        <v>0.18454402658186883</v>
      </c>
    </row>
    <row r="30" spans="1:6" x14ac:dyDescent="0.2">
      <c r="A30" s="115">
        <v>4</v>
      </c>
      <c r="B30" s="116" t="s">
        <v>116</v>
      </c>
      <c r="C30" s="113">
        <v>976202</v>
      </c>
      <c r="D30" s="113">
        <v>292837</v>
      </c>
      <c r="E30" s="113">
        <f t="shared" si="2"/>
        <v>-683365</v>
      </c>
      <c r="F30" s="114">
        <f t="shared" si="3"/>
        <v>-0.70002417532436934</v>
      </c>
    </row>
    <row r="31" spans="1:6" x14ac:dyDescent="0.2">
      <c r="A31" s="115">
        <v>5</v>
      </c>
      <c r="B31" s="116" t="s">
        <v>117</v>
      </c>
      <c r="C31" s="113">
        <v>977760</v>
      </c>
      <c r="D31" s="113">
        <v>1102238</v>
      </c>
      <c r="E31" s="113">
        <f t="shared" si="2"/>
        <v>124478</v>
      </c>
      <c r="F31" s="114">
        <f t="shared" si="3"/>
        <v>0.1273093601701849</v>
      </c>
    </row>
    <row r="32" spans="1:6" x14ac:dyDescent="0.2">
      <c r="A32" s="115">
        <v>6</v>
      </c>
      <c r="B32" s="116" t="s">
        <v>118</v>
      </c>
      <c r="C32" s="113">
        <v>61211786</v>
      </c>
      <c r="D32" s="113">
        <v>62114873</v>
      </c>
      <c r="E32" s="113">
        <f t="shared" si="2"/>
        <v>903087</v>
      </c>
      <c r="F32" s="114">
        <f t="shared" si="3"/>
        <v>1.4753482278723251E-2</v>
      </c>
    </row>
    <row r="33" spans="1:6" x14ac:dyDescent="0.2">
      <c r="A33" s="115">
        <v>7</v>
      </c>
      <c r="B33" s="116" t="s">
        <v>119</v>
      </c>
      <c r="C33" s="113">
        <v>0</v>
      </c>
      <c r="D33" s="113">
        <v>0</v>
      </c>
      <c r="E33" s="113">
        <f t="shared" si="2"/>
        <v>0</v>
      </c>
      <c r="F33" s="114">
        <f t="shared" si="3"/>
        <v>0</v>
      </c>
    </row>
    <row r="34" spans="1:6" x14ac:dyDescent="0.2">
      <c r="A34" s="115">
        <v>8</v>
      </c>
      <c r="B34" s="116" t="s">
        <v>120</v>
      </c>
      <c r="C34" s="113">
        <v>1793123</v>
      </c>
      <c r="D34" s="113">
        <v>2095074</v>
      </c>
      <c r="E34" s="113">
        <f t="shared" si="2"/>
        <v>301951</v>
      </c>
      <c r="F34" s="114">
        <f t="shared" si="3"/>
        <v>0.16839391385867003</v>
      </c>
    </row>
    <row r="35" spans="1:6" x14ac:dyDescent="0.2">
      <c r="A35" s="115">
        <v>9</v>
      </c>
      <c r="B35" s="116" t="s">
        <v>121</v>
      </c>
      <c r="C35" s="113">
        <v>3119256</v>
      </c>
      <c r="D35" s="113">
        <v>2526291</v>
      </c>
      <c r="E35" s="113">
        <f t="shared" si="2"/>
        <v>-592965</v>
      </c>
      <c r="F35" s="114">
        <f t="shared" si="3"/>
        <v>-0.19009821572836599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153064782</v>
      </c>
      <c r="D38" s="119">
        <f>SUM(D27:D37)</f>
        <v>160450429</v>
      </c>
      <c r="E38" s="119">
        <f t="shared" si="2"/>
        <v>7385647</v>
      </c>
      <c r="F38" s="120">
        <f t="shared" si="3"/>
        <v>4.8251772246342077E-2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70490827</v>
      </c>
      <c r="D41" s="119">
        <f t="shared" si="4"/>
        <v>71373179</v>
      </c>
      <c r="E41" s="123">
        <f t="shared" ref="E41:E52" si="5">D41-C41</f>
        <v>882352</v>
      </c>
      <c r="F41" s="124">
        <f t="shared" ref="F41:F52" si="6">IF(C41=0,0,E41/C41)</f>
        <v>1.2517259869855123E-2</v>
      </c>
    </row>
    <row r="42" spans="1:6" ht="15.75" x14ac:dyDescent="0.25">
      <c r="A42" s="121">
        <v>2</v>
      </c>
      <c r="B42" s="122" t="s">
        <v>114</v>
      </c>
      <c r="C42" s="119">
        <f t="shared" si="4"/>
        <v>19421891</v>
      </c>
      <c r="D42" s="119">
        <f t="shared" si="4"/>
        <v>20556930</v>
      </c>
      <c r="E42" s="123">
        <f t="shared" si="5"/>
        <v>1135039</v>
      </c>
      <c r="F42" s="124">
        <f t="shared" si="6"/>
        <v>5.8441219755584049E-2</v>
      </c>
    </row>
    <row r="43" spans="1:6" ht="15.75" x14ac:dyDescent="0.25">
      <c r="A43" s="121">
        <v>3</v>
      </c>
      <c r="B43" s="122" t="s">
        <v>115</v>
      </c>
      <c r="C43" s="119">
        <f t="shared" si="4"/>
        <v>42790028</v>
      </c>
      <c r="D43" s="119">
        <f t="shared" si="4"/>
        <v>49046648</v>
      </c>
      <c r="E43" s="123">
        <f t="shared" si="5"/>
        <v>6256620</v>
      </c>
      <c r="F43" s="124">
        <f t="shared" si="6"/>
        <v>0.14621677742300146</v>
      </c>
    </row>
    <row r="44" spans="1:6" ht="15.75" x14ac:dyDescent="0.25">
      <c r="A44" s="121">
        <v>4</v>
      </c>
      <c r="B44" s="122" t="s">
        <v>116</v>
      </c>
      <c r="C44" s="119">
        <f t="shared" si="4"/>
        <v>1118045</v>
      </c>
      <c r="D44" s="119">
        <f t="shared" si="4"/>
        <v>396665</v>
      </c>
      <c r="E44" s="123">
        <f t="shared" si="5"/>
        <v>-721380</v>
      </c>
      <c r="F44" s="124">
        <f t="shared" si="6"/>
        <v>-0.64521553246962327</v>
      </c>
    </row>
    <row r="45" spans="1:6" ht="15.75" x14ac:dyDescent="0.25">
      <c r="A45" s="121">
        <v>5</v>
      </c>
      <c r="B45" s="122" t="s">
        <v>117</v>
      </c>
      <c r="C45" s="119">
        <f t="shared" si="4"/>
        <v>1199858</v>
      </c>
      <c r="D45" s="119">
        <f t="shared" si="4"/>
        <v>1480353</v>
      </c>
      <c r="E45" s="123">
        <f t="shared" si="5"/>
        <v>280495</v>
      </c>
      <c r="F45" s="124">
        <f t="shared" si="6"/>
        <v>0.23377349653042276</v>
      </c>
    </row>
    <row r="46" spans="1:6" ht="15.75" x14ac:dyDescent="0.25">
      <c r="A46" s="121">
        <v>6</v>
      </c>
      <c r="B46" s="122" t="s">
        <v>118</v>
      </c>
      <c r="C46" s="119">
        <f t="shared" si="4"/>
        <v>75896475</v>
      </c>
      <c r="D46" s="119">
        <f t="shared" si="4"/>
        <v>76725660</v>
      </c>
      <c r="E46" s="123">
        <f t="shared" si="5"/>
        <v>829185</v>
      </c>
      <c r="F46" s="124">
        <f t="shared" si="6"/>
        <v>1.0925210953473135E-2</v>
      </c>
    </row>
    <row r="47" spans="1:6" ht="15.75" x14ac:dyDescent="0.25">
      <c r="A47" s="121">
        <v>7</v>
      </c>
      <c r="B47" s="122" t="s">
        <v>119</v>
      </c>
      <c r="C47" s="119">
        <f t="shared" si="4"/>
        <v>0</v>
      </c>
      <c r="D47" s="119">
        <f t="shared" si="4"/>
        <v>0</v>
      </c>
      <c r="E47" s="123">
        <f t="shared" si="5"/>
        <v>0</v>
      </c>
      <c r="F47" s="124">
        <f t="shared" si="6"/>
        <v>0</v>
      </c>
    </row>
    <row r="48" spans="1:6" ht="15.75" x14ac:dyDescent="0.25">
      <c r="A48" s="121">
        <v>8</v>
      </c>
      <c r="B48" s="122" t="s">
        <v>120</v>
      </c>
      <c r="C48" s="119">
        <f t="shared" si="4"/>
        <v>1856020</v>
      </c>
      <c r="D48" s="119">
        <f t="shared" si="4"/>
        <v>2291545</v>
      </c>
      <c r="E48" s="123">
        <f t="shared" si="5"/>
        <v>435525</v>
      </c>
      <c r="F48" s="124">
        <f t="shared" si="6"/>
        <v>0.23465533776575684</v>
      </c>
    </row>
    <row r="49" spans="1:6" ht="15.75" x14ac:dyDescent="0.25">
      <c r="A49" s="121">
        <v>9</v>
      </c>
      <c r="B49" s="122" t="s">
        <v>121</v>
      </c>
      <c r="C49" s="119">
        <f t="shared" si="4"/>
        <v>3976255</v>
      </c>
      <c r="D49" s="119">
        <f t="shared" si="4"/>
        <v>2997022</v>
      </c>
      <c r="E49" s="123">
        <f t="shared" si="5"/>
        <v>-979233</v>
      </c>
      <c r="F49" s="124">
        <f t="shared" si="6"/>
        <v>-0.24627017130440579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216749399</v>
      </c>
      <c r="D52" s="128">
        <f>SUM(D41:D51)</f>
        <v>224868002</v>
      </c>
      <c r="E52" s="127">
        <f t="shared" si="5"/>
        <v>8118603</v>
      </c>
      <c r="F52" s="129">
        <f t="shared" si="6"/>
        <v>3.7456173061868561E-2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14121201</v>
      </c>
      <c r="D57" s="113">
        <v>14187896</v>
      </c>
      <c r="E57" s="113">
        <f t="shared" ref="E57:E68" si="7">D57-C57</f>
        <v>66695</v>
      </c>
      <c r="F57" s="114">
        <f t="shared" ref="F57:F68" si="8">IF(C57=0,0,E57/C57)</f>
        <v>4.7230402003342348E-3</v>
      </c>
    </row>
    <row r="58" spans="1:6" x14ac:dyDescent="0.2">
      <c r="A58" s="115">
        <v>2</v>
      </c>
      <c r="B58" s="116" t="s">
        <v>114</v>
      </c>
      <c r="C58" s="113">
        <v>3377949</v>
      </c>
      <c r="D58" s="113">
        <v>3558134</v>
      </c>
      <c r="E58" s="113">
        <f t="shared" si="7"/>
        <v>180185</v>
      </c>
      <c r="F58" s="114">
        <f t="shared" si="8"/>
        <v>5.3341539496303825E-2</v>
      </c>
    </row>
    <row r="59" spans="1:6" x14ac:dyDescent="0.2">
      <c r="A59" s="115">
        <v>3</v>
      </c>
      <c r="B59" s="116" t="s">
        <v>115</v>
      </c>
      <c r="C59" s="113">
        <v>4775484</v>
      </c>
      <c r="D59" s="113">
        <v>6239750</v>
      </c>
      <c r="E59" s="113">
        <f t="shared" si="7"/>
        <v>1464266</v>
      </c>
      <c r="F59" s="114">
        <f t="shared" si="8"/>
        <v>0.30662148590593119</v>
      </c>
    </row>
    <row r="60" spans="1:6" x14ac:dyDescent="0.2">
      <c r="A60" s="115">
        <v>4</v>
      </c>
      <c r="B60" s="116" t="s">
        <v>116</v>
      </c>
      <c r="C60" s="113">
        <v>34500</v>
      </c>
      <c r="D60" s="113">
        <v>49610</v>
      </c>
      <c r="E60" s="113">
        <f t="shared" si="7"/>
        <v>15110</v>
      </c>
      <c r="F60" s="114">
        <f t="shared" si="8"/>
        <v>0.43797101449275361</v>
      </c>
    </row>
    <row r="61" spans="1:6" x14ac:dyDescent="0.2">
      <c r="A61" s="115">
        <v>5</v>
      </c>
      <c r="B61" s="116" t="s">
        <v>117</v>
      </c>
      <c r="C61" s="113">
        <v>94784</v>
      </c>
      <c r="D61" s="113">
        <v>110536</v>
      </c>
      <c r="E61" s="113">
        <f t="shared" si="7"/>
        <v>15752</v>
      </c>
      <c r="F61" s="114">
        <f t="shared" si="8"/>
        <v>0.16618838622552329</v>
      </c>
    </row>
    <row r="62" spans="1:6" x14ac:dyDescent="0.2">
      <c r="A62" s="115">
        <v>6</v>
      </c>
      <c r="B62" s="116" t="s">
        <v>118</v>
      </c>
      <c r="C62" s="113">
        <v>8670773</v>
      </c>
      <c r="D62" s="113">
        <v>8771124</v>
      </c>
      <c r="E62" s="113">
        <f t="shared" si="7"/>
        <v>100351</v>
      </c>
      <c r="F62" s="114">
        <f t="shared" si="8"/>
        <v>1.1573477935588904E-2</v>
      </c>
    </row>
    <row r="63" spans="1:6" x14ac:dyDescent="0.2">
      <c r="A63" s="115">
        <v>7</v>
      </c>
      <c r="B63" s="116" t="s">
        <v>119</v>
      </c>
      <c r="C63" s="113">
        <v>0</v>
      </c>
      <c r="D63" s="113">
        <v>0</v>
      </c>
      <c r="E63" s="113">
        <f t="shared" si="7"/>
        <v>0</v>
      </c>
      <c r="F63" s="114">
        <f t="shared" si="8"/>
        <v>0</v>
      </c>
    </row>
    <row r="64" spans="1:6" x14ac:dyDescent="0.2">
      <c r="A64" s="115">
        <v>8</v>
      </c>
      <c r="B64" s="116" t="s">
        <v>120</v>
      </c>
      <c r="C64" s="113">
        <v>60588</v>
      </c>
      <c r="D64" s="113">
        <v>93758</v>
      </c>
      <c r="E64" s="113">
        <f t="shared" si="7"/>
        <v>33170</v>
      </c>
      <c r="F64" s="114">
        <f t="shared" si="8"/>
        <v>0.54746814550736123</v>
      </c>
    </row>
    <row r="65" spans="1:6" x14ac:dyDescent="0.2">
      <c r="A65" s="115">
        <v>9</v>
      </c>
      <c r="B65" s="116" t="s">
        <v>121</v>
      </c>
      <c r="C65" s="113">
        <v>38867</v>
      </c>
      <c r="D65" s="113">
        <v>5560</v>
      </c>
      <c r="E65" s="113">
        <f t="shared" si="7"/>
        <v>-33307</v>
      </c>
      <c r="F65" s="114">
        <f t="shared" si="8"/>
        <v>-0.85694805361875115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31174146</v>
      </c>
      <c r="D68" s="119">
        <f>SUM(D57:D67)</f>
        <v>33016368</v>
      </c>
      <c r="E68" s="119">
        <f t="shared" si="7"/>
        <v>1842222</v>
      </c>
      <c r="F68" s="120">
        <f t="shared" si="8"/>
        <v>5.9094545845778744E-2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18021639</v>
      </c>
      <c r="D70" s="113">
        <v>17439188</v>
      </c>
      <c r="E70" s="113">
        <f t="shared" ref="E70:E81" si="9">D70-C70</f>
        <v>-582451</v>
      </c>
      <c r="F70" s="114">
        <f t="shared" ref="F70:F81" si="10">IF(C70=0,0,E70/C70)</f>
        <v>-3.2319535420723945E-2</v>
      </c>
    </row>
    <row r="71" spans="1:6" x14ac:dyDescent="0.2">
      <c r="A71" s="115">
        <v>2</v>
      </c>
      <c r="B71" s="116" t="s">
        <v>114</v>
      </c>
      <c r="C71" s="113">
        <v>4568031</v>
      </c>
      <c r="D71" s="113">
        <v>4541100</v>
      </c>
      <c r="E71" s="113">
        <f t="shared" si="9"/>
        <v>-26931</v>
      </c>
      <c r="F71" s="114">
        <f t="shared" si="10"/>
        <v>-5.8955379243266961E-3</v>
      </c>
    </row>
    <row r="72" spans="1:6" x14ac:dyDescent="0.2">
      <c r="A72" s="115">
        <v>3</v>
      </c>
      <c r="B72" s="116" t="s">
        <v>115</v>
      </c>
      <c r="C72" s="113">
        <v>11095097</v>
      </c>
      <c r="D72" s="113">
        <v>10551689</v>
      </c>
      <c r="E72" s="113">
        <f t="shared" si="9"/>
        <v>-543408</v>
      </c>
      <c r="F72" s="114">
        <f t="shared" si="10"/>
        <v>-4.8977309526901838E-2</v>
      </c>
    </row>
    <row r="73" spans="1:6" x14ac:dyDescent="0.2">
      <c r="A73" s="115">
        <v>4</v>
      </c>
      <c r="B73" s="116" t="s">
        <v>116</v>
      </c>
      <c r="C73" s="113">
        <v>447234</v>
      </c>
      <c r="D73" s="113">
        <v>75990</v>
      </c>
      <c r="E73" s="113">
        <f t="shared" si="9"/>
        <v>-371244</v>
      </c>
      <c r="F73" s="114">
        <f t="shared" si="10"/>
        <v>-0.83008894672587508</v>
      </c>
    </row>
    <row r="74" spans="1:6" x14ac:dyDescent="0.2">
      <c r="A74" s="115">
        <v>5</v>
      </c>
      <c r="B74" s="116" t="s">
        <v>117</v>
      </c>
      <c r="C74" s="113">
        <v>350516</v>
      </c>
      <c r="D74" s="113">
        <v>329460</v>
      </c>
      <c r="E74" s="113">
        <f t="shared" si="9"/>
        <v>-21056</v>
      </c>
      <c r="F74" s="114">
        <f t="shared" si="10"/>
        <v>-6.0071437537801413E-2</v>
      </c>
    </row>
    <row r="75" spans="1:6" x14ac:dyDescent="0.2">
      <c r="A75" s="115">
        <v>6</v>
      </c>
      <c r="B75" s="116" t="s">
        <v>118</v>
      </c>
      <c r="C75" s="113">
        <v>36592917</v>
      </c>
      <c r="D75" s="113">
        <v>37994481</v>
      </c>
      <c r="E75" s="113">
        <f t="shared" si="9"/>
        <v>1401564</v>
      </c>
      <c r="F75" s="114">
        <f t="shared" si="10"/>
        <v>3.8301510644805935E-2</v>
      </c>
    </row>
    <row r="76" spans="1:6" x14ac:dyDescent="0.2">
      <c r="A76" s="115">
        <v>7</v>
      </c>
      <c r="B76" s="116" t="s">
        <v>119</v>
      </c>
      <c r="C76" s="113">
        <v>0</v>
      </c>
      <c r="D76" s="113">
        <v>0</v>
      </c>
      <c r="E76" s="113">
        <f t="shared" si="9"/>
        <v>0</v>
      </c>
      <c r="F76" s="114">
        <f t="shared" si="10"/>
        <v>0</v>
      </c>
    </row>
    <row r="77" spans="1:6" x14ac:dyDescent="0.2">
      <c r="A77" s="115">
        <v>8</v>
      </c>
      <c r="B77" s="116" t="s">
        <v>120</v>
      </c>
      <c r="C77" s="113">
        <v>1444344</v>
      </c>
      <c r="D77" s="113">
        <v>1385941</v>
      </c>
      <c r="E77" s="113">
        <f t="shared" si="9"/>
        <v>-58403</v>
      </c>
      <c r="F77" s="114">
        <f t="shared" si="10"/>
        <v>-4.0435657987293885E-2</v>
      </c>
    </row>
    <row r="78" spans="1:6" x14ac:dyDescent="0.2">
      <c r="A78" s="115">
        <v>9</v>
      </c>
      <c r="B78" s="116" t="s">
        <v>121</v>
      </c>
      <c r="C78" s="113">
        <v>212431</v>
      </c>
      <c r="D78" s="113">
        <v>30774</v>
      </c>
      <c r="E78" s="113">
        <f t="shared" si="9"/>
        <v>-181657</v>
      </c>
      <c r="F78" s="114">
        <f t="shared" si="10"/>
        <v>-0.85513413767293855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72732209</v>
      </c>
      <c r="D81" s="119">
        <f>SUM(D70:D80)</f>
        <v>72348623</v>
      </c>
      <c r="E81" s="119">
        <f t="shared" si="9"/>
        <v>-383586</v>
      </c>
      <c r="F81" s="120">
        <f t="shared" si="10"/>
        <v>-5.273949537267595E-3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32142840</v>
      </c>
      <c r="D84" s="119">
        <f t="shared" si="11"/>
        <v>31627084</v>
      </c>
      <c r="E84" s="119">
        <f t="shared" ref="E84:E95" si="12">D84-C84</f>
        <v>-515756</v>
      </c>
      <c r="F84" s="120">
        <f t="shared" ref="F84:F95" si="13">IF(C84=0,0,E84/C84)</f>
        <v>-1.6045750779955972E-2</v>
      </c>
    </row>
    <row r="85" spans="1:6" ht="15.75" x14ac:dyDescent="0.25">
      <c r="A85" s="130">
        <v>2</v>
      </c>
      <c r="B85" s="122" t="s">
        <v>114</v>
      </c>
      <c r="C85" s="119">
        <f t="shared" si="11"/>
        <v>7945980</v>
      </c>
      <c r="D85" s="119">
        <f t="shared" si="11"/>
        <v>8099234</v>
      </c>
      <c r="E85" s="119">
        <f t="shared" si="12"/>
        <v>153254</v>
      </c>
      <c r="F85" s="120">
        <f t="shared" si="13"/>
        <v>1.9286985368702162E-2</v>
      </c>
    </row>
    <row r="86" spans="1:6" ht="15.75" x14ac:dyDescent="0.25">
      <c r="A86" s="130">
        <v>3</v>
      </c>
      <c r="B86" s="122" t="s">
        <v>115</v>
      </c>
      <c r="C86" s="119">
        <f t="shared" si="11"/>
        <v>15870581</v>
      </c>
      <c r="D86" s="119">
        <f t="shared" si="11"/>
        <v>16791439</v>
      </c>
      <c r="E86" s="119">
        <f t="shared" si="12"/>
        <v>920858</v>
      </c>
      <c r="F86" s="120">
        <f t="shared" si="13"/>
        <v>5.8022954547158667E-2</v>
      </c>
    </row>
    <row r="87" spans="1:6" ht="15.75" x14ac:dyDescent="0.25">
      <c r="A87" s="130">
        <v>4</v>
      </c>
      <c r="B87" s="122" t="s">
        <v>116</v>
      </c>
      <c r="C87" s="119">
        <f t="shared" si="11"/>
        <v>481734</v>
      </c>
      <c r="D87" s="119">
        <f t="shared" si="11"/>
        <v>125600</v>
      </c>
      <c r="E87" s="119">
        <f t="shared" si="12"/>
        <v>-356134</v>
      </c>
      <c r="F87" s="120">
        <f t="shared" si="13"/>
        <v>-0.7392752016673102</v>
      </c>
    </row>
    <row r="88" spans="1:6" ht="15.75" x14ac:dyDescent="0.25">
      <c r="A88" s="130">
        <v>5</v>
      </c>
      <c r="B88" s="122" t="s">
        <v>117</v>
      </c>
      <c r="C88" s="119">
        <f t="shared" si="11"/>
        <v>445300</v>
      </c>
      <c r="D88" s="119">
        <f t="shared" si="11"/>
        <v>439996</v>
      </c>
      <c r="E88" s="119">
        <f t="shared" si="12"/>
        <v>-5304</v>
      </c>
      <c r="F88" s="120">
        <f t="shared" si="13"/>
        <v>-1.1911071187963172E-2</v>
      </c>
    </row>
    <row r="89" spans="1:6" ht="15.75" x14ac:dyDescent="0.25">
      <c r="A89" s="130">
        <v>6</v>
      </c>
      <c r="B89" s="122" t="s">
        <v>118</v>
      </c>
      <c r="C89" s="119">
        <f t="shared" si="11"/>
        <v>45263690</v>
      </c>
      <c r="D89" s="119">
        <f t="shared" si="11"/>
        <v>46765605</v>
      </c>
      <c r="E89" s="119">
        <f t="shared" si="12"/>
        <v>1501915</v>
      </c>
      <c r="F89" s="120">
        <f t="shared" si="13"/>
        <v>3.3181452948268249E-2</v>
      </c>
    </row>
    <row r="90" spans="1:6" ht="15.75" x14ac:dyDescent="0.25">
      <c r="A90" s="130">
        <v>7</v>
      </c>
      <c r="B90" s="122" t="s">
        <v>119</v>
      </c>
      <c r="C90" s="119">
        <f t="shared" si="11"/>
        <v>0</v>
      </c>
      <c r="D90" s="119">
        <f t="shared" si="11"/>
        <v>0</v>
      </c>
      <c r="E90" s="119">
        <f t="shared" si="12"/>
        <v>0</v>
      </c>
      <c r="F90" s="120">
        <f t="shared" si="13"/>
        <v>0</v>
      </c>
    </row>
    <row r="91" spans="1:6" ht="15.75" x14ac:dyDescent="0.25">
      <c r="A91" s="130">
        <v>8</v>
      </c>
      <c r="B91" s="122" t="s">
        <v>120</v>
      </c>
      <c r="C91" s="119">
        <f t="shared" si="11"/>
        <v>1504932</v>
      </c>
      <c r="D91" s="119">
        <f t="shared" si="11"/>
        <v>1479699</v>
      </c>
      <c r="E91" s="119">
        <f t="shared" si="12"/>
        <v>-25233</v>
      </c>
      <c r="F91" s="120">
        <f t="shared" si="13"/>
        <v>-1.6766870529698351E-2</v>
      </c>
    </row>
    <row r="92" spans="1:6" ht="15.75" x14ac:dyDescent="0.25">
      <c r="A92" s="130">
        <v>9</v>
      </c>
      <c r="B92" s="122" t="s">
        <v>121</v>
      </c>
      <c r="C92" s="119">
        <f t="shared" si="11"/>
        <v>251298</v>
      </c>
      <c r="D92" s="119">
        <f t="shared" si="11"/>
        <v>36334</v>
      </c>
      <c r="E92" s="119">
        <f t="shared" si="12"/>
        <v>-214964</v>
      </c>
      <c r="F92" s="120">
        <f t="shared" si="13"/>
        <v>-0.85541468694537959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103906355</v>
      </c>
      <c r="D95" s="128">
        <f>SUM(D84:D94)</f>
        <v>105364991</v>
      </c>
      <c r="E95" s="128">
        <f t="shared" si="12"/>
        <v>1458636</v>
      </c>
      <c r="F95" s="129">
        <f t="shared" si="13"/>
        <v>1.4037986415749066E-2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1569</v>
      </c>
      <c r="D100" s="133">
        <v>1393</v>
      </c>
      <c r="E100" s="133">
        <f t="shared" ref="E100:E111" si="14">D100-C100</f>
        <v>-176</v>
      </c>
      <c r="F100" s="114">
        <f t="shared" ref="F100:F111" si="15">IF(C100=0,0,E100/C100)</f>
        <v>-0.11217335882727852</v>
      </c>
    </row>
    <row r="101" spans="1:6" x14ac:dyDescent="0.2">
      <c r="A101" s="115">
        <v>2</v>
      </c>
      <c r="B101" s="116" t="s">
        <v>114</v>
      </c>
      <c r="C101" s="133">
        <v>378</v>
      </c>
      <c r="D101" s="133">
        <v>411</v>
      </c>
      <c r="E101" s="133">
        <f t="shared" si="14"/>
        <v>33</v>
      </c>
      <c r="F101" s="114">
        <f t="shared" si="15"/>
        <v>8.7301587301587297E-2</v>
      </c>
    </row>
    <row r="102" spans="1:6" x14ac:dyDescent="0.2">
      <c r="A102" s="115">
        <v>3</v>
      </c>
      <c r="B102" s="116" t="s">
        <v>115</v>
      </c>
      <c r="C102" s="133">
        <v>1257</v>
      </c>
      <c r="D102" s="133">
        <v>940</v>
      </c>
      <c r="E102" s="133">
        <f t="shared" si="14"/>
        <v>-317</v>
      </c>
      <c r="F102" s="114">
        <f t="shared" si="15"/>
        <v>-0.25218774860779636</v>
      </c>
    </row>
    <row r="103" spans="1:6" x14ac:dyDescent="0.2">
      <c r="A103" s="115">
        <v>4</v>
      </c>
      <c r="B103" s="116" t="s">
        <v>116</v>
      </c>
      <c r="C103" s="133">
        <v>8</v>
      </c>
      <c r="D103" s="133">
        <v>8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20</v>
      </c>
      <c r="D104" s="133">
        <v>31</v>
      </c>
      <c r="E104" s="133">
        <f t="shared" si="14"/>
        <v>11</v>
      </c>
      <c r="F104" s="114">
        <f t="shared" si="15"/>
        <v>0.55000000000000004</v>
      </c>
    </row>
    <row r="105" spans="1:6" x14ac:dyDescent="0.2">
      <c r="A105" s="115">
        <v>6</v>
      </c>
      <c r="B105" s="116" t="s">
        <v>118</v>
      </c>
      <c r="C105" s="133">
        <v>1036</v>
      </c>
      <c r="D105" s="133">
        <v>1619</v>
      </c>
      <c r="E105" s="133">
        <f t="shared" si="14"/>
        <v>583</v>
      </c>
      <c r="F105" s="114">
        <f t="shared" si="15"/>
        <v>0.56274131274131278</v>
      </c>
    </row>
    <row r="106" spans="1:6" x14ac:dyDescent="0.2">
      <c r="A106" s="115">
        <v>7</v>
      </c>
      <c r="B106" s="116" t="s">
        <v>119</v>
      </c>
      <c r="C106" s="133">
        <v>0</v>
      </c>
      <c r="D106" s="133">
        <v>0</v>
      </c>
      <c r="E106" s="133">
        <f t="shared" si="14"/>
        <v>0</v>
      </c>
      <c r="F106" s="114">
        <f t="shared" si="15"/>
        <v>0</v>
      </c>
    </row>
    <row r="107" spans="1:6" x14ac:dyDescent="0.2">
      <c r="A107" s="115">
        <v>8</v>
      </c>
      <c r="B107" s="116" t="s">
        <v>120</v>
      </c>
      <c r="C107" s="133">
        <v>4</v>
      </c>
      <c r="D107" s="133">
        <v>48</v>
      </c>
      <c r="E107" s="133">
        <f t="shared" si="14"/>
        <v>44</v>
      </c>
      <c r="F107" s="114">
        <f t="shared" si="15"/>
        <v>11</v>
      </c>
    </row>
    <row r="108" spans="1:6" x14ac:dyDescent="0.2">
      <c r="A108" s="115">
        <v>9</v>
      </c>
      <c r="B108" s="116" t="s">
        <v>121</v>
      </c>
      <c r="C108" s="133">
        <v>59</v>
      </c>
      <c r="D108" s="133">
        <v>61</v>
      </c>
      <c r="E108" s="133">
        <f t="shared" si="14"/>
        <v>2</v>
      </c>
      <c r="F108" s="114">
        <f t="shared" si="15"/>
        <v>3.3898305084745763E-2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4331</v>
      </c>
      <c r="D111" s="134">
        <f>SUM(D100:D110)</f>
        <v>4511</v>
      </c>
      <c r="E111" s="134">
        <f t="shared" si="14"/>
        <v>180</v>
      </c>
      <c r="F111" s="120">
        <f t="shared" si="15"/>
        <v>4.1560840452551373E-2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6581</v>
      </c>
      <c r="D113" s="133">
        <v>5202</v>
      </c>
      <c r="E113" s="133">
        <f t="shared" ref="E113:E124" si="16">D113-C113</f>
        <v>-1379</v>
      </c>
      <c r="F113" s="114">
        <f t="shared" ref="F113:F124" si="17">IF(C113=0,0,E113/C113)</f>
        <v>-0.20954262270171706</v>
      </c>
    </row>
    <row r="114" spans="1:6" x14ac:dyDescent="0.2">
      <c r="A114" s="115">
        <v>2</v>
      </c>
      <c r="B114" s="116" t="s">
        <v>114</v>
      </c>
      <c r="C114" s="133">
        <v>1580</v>
      </c>
      <c r="D114" s="133">
        <v>1536</v>
      </c>
      <c r="E114" s="133">
        <f t="shared" si="16"/>
        <v>-44</v>
      </c>
      <c r="F114" s="114">
        <f t="shared" si="17"/>
        <v>-2.7848101265822784E-2</v>
      </c>
    </row>
    <row r="115" spans="1:6" x14ac:dyDescent="0.2">
      <c r="A115" s="115">
        <v>3</v>
      </c>
      <c r="B115" s="116" t="s">
        <v>115</v>
      </c>
      <c r="C115" s="133">
        <v>4388</v>
      </c>
      <c r="D115" s="133">
        <v>3509</v>
      </c>
      <c r="E115" s="133">
        <f t="shared" si="16"/>
        <v>-879</v>
      </c>
      <c r="F115" s="114">
        <f t="shared" si="17"/>
        <v>-0.20031905195989061</v>
      </c>
    </row>
    <row r="116" spans="1:6" x14ac:dyDescent="0.2">
      <c r="A116" s="115">
        <v>4</v>
      </c>
      <c r="B116" s="116" t="s">
        <v>116</v>
      </c>
      <c r="C116" s="133">
        <v>42</v>
      </c>
      <c r="D116" s="133">
        <v>29</v>
      </c>
      <c r="E116" s="133">
        <f t="shared" si="16"/>
        <v>-13</v>
      </c>
      <c r="F116" s="114">
        <f t="shared" si="17"/>
        <v>-0.30952380952380953</v>
      </c>
    </row>
    <row r="117" spans="1:6" x14ac:dyDescent="0.2">
      <c r="A117" s="115">
        <v>5</v>
      </c>
      <c r="B117" s="116" t="s">
        <v>117</v>
      </c>
      <c r="C117" s="133">
        <v>52</v>
      </c>
      <c r="D117" s="133">
        <v>114</v>
      </c>
      <c r="E117" s="133">
        <f t="shared" si="16"/>
        <v>62</v>
      </c>
      <c r="F117" s="114">
        <f t="shared" si="17"/>
        <v>1.1923076923076923</v>
      </c>
    </row>
    <row r="118" spans="1:6" x14ac:dyDescent="0.2">
      <c r="A118" s="115">
        <v>6</v>
      </c>
      <c r="B118" s="116" t="s">
        <v>118</v>
      </c>
      <c r="C118" s="133">
        <v>3264</v>
      </c>
      <c r="D118" s="133">
        <v>6050</v>
      </c>
      <c r="E118" s="133">
        <f t="shared" si="16"/>
        <v>2786</v>
      </c>
      <c r="F118" s="114">
        <f t="shared" si="17"/>
        <v>0.85355392156862742</v>
      </c>
    </row>
    <row r="119" spans="1:6" x14ac:dyDescent="0.2">
      <c r="A119" s="115">
        <v>7</v>
      </c>
      <c r="B119" s="116" t="s">
        <v>119</v>
      </c>
      <c r="C119" s="133">
        <v>0</v>
      </c>
      <c r="D119" s="133">
        <v>0</v>
      </c>
      <c r="E119" s="133">
        <f t="shared" si="16"/>
        <v>0</v>
      </c>
      <c r="F119" s="114">
        <f t="shared" si="17"/>
        <v>0</v>
      </c>
    </row>
    <row r="120" spans="1:6" x14ac:dyDescent="0.2">
      <c r="A120" s="115">
        <v>8</v>
      </c>
      <c r="B120" s="116" t="s">
        <v>120</v>
      </c>
      <c r="C120" s="133">
        <v>9</v>
      </c>
      <c r="D120" s="133">
        <v>178</v>
      </c>
      <c r="E120" s="133">
        <f t="shared" si="16"/>
        <v>169</v>
      </c>
      <c r="F120" s="114">
        <f t="shared" si="17"/>
        <v>18.777777777777779</v>
      </c>
    </row>
    <row r="121" spans="1:6" x14ac:dyDescent="0.2">
      <c r="A121" s="115">
        <v>9</v>
      </c>
      <c r="B121" s="116" t="s">
        <v>121</v>
      </c>
      <c r="C121" s="133">
        <v>208</v>
      </c>
      <c r="D121" s="133">
        <v>226</v>
      </c>
      <c r="E121" s="133">
        <f t="shared" si="16"/>
        <v>18</v>
      </c>
      <c r="F121" s="114">
        <f t="shared" si="17"/>
        <v>8.6538461538461536E-2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16124</v>
      </c>
      <c r="D124" s="134">
        <f>SUM(D113:D123)</f>
        <v>16844</v>
      </c>
      <c r="E124" s="134">
        <f t="shared" si="16"/>
        <v>720</v>
      </c>
      <c r="F124" s="120">
        <f t="shared" si="17"/>
        <v>4.465393202679236E-2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103075</v>
      </c>
      <c r="D126" s="133">
        <v>57365</v>
      </c>
      <c r="E126" s="133">
        <f t="shared" ref="E126:E137" si="18">D126-C126</f>
        <v>-45710</v>
      </c>
      <c r="F126" s="114">
        <f t="shared" ref="F126:F137" si="19">IF(C126=0,0,E126/C126)</f>
        <v>-0.44346349745331071</v>
      </c>
    </row>
    <row r="127" spans="1:6" x14ac:dyDescent="0.2">
      <c r="A127" s="115">
        <v>2</v>
      </c>
      <c r="B127" s="116" t="s">
        <v>114</v>
      </c>
      <c r="C127" s="133">
        <v>23503</v>
      </c>
      <c r="D127" s="133">
        <v>19092</v>
      </c>
      <c r="E127" s="133">
        <f t="shared" si="18"/>
        <v>-4411</v>
      </c>
      <c r="F127" s="114">
        <f t="shared" si="19"/>
        <v>-0.18767816874441562</v>
      </c>
    </row>
    <row r="128" spans="1:6" x14ac:dyDescent="0.2">
      <c r="A128" s="115">
        <v>3</v>
      </c>
      <c r="B128" s="116" t="s">
        <v>115</v>
      </c>
      <c r="C128" s="133">
        <v>61074</v>
      </c>
      <c r="D128" s="133">
        <v>38702</v>
      </c>
      <c r="E128" s="133">
        <f t="shared" si="18"/>
        <v>-22372</v>
      </c>
      <c r="F128" s="114">
        <f t="shared" si="19"/>
        <v>-0.3663097226315617</v>
      </c>
    </row>
    <row r="129" spans="1:6" x14ac:dyDescent="0.2">
      <c r="A129" s="115">
        <v>4</v>
      </c>
      <c r="B129" s="116" t="s">
        <v>116</v>
      </c>
      <c r="C129" s="133">
        <v>911</v>
      </c>
      <c r="D129" s="133">
        <v>361</v>
      </c>
      <c r="E129" s="133">
        <f t="shared" si="18"/>
        <v>-550</v>
      </c>
      <c r="F129" s="114">
        <f t="shared" si="19"/>
        <v>-0.60373216245883643</v>
      </c>
    </row>
    <row r="130" spans="1:6" x14ac:dyDescent="0.2">
      <c r="A130" s="115">
        <v>5</v>
      </c>
      <c r="B130" s="116" t="s">
        <v>117</v>
      </c>
      <c r="C130" s="133">
        <v>1904</v>
      </c>
      <c r="D130" s="133">
        <v>1256</v>
      </c>
      <c r="E130" s="133">
        <f t="shared" si="18"/>
        <v>-648</v>
      </c>
      <c r="F130" s="114">
        <f t="shared" si="19"/>
        <v>-0.34033613445378152</v>
      </c>
    </row>
    <row r="131" spans="1:6" x14ac:dyDescent="0.2">
      <c r="A131" s="115">
        <v>6</v>
      </c>
      <c r="B131" s="116" t="s">
        <v>118</v>
      </c>
      <c r="C131" s="133">
        <v>92258</v>
      </c>
      <c r="D131" s="133">
        <v>65183</v>
      </c>
      <c r="E131" s="133">
        <f t="shared" si="18"/>
        <v>-27075</v>
      </c>
      <c r="F131" s="114">
        <f t="shared" si="19"/>
        <v>-0.29347048494439509</v>
      </c>
    </row>
    <row r="132" spans="1:6" x14ac:dyDescent="0.2">
      <c r="A132" s="115">
        <v>7</v>
      </c>
      <c r="B132" s="116" t="s">
        <v>119</v>
      </c>
      <c r="C132" s="133">
        <v>0</v>
      </c>
      <c r="D132" s="133">
        <v>0</v>
      </c>
      <c r="E132" s="133">
        <f t="shared" si="18"/>
        <v>0</v>
      </c>
      <c r="F132" s="114">
        <f t="shared" si="19"/>
        <v>0</v>
      </c>
    </row>
    <row r="133" spans="1:6" x14ac:dyDescent="0.2">
      <c r="A133" s="115">
        <v>8</v>
      </c>
      <c r="B133" s="116" t="s">
        <v>120</v>
      </c>
      <c r="C133" s="133">
        <v>2242</v>
      </c>
      <c r="D133" s="133">
        <v>1962</v>
      </c>
      <c r="E133" s="133">
        <f t="shared" si="18"/>
        <v>-280</v>
      </c>
      <c r="F133" s="114">
        <f t="shared" si="19"/>
        <v>-0.12488849241748438</v>
      </c>
    </row>
    <row r="134" spans="1:6" x14ac:dyDescent="0.2">
      <c r="A134" s="115">
        <v>9</v>
      </c>
      <c r="B134" s="116" t="s">
        <v>121</v>
      </c>
      <c r="C134" s="133">
        <v>7035</v>
      </c>
      <c r="D134" s="133">
        <v>2494</v>
      </c>
      <c r="E134" s="133">
        <f t="shared" si="18"/>
        <v>-4541</v>
      </c>
      <c r="F134" s="114">
        <f t="shared" si="19"/>
        <v>-0.64548685145700069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1533</v>
      </c>
      <c r="E136" s="133">
        <f t="shared" si="18"/>
        <v>1533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292002</v>
      </c>
      <c r="D137" s="134">
        <f>SUM(D126:D136)</f>
        <v>187948</v>
      </c>
      <c r="E137" s="134">
        <f t="shared" si="18"/>
        <v>-104054</v>
      </c>
      <c r="F137" s="120">
        <f t="shared" si="19"/>
        <v>-0.35634687433647716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6451335</v>
      </c>
      <c r="D142" s="113">
        <v>6430551</v>
      </c>
      <c r="E142" s="113">
        <f t="shared" ref="E142:E153" si="20">D142-C142</f>
        <v>-20784</v>
      </c>
      <c r="F142" s="114">
        <f t="shared" ref="F142:F153" si="21">IF(C142=0,0,E142/C142)</f>
        <v>-3.221658772951645E-3</v>
      </c>
    </row>
    <row r="143" spans="1:6" x14ac:dyDescent="0.2">
      <c r="A143" s="115">
        <v>2</v>
      </c>
      <c r="B143" s="116" t="s">
        <v>114</v>
      </c>
      <c r="C143" s="113">
        <v>1472534</v>
      </c>
      <c r="D143" s="113">
        <v>1702640</v>
      </c>
      <c r="E143" s="113">
        <f t="shared" si="20"/>
        <v>230106</v>
      </c>
      <c r="F143" s="114">
        <f t="shared" si="21"/>
        <v>0.15626532222685521</v>
      </c>
    </row>
    <row r="144" spans="1:6" x14ac:dyDescent="0.2">
      <c r="A144" s="115">
        <v>3</v>
      </c>
      <c r="B144" s="116" t="s">
        <v>115</v>
      </c>
      <c r="C144" s="113">
        <v>9463086</v>
      </c>
      <c r="D144" s="113">
        <v>10526593</v>
      </c>
      <c r="E144" s="113">
        <f t="shared" si="20"/>
        <v>1063507</v>
      </c>
      <c r="F144" s="114">
        <f t="shared" si="21"/>
        <v>0.11238479709473211</v>
      </c>
    </row>
    <row r="145" spans="1:6" x14ac:dyDescent="0.2">
      <c r="A145" s="115">
        <v>4</v>
      </c>
      <c r="B145" s="116" t="s">
        <v>116</v>
      </c>
      <c r="C145" s="113">
        <v>79924</v>
      </c>
      <c r="D145" s="113">
        <v>188258</v>
      </c>
      <c r="E145" s="113">
        <f t="shared" si="20"/>
        <v>108334</v>
      </c>
      <c r="F145" s="114">
        <f t="shared" si="21"/>
        <v>1.3554626895550774</v>
      </c>
    </row>
    <row r="146" spans="1:6" x14ac:dyDescent="0.2">
      <c r="A146" s="115">
        <v>5</v>
      </c>
      <c r="B146" s="116" t="s">
        <v>117</v>
      </c>
      <c r="C146" s="113">
        <v>241243</v>
      </c>
      <c r="D146" s="113">
        <v>264403</v>
      </c>
      <c r="E146" s="113">
        <f t="shared" si="20"/>
        <v>23160</v>
      </c>
      <c r="F146" s="114">
        <f t="shared" si="21"/>
        <v>9.600278557305289E-2</v>
      </c>
    </row>
    <row r="147" spans="1:6" x14ac:dyDescent="0.2">
      <c r="A147" s="115">
        <v>6</v>
      </c>
      <c r="B147" s="116" t="s">
        <v>118</v>
      </c>
      <c r="C147" s="113">
        <v>9242675</v>
      </c>
      <c r="D147" s="113">
        <v>9367860</v>
      </c>
      <c r="E147" s="113">
        <f t="shared" si="20"/>
        <v>125185</v>
      </c>
      <c r="F147" s="114">
        <f t="shared" si="21"/>
        <v>1.354423908662806E-2</v>
      </c>
    </row>
    <row r="148" spans="1:6" x14ac:dyDescent="0.2">
      <c r="A148" s="115">
        <v>7</v>
      </c>
      <c r="B148" s="116" t="s">
        <v>119</v>
      </c>
      <c r="C148" s="113">
        <v>0</v>
      </c>
      <c r="D148" s="113">
        <v>0</v>
      </c>
      <c r="E148" s="113">
        <f t="shared" si="20"/>
        <v>0</v>
      </c>
      <c r="F148" s="114">
        <f t="shared" si="21"/>
        <v>0</v>
      </c>
    </row>
    <row r="149" spans="1:6" x14ac:dyDescent="0.2">
      <c r="A149" s="115">
        <v>8</v>
      </c>
      <c r="B149" s="116" t="s">
        <v>120</v>
      </c>
      <c r="C149" s="113">
        <v>517853</v>
      </c>
      <c r="D149" s="113">
        <v>637680</v>
      </c>
      <c r="E149" s="113">
        <f t="shared" si="20"/>
        <v>119827</v>
      </c>
      <c r="F149" s="114">
        <f t="shared" si="21"/>
        <v>0.23139192010087806</v>
      </c>
    </row>
    <row r="150" spans="1:6" x14ac:dyDescent="0.2">
      <c r="A150" s="115">
        <v>9</v>
      </c>
      <c r="B150" s="116" t="s">
        <v>121</v>
      </c>
      <c r="C150" s="113">
        <v>1806232</v>
      </c>
      <c r="D150" s="113">
        <v>1527728</v>
      </c>
      <c r="E150" s="113">
        <f t="shared" si="20"/>
        <v>-278504</v>
      </c>
      <c r="F150" s="114">
        <f t="shared" si="21"/>
        <v>-0.15419060231465281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760450</v>
      </c>
      <c r="E152" s="113">
        <f t="shared" si="20"/>
        <v>760450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29274882</v>
      </c>
      <c r="D153" s="119">
        <f>SUM(D142:D152)</f>
        <v>31406163</v>
      </c>
      <c r="E153" s="119">
        <f t="shared" si="20"/>
        <v>2131281</v>
      </c>
      <c r="F153" s="120">
        <f t="shared" si="21"/>
        <v>7.2802377136823304E-2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1859188</v>
      </c>
      <c r="D155" s="113">
        <v>1789902</v>
      </c>
      <c r="E155" s="113">
        <f t="shared" ref="E155:E166" si="22">D155-C155</f>
        <v>-69286</v>
      </c>
      <c r="F155" s="114">
        <f t="shared" ref="F155:F166" si="23">IF(C155=0,0,E155/C155)</f>
        <v>-3.7266806799527534E-2</v>
      </c>
    </row>
    <row r="156" spans="1:6" x14ac:dyDescent="0.2">
      <c r="A156" s="115">
        <v>2</v>
      </c>
      <c r="B156" s="116" t="s">
        <v>114</v>
      </c>
      <c r="C156" s="113">
        <v>427667</v>
      </c>
      <c r="D156" s="113">
        <v>462539</v>
      </c>
      <c r="E156" s="113">
        <f t="shared" si="22"/>
        <v>34872</v>
      </c>
      <c r="F156" s="114">
        <f t="shared" si="23"/>
        <v>8.1540076741951101E-2</v>
      </c>
    </row>
    <row r="157" spans="1:6" x14ac:dyDescent="0.2">
      <c r="A157" s="115">
        <v>3</v>
      </c>
      <c r="B157" s="116" t="s">
        <v>115</v>
      </c>
      <c r="C157" s="113">
        <v>2382946</v>
      </c>
      <c r="D157" s="113">
        <v>2519246</v>
      </c>
      <c r="E157" s="113">
        <f t="shared" si="22"/>
        <v>136300</v>
      </c>
      <c r="F157" s="114">
        <f t="shared" si="23"/>
        <v>5.719810688114628E-2</v>
      </c>
    </row>
    <row r="158" spans="1:6" x14ac:dyDescent="0.2">
      <c r="A158" s="115">
        <v>4</v>
      </c>
      <c r="B158" s="116" t="s">
        <v>116</v>
      </c>
      <c r="C158" s="113">
        <v>18377</v>
      </c>
      <c r="D158" s="113">
        <v>51729</v>
      </c>
      <c r="E158" s="113">
        <f t="shared" si="22"/>
        <v>33352</v>
      </c>
      <c r="F158" s="114">
        <f t="shared" si="23"/>
        <v>1.8148772922675083</v>
      </c>
    </row>
    <row r="159" spans="1:6" x14ac:dyDescent="0.2">
      <c r="A159" s="115">
        <v>5</v>
      </c>
      <c r="B159" s="116" t="s">
        <v>117</v>
      </c>
      <c r="C159" s="113">
        <v>85974</v>
      </c>
      <c r="D159" s="113">
        <v>65191</v>
      </c>
      <c r="E159" s="113">
        <f t="shared" si="22"/>
        <v>-20783</v>
      </c>
      <c r="F159" s="114">
        <f t="shared" si="23"/>
        <v>-0.2417358736362156</v>
      </c>
    </row>
    <row r="160" spans="1:6" x14ac:dyDescent="0.2">
      <c r="A160" s="115">
        <v>6</v>
      </c>
      <c r="B160" s="116" t="s">
        <v>118</v>
      </c>
      <c r="C160" s="113">
        <v>6563596</v>
      </c>
      <c r="D160" s="113">
        <v>6099862</v>
      </c>
      <c r="E160" s="113">
        <f t="shared" si="22"/>
        <v>-463734</v>
      </c>
      <c r="F160" s="114">
        <f t="shared" si="23"/>
        <v>-7.0652428942914833E-2</v>
      </c>
    </row>
    <row r="161" spans="1:6" x14ac:dyDescent="0.2">
      <c r="A161" s="115">
        <v>7</v>
      </c>
      <c r="B161" s="116" t="s">
        <v>119</v>
      </c>
      <c r="C161" s="113">
        <v>0</v>
      </c>
      <c r="D161" s="113">
        <v>0</v>
      </c>
      <c r="E161" s="113">
        <f t="shared" si="22"/>
        <v>0</v>
      </c>
      <c r="F161" s="114">
        <f t="shared" si="23"/>
        <v>0</v>
      </c>
    </row>
    <row r="162" spans="1:6" x14ac:dyDescent="0.2">
      <c r="A162" s="115">
        <v>8</v>
      </c>
      <c r="B162" s="116" t="s">
        <v>120</v>
      </c>
      <c r="C162" s="113">
        <v>442544</v>
      </c>
      <c r="D162" s="113">
        <v>447140</v>
      </c>
      <c r="E162" s="113">
        <f t="shared" si="22"/>
        <v>4596</v>
      </c>
      <c r="F162" s="114">
        <f t="shared" si="23"/>
        <v>1.0385408004627788E-2</v>
      </c>
    </row>
    <row r="163" spans="1:6" x14ac:dyDescent="0.2">
      <c r="A163" s="115">
        <v>9</v>
      </c>
      <c r="B163" s="116" t="s">
        <v>121</v>
      </c>
      <c r="C163" s="113">
        <v>773079</v>
      </c>
      <c r="D163" s="113">
        <v>54251</v>
      </c>
      <c r="E163" s="113">
        <f t="shared" si="22"/>
        <v>-718828</v>
      </c>
      <c r="F163" s="114">
        <f t="shared" si="23"/>
        <v>-0.92982476564490824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12553371</v>
      </c>
      <c r="D166" s="119">
        <f>SUM(D155:D165)</f>
        <v>11489860</v>
      </c>
      <c r="E166" s="119">
        <f t="shared" si="22"/>
        <v>-1063511</v>
      </c>
      <c r="F166" s="120">
        <f t="shared" si="23"/>
        <v>-8.4719156312674904E-2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4086</v>
      </c>
      <c r="D168" s="133">
        <v>7290</v>
      </c>
      <c r="E168" s="133">
        <f t="shared" ref="E168:E179" si="24">D168-C168</f>
        <v>3204</v>
      </c>
      <c r="F168" s="114">
        <f t="shared" ref="F168:F179" si="25">IF(C168=0,0,E168/C168)</f>
        <v>0.78414096916299558</v>
      </c>
    </row>
    <row r="169" spans="1:6" x14ac:dyDescent="0.2">
      <c r="A169" s="115">
        <v>2</v>
      </c>
      <c r="B169" s="116" t="s">
        <v>114</v>
      </c>
      <c r="C169" s="133">
        <v>918</v>
      </c>
      <c r="D169" s="133">
        <v>2153</v>
      </c>
      <c r="E169" s="133">
        <f t="shared" si="24"/>
        <v>1235</v>
      </c>
      <c r="F169" s="114">
        <f t="shared" si="25"/>
        <v>1.3453159041394336</v>
      </c>
    </row>
    <row r="170" spans="1:6" x14ac:dyDescent="0.2">
      <c r="A170" s="115">
        <v>3</v>
      </c>
      <c r="B170" s="116" t="s">
        <v>115</v>
      </c>
      <c r="C170" s="133">
        <v>8000</v>
      </c>
      <c r="D170" s="133">
        <v>4919</v>
      </c>
      <c r="E170" s="133">
        <f t="shared" si="24"/>
        <v>-3081</v>
      </c>
      <c r="F170" s="114">
        <f t="shared" si="25"/>
        <v>-0.385125</v>
      </c>
    </row>
    <row r="171" spans="1:6" x14ac:dyDescent="0.2">
      <c r="A171" s="115">
        <v>4</v>
      </c>
      <c r="B171" s="116" t="s">
        <v>116</v>
      </c>
      <c r="C171" s="133">
        <v>41</v>
      </c>
      <c r="D171" s="133">
        <v>41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220</v>
      </c>
      <c r="D172" s="133">
        <v>160</v>
      </c>
      <c r="E172" s="133">
        <f t="shared" si="24"/>
        <v>-60</v>
      </c>
      <c r="F172" s="114">
        <f t="shared" si="25"/>
        <v>-0.27272727272727271</v>
      </c>
    </row>
    <row r="173" spans="1:6" x14ac:dyDescent="0.2">
      <c r="A173" s="115">
        <v>6</v>
      </c>
      <c r="B173" s="116" t="s">
        <v>118</v>
      </c>
      <c r="C173" s="133">
        <v>6127</v>
      </c>
      <c r="D173" s="133">
        <v>8285</v>
      </c>
      <c r="E173" s="133">
        <f t="shared" si="24"/>
        <v>2158</v>
      </c>
      <c r="F173" s="114">
        <f t="shared" si="25"/>
        <v>0.35221152276807571</v>
      </c>
    </row>
    <row r="174" spans="1:6" x14ac:dyDescent="0.2">
      <c r="A174" s="115">
        <v>7</v>
      </c>
      <c r="B174" s="116" t="s">
        <v>119</v>
      </c>
      <c r="C174" s="133">
        <v>0</v>
      </c>
      <c r="D174" s="133">
        <v>0</v>
      </c>
      <c r="E174" s="133">
        <f t="shared" si="24"/>
        <v>0</v>
      </c>
      <c r="F174" s="114">
        <f t="shared" si="25"/>
        <v>0</v>
      </c>
    </row>
    <row r="175" spans="1:6" x14ac:dyDescent="0.2">
      <c r="A175" s="115">
        <v>8</v>
      </c>
      <c r="B175" s="116" t="s">
        <v>120</v>
      </c>
      <c r="C175" s="133">
        <v>609</v>
      </c>
      <c r="D175" s="133">
        <v>249</v>
      </c>
      <c r="E175" s="133">
        <f t="shared" si="24"/>
        <v>-360</v>
      </c>
      <c r="F175" s="114">
        <f t="shared" si="25"/>
        <v>-0.59113300492610843</v>
      </c>
    </row>
    <row r="176" spans="1:6" x14ac:dyDescent="0.2">
      <c r="A176" s="115">
        <v>9</v>
      </c>
      <c r="B176" s="116" t="s">
        <v>121</v>
      </c>
      <c r="C176" s="133">
        <v>1490</v>
      </c>
      <c r="D176" s="133">
        <v>317</v>
      </c>
      <c r="E176" s="133">
        <f t="shared" si="24"/>
        <v>-1173</v>
      </c>
      <c r="F176" s="114">
        <f t="shared" si="25"/>
        <v>-0.78724832214765106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195</v>
      </c>
      <c r="E178" s="133">
        <f t="shared" si="24"/>
        <v>195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21491</v>
      </c>
      <c r="D179" s="134">
        <f>SUM(D168:D178)</f>
        <v>23609</v>
      </c>
      <c r="E179" s="134">
        <f t="shared" si="24"/>
        <v>2118</v>
      </c>
      <c r="F179" s="120">
        <f t="shared" si="25"/>
        <v>9.8552882602019456E-2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FILING&amp;RDAY KIMBALL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17402531</v>
      </c>
      <c r="D15" s="157">
        <v>16787759</v>
      </c>
      <c r="E15" s="157">
        <f>+D15-C15</f>
        <v>-614772</v>
      </c>
      <c r="F15" s="161">
        <f>IF(C15=0,0,E15/C15)</f>
        <v>-3.532658554091931E-2</v>
      </c>
    </row>
    <row r="16" spans="1:6" ht="15" customHeight="1" x14ac:dyDescent="0.2">
      <c r="A16" s="147">
        <v>2</v>
      </c>
      <c r="B16" s="160" t="s">
        <v>157</v>
      </c>
      <c r="C16" s="157">
        <v>1443401</v>
      </c>
      <c r="D16" s="157">
        <v>1080913</v>
      </c>
      <c r="E16" s="157">
        <f>+D16-C16</f>
        <v>-362488</v>
      </c>
      <c r="F16" s="161">
        <f>IF(C16=0,0,E16/C16)</f>
        <v>-0.25113464657430612</v>
      </c>
    </row>
    <row r="17" spans="1:6" ht="15" customHeight="1" x14ac:dyDescent="0.2">
      <c r="A17" s="147">
        <v>3</v>
      </c>
      <c r="B17" s="160" t="s">
        <v>158</v>
      </c>
      <c r="C17" s="157">
        <v>28859814</v>
      </c>
      <c r="D17" s="157">
        <v>29778061</v>
      </c>
      <c r="E17" s="157">
        <f>+D17-C17</f>
        <v>918247</v>
      </c>
      <c r="F17" s="161">
        <f>IF(C17=0,0,E17/C17)</f>
        <v>3.1817495428071711E-2</v>
      </c>
    </row>
    <row r="18" spans="1:6" ht="15.75" customHeight="1" x14ac:dyDescent="0.25">
      <c r="A18" s="147"/>
      <c r="B18" s="162" t="s">
        <v>159</v>
      </c>
      <c r="C18" s="158">
        <f>SUM(C15:C17)</f>
        <v>47705746</v>
      </c>
      <c r="D18" s="158">
        <f>SUM(D15:D17)</f>
        <v>47646733</v>
      </c>
      <c r="E18" s="158">
        <f>+D18-C18</f>
        <v>-59013</v>
      </c>
      <c r="F18" s="159">
        <f>IF(C18=0,0,E18/C18)</f>
        <v>-1.2370207982912583E-3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6244691</v>
      </c>
      <c r="D21" s="157">
        <v>6015407</v>
      </c>
      <c r="E21" s="157">
        <f>+D21-C21</f>
        <v>-229284</v>
      </c>
      <c r="F21" s="161">
        <f>IF(C21=0,0,E21/C21)</f>
        <v>-3.671662857297503E-2</v>
      </c>
    </row>
    <row r="22" spans="1:6" ht="15" customHeight="1" x14ac:dyDescent="0.2">
      <c r="A22" s="147">
        <v>2</v>
      </c>
      <c r="B22" s="160" t="s">
        <v>162</v>
      </c>
      <c r="C22" s="157">
        <v>517947</v>
      </c>
      <c r="D22" s="157">
        <v>387314</v>
      </c>
      <c r="E22" s="157">
        <f>+D22-C22</f>
        <v>-130633</v>
      </c>
      <c r="F22" s="161">
        <f>IF(C22=0,0,E22/C22)</f>
        <v>-0.25221306427105478</v>
      </c>
    </row>
    <row r="23" spans="1:6" ht="15" customHeight="1" x14ac:dyDescent="0.2">
      <c r="A23" s="147">
        <v>3</v>
      </c>
      <c r="B23" s="160" t="s">
        <v>163</v>
      </c>
      <c r="C23" s="157">
        <v>10356001</v>
      </c>
      <c r="D23" s="157">
        <v>10670104</v>
      </c>
      <c r="E23" s="157">
        <f>+D23-C23</f>
        <v>314103</v>
      </c>
      <c r="F23" s="161">
        <f>IF(C23=0,0,E23/C23)</f>
        <v>3.0330530095545569E-2</v>
      </c>
    </row>
    <row r="24" spans="1:6" ht="15.75" customHeight="1" x14ac:dyDescent="0.25">
      <c r="A24" s="147"/>
      <c r="B24" s="162" t="s">
        <v>164</v>
      </c>
      <c r="C24" s="158">
        <f>SUM(C21:C23)</f>
        <v>17118639</v>
      </c>
      <c r="D24" s="158">
        <f>SUM(D21:D23)</f>
        <v>17072825</v>
      </c>
      <c r="E24" s="158">
        <f>+D24-C24</f>
        <v>-45814</v>
      </c>
      <c r="F24" s="159">
        <f>IF(C24=0,0,E24/C24)</f>
        <v>-2.6762641586168152E-3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3579600</v>
      </c>
      <c r="D28" s="157">
        <v>2525960</v>
      </c>
      <c r="E28" s="157">
        <f>+D28-C28</f>
        <v>-1053640</v>
      </c>
      <c r="F28" s="161">
        <f>IF(C28=0,0,E28/C28)</f>
        <v>-0.29434573695384958</v>
      </c>
    </row>
    <row r="29" spans="1:6" ht="15" customHeight="1" x14ac:dyDescent="0.2">
      <c r="A29" s="147">
        <v>3</v>
      </c>
      <c r="B29" s="160" t="s">
        <v>168</v>
      </c>
      <c r="C29" s="157">
        <v>5941727</v>
      </c>
      <c r="D29" s="157">
        <v>1953420</v>
      </c>
      <c r="E29" s="157">
        <f>+D29-C29</f>
        <v>-3988307</v>
      </c>
      <c r="F29" s="161">
        <f>IF(C29=0,0,E29/C29)</f>
        <v>-0.67123699893987054</v>
      </c>
    </row>
    <row r="30" spans="1:6" ht="15.75" customHeight="1" x14ac:dyDescent="0.25">
      <c r="A30" s="147"/>
      <c r="B30" s="162" t="s">
        <v>169</v>
      </c>
      <c r="C30" s="158">
        <f>SUM(C27:C29)</f>
        <v>9521327</v>
      </c>
      <c r="D30" s="158">
        <f>SUM(D27:D29)</f>
        <v>4479380</v>
      </c>
      <c r="E30" s="158">
        <f>+D30-C30</f>
        <v>-5041947</v>
      </c>
      <c r="F30" s="159">
        <f>IF(C30=0,0,E30/C30)</f>
        <v>-0.52954246818747008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8449936</v>
      </c>
      <c r="D33" s="157">
        <v>7678478</v>
      </c>
      <c r="E33" s="157">
        <f>+D33-C33</f>
        <v>-771458</v>
      </c>
      <c r="F33" s="161">
        <f>IF(C33=0,0,E33/C33)</f>
        <v>-9.1297496217722832E-2</v>
      </c>
    </row>
    <row r="34" spans="1:6" ht="15" customHeight="1" x14ac:dyDescent="0.2">
      <c r="A34" s="147">
        <v>2</v>
      </c>
      <c r="B34" s="160" t="s">
        <v>173</v>
      </c>
      <c r="C34" s="157">
        <v>6770077</v>
      </c>
      <c r="D34" s="157">
        <v>5508951</v>
      </c>
      <c r="E34" s="157">
        <f>+D34-C34</f>
        <v>-1261126</v>
      </c>
      <c r="F34" s="161">
        <f>IF(C34=0,0,E34/C34)</f>
        <v>-0.1862794175014553</v>
      </c>
    </row>
    <row r="35" spans="1:6" ht="15.75" customHeight="1" x14ac:dyDescent="0.25">
      <c r="A35" s="147"/>
      <c r="B35" s="162" t="s">
        <v>174</v>
      </c>
      <c r="C35" s="158">
        <f>SUM(C33:C34)</f>
        <v>15220013</v>
      </c>
      <c r="D35" s="158">
        <f>SUM(D33:D34)</f>
        <v>13187429</v>
      </c>
      <c r="E35" s="158">
        <f>+D35-C35</f>
        <v>-2032584</v>
      </c>
      <c r="F35" s="159">
        <f>IF(C35=0,0,E35/C35)</f>
        <v>-0.13354679789038287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2335753</v>
      </c>
      <c r="D38" s="157">
        <v>2337155</v>
      </c>
      <c r="E38" s="157">
        <f>+D38-C38</f>
        <v>1402</v>
      </c>
      <c r="F38" s="161">
        <f>IF(C38=0,0,E38/C38)</f>
        <v>6.0023469947378851E-4</v>
      </c>
    </row>
    <row r="39" spans="1:6" ht="15" customHeight="1" x14ac:dyDescent="0.2">
      <c r="A39" s="147">
        <v>2</v>
      </c>
      <c r="B39" s="160" t="s">
        <v>178</v>
      </c>
      <c r="C39" s="157">
        <v>2321199</v>
      </c>
      <c r="D39" s="157">
        <v>2795554</v>
      </c>
      <c r="E39" s="157">
        <f>+D39-C39</f>
        <v>474355</v>
      </c>
      <c r="F39" s="161">
        <f>IF(C39=0,0,E39/C39)</f>
        <v>0.2043577478708202</v>
      </c>
    </row>
    <row r="40" spans="1:6" ht="15" customHeight="1" x14ac:dyDescent="0.2">
      <c r="A40" s="147">
        <v>3</v>
      </c>
      <c r="B40" s="160" t="s">
        <v>179</v>
      </c>
      <c r="C40" s="157">
        <v>69281</v>
      </c>
      <c r="D40" s="157">
        <v>44332</v>
      </c>
      <c r="E40" s="157">
        <f>+D40-C40</f>
        <v>-24949</v>
      </c>
      <c r="F40" s="161">
        <f>IF(C40=0,0,E40/C40)</f>
        <v>-0.3601131623388808</v>
      </c>
    </row>
    <row r="41" spans="1:6" ht="15.75" customHeight="1" x14ac:dyDescent="0.25">
      <c r="A41" s="147"/>
      <c r="B41" s="162" t="s">
        <v>180</v>
      </c>
      <c r="C41" s="158">
        <f>SUM(C38:C40)</f>
        <v>4726233</v>
      </c>
      <c r="D41" s="158">
        <f>SUM(D38:D40)</f>
        <v>5177041</v>
      </c>
      <c r="E41" s="158">
        <f>+D41-C41</f>
        <v>450808</v>
      </c>
      <c r="F41" s="159">
        <f>IF(C41=0,0,E41/C41)</f>
        <v>9.5384209792449923E-2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952190</v>
      </c>
      <c r="D47" s="157">
        <v>1343831</v>
      </c>
      <c r="E47" s="157">
        <f>+D47-C47</f>
        <v>391641</v>
      </c>
      <c r="F47" s="161">
        <f>IF(C47=0,0,E47/C47)</f>
        <v>0.4113055167561096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289062</v>
      </c>
      <c r="D50" s="157">
        <v>231502</v>
      </c>
      <c r="E50" s="157">
        <f>+D50-C50</f>
        <v>-57560</v>
      </c>
      <c r="F50" s="161">
        <f>IF(C50=0,0,E50/C50)</f>
        <v>-0.19912683092208591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75123</v>
      </c>
      <c r="D53" s="157">
        <v>142277</v>
      </c>
      <c r="E53" s="157">
        <f t="shared" ref="E53:E59" si="0">+D53-C53</f>
        <v>67154</v>
      </c>
      <c r="F53" s="161">
        <f t="shared" ref="F53:F59" si="1">IF(C53=0,0,E53/C53)</f>
        <v>0.89392063682227818</v>
      </c>
    </row>
    <row r="54" spans="1:6" ht="15" customHeight="1" x14ac:dyDescent="0.2">
      <c r="A54" s="147">
        <v>2</v>
      </c>
      <c r="B54" s="160" t="s">
        <v>189</v>
      </c>
      <c r="C54" s="157">
        <v>354284</v>
      </c>
      <c r="D54" s="157">
        <v>449556</v>
      </c>
      <c r="E54" s="157">
        <f t="shared" si="0"/>
        <v>95272</v>
      </c>
      <c r="F54" s="161">
        <f t="shared" si="1"/>
        <v>0.26891420442356978</v>
      </c>
    </row>
    <row r="55" spans="1:6" ht="15" customHeight="1" x14ac:dyDescent="0.2">
      <c r="A55" s="147">
        <v>3</v>
      </c>
      <c r="B55" s="160" t="s">
        <v>190</v>
      </c>
      <c r="C55" s="157">
        <v>9264</v>
      </c>
      <c r="D55" s="157">
        <v>10509</v>
      </c>
      <c r="E55" s="157">
        <f t="shared" si="0"/>
        <v>1245</v>
      </c>
      <c r="F55" s="161">
        <f t="shared" si="1"/>
        <v>0.13439119170984457</v>
      </c>
    </row>
    <row r="56" spans="1:6" ht="15" customHeight="1" x14ac:dyDescent="0.2">
      <c r="A56" s="147">
        <v>4</v>
      </c>
      <c r="B56" s="160" t="s">
        <v>191</v>
      </c>
      <c r="C56" s="157">
        <v>1121688</v>
      </c>
      <c r="D56" s="157">
        <v>1224914</v>
      </c>
      <c r="E56" s="157">
        <f t="shared" si="0"/>
        <v>103226</v>
      </c>
      <c r="F56" s="161">
        <f t="shared" si="1"/>
        <v>9.2027373030646661E-2</v>
      </c>
    </row>
    <row r="57" spans="1:6" ht="15" customHeight="1" x14ac:dyDescent="0.2">
      <c r="A57" s="147">
        <v>5</v>
      </c>
      <c r="B57" s="160" t="s">
        <v>192</v>
      </c>
      <c r="C57" s="157">
        <v>516161</v>
      </c>
      <c r="D57" s="157">
        <v>522258</v>
      </c>
      <c r="E57" s="157">
        <f t="shared" si="0"/>
        <v>6097</v>
      </c>
      <c r="F57" s="161">
        <f t="shared" si="1"/>
        <v>1.1812205881498214E-2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2076520</v>
      </c>
      <c r="D59" s="158">
        <f>SUM(D53:D58)</f>
        <v>2349514</v>
      </c>
      <c r="E59" s="158">
        <f t="shared" si="0"/>
        <v>272994</v>
      </c>
      <c r="F59" s="159">
        <f t="shared" si="1"/>
        <v>0.13146706990541868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143379</v>
      </c>
      <c r="D62" s="157">
        <v>75225</v>
      </c>
      <c r="E62" s="157">
        <f t="shared" ref="E62:E90" si="2">+D62-C62</f>
        <v>-68154</v>
      </c>
      <c r="F62" s="161">
        <f t="shared" ref="F62:F90" si="3">IF(C62=0,0,E62/C62)</f>
        <v>-0.47534157721842113</v>
      </c>
    </row>
    <row r="63" spans="1:6" ht="15" customHeight="1" x14ac:dyDescent="0.2">
      <c r="A63" s="147">
        <v>2</v>
      </c>
      <c r="B63" s="160" t="s">
        <v>198</v>
      </c>
      <c r="C63" s="157">
        <v>663030</v>
      </c>
      <c r="D63" s="157">
        <v>599770</v>
      </c>
      <c r="E63" s="157">
        <f t="shared" si="2"/>
        <v>-63260</v>
      </c>
      <c r="F63" s="161">
        <f t="shared" si="3"/>
        <v>-9.5410464081564936E-2</v>
      </c>
    </row>
    <row r="64" spans="1:6" ht="15" customHeight="1" x14ac:dyDescent="0.2">
      <c r="A64" s="147">
        <v>3</v>
      </c>
      <c r="B64" s="160" t="s">
        <v>199</v>
      </c>
      <c r="C64" s="157">
        <v>1611379</v>
      </c>
      <c r="D64" s="157">
        <v>1255606</v>
      </c>
      <c r="E64" s="157">
        <f t="shared" si="2"/>
        <v>-355773</v>
      </c>
      <c r="F64" s="161">
        <f t="shared" si="3"/>
        <v>-0.22078790898975351</v>
      </c>
    </row>
    <row r="65" spans="1:6" ht="15" customHeight="1" x14ac:dyDescent="0.2">
      <c r="A65" s="147">
        <v>4</v>
      </c>
      <c r="B65" s="160" t="s">
        <v>200</v>
      </c>
      <c r="C65" s="157">
        <v>231177</v>
      </c>
      <c r="D65" s="157">
        <v>343871</v>
      </c>
      <c r="E65" s="157">
        <f t="shared" si="2"/>
        <v>112694</v>
      </c>
      <c r="F65" s="161">
        <f t="shared" si="3"/>
        <v>0.48747929075989394</v>
      </c>
    </row>
    <row r="66" spans="1:6" ht="15" customHeight="1" x14ac:dyDescent="0.2">
      <c r="A66" s="147">
        <v>5</v>
      </c>
      <c r="B66" s="160" t="s">
        <v>201</v>
      </c>
      <c r="C66" s="157">
        <v>794612</v>
      </c>
      <c r="D66" s="157">
        <v>668525</v>
      </c>
      <c r="E66" s="157">
        <f t="shared" si="2"/>
        <v>-126087</v>
      </c>
      <c r="F66" s="161">
        <f t="shared" si="3"/>
        <v>-0.15867744257574767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1434294</v>
      </c>
      <c r="D68" s="157">
        <v>1659168</v>
      </c>
      <c r="E68" s="157">
        <f t="shared" si="2"/>
        <v>224874</v>
      </c>
      <c r="F68" s="161">
        <f t="shared" si="3"/>
        <v>0.15678375563169059</v>
      </c>
    </row>
    <row r="69" spans="1:6" ht="15" customHeight="1" x14ac:dyDescent="0.2">
      <c r="A69" s="147">
        <v>8</v>
      </c>
      <c r="B69" s="160" t="s">
        <v>204</v>
      </c>
      <c r="C69" s="157">
        <v>881263</v>
      </c>
      <c r="D69" s="157">
        <v>1082578</v>
      </c>
      <c r="E69" s="157">
        <f t="shared" si="2"/>
        <v>201315</v>
      </c>
      <c r="F69" s="161">
        <f t="shared" si="3"/>
        <v>0.22843918330850155</v>
      </c>
    </row>
    <row r="70" spans="1:6" ht="15" customHeight="1" x14ac:dyDescent="0.2">
      <c r="A70" s="147">
        <v>9</v>
      </c>
      <c r="B70" s="160" t="s">
        <v>205</v>
      </c>
      <c r="C70" s="157">
        <v>354223</v>
      </c>
      <c r="D70" s="157">
        <v>347522</v>
      </c>
      <c r="E70" s="157">
        <f t="shared" si="2"/>
        <v>-6701</v>
      </c>
      <c r="F70" s="161">
        <f t="shared" si="3"/>
        <v>-1.8917461599049185E-2</v>
      </c>
    </row>
    <row r="71" spans="1:6" ht="15" customHeight="1" x14ac:dyDescent="0.2">
      <c r="A71" s="147">
        <v>10</v>
      </c>
      <c r="B71" s="160" t="s">
        <v>206</v>
      </c>
      <c r="C71" s="157">
        <v>45057</v>
      </c>
      <c r="D71" s="157">
        <v>24763</v>
      </c>
      <c r="E71" s="157">
        <f t="shared" si="2"/>
        <v>-20294</v>
      </c>
      <c r="F71" s="161">
        <f t="shared" si="3"/>
        <v>-0.45040726191268837</v>
      </c>
    </row>
    <row r="72" spans="1:6" ht="15" customHeight="1" x14ac:dyDescent="0.2">
      <c r="A72" s="147">
        <v>11</v>
      </c>
      <c r="B72" s="160" t="s">
        <v>207</v>
      </c>
      <c r="C72" s="157">
        <v>80129</v>
      </c>
      <c r="D72" s="157">
        <v>92589</v>
      </c>
      <c r="E72" s="157">
        <f t="shared" si="2"/>
        <v>12460</v>
      </c>
      <c r="F72" s="161">
        <f t="shared" si="3"/>
        <v>0.15549925744736612</v>
      </c>
    </row>
    <row r="73" spans="1:6" ht="15" customHeight="1" x14ac:dyDescent="0.2">
      <c r="A73" s="147">
        <v>12</v>
      </c>
      <c r="B73" s="160" t="s">
        <v>208</v>
      </c>
      <c r="C73" s="157">
        <v>473288</v>
      </c>
      <c r="D73" s="157">
        <v>682280</v>
      </c>
      <c r="E73" s="157">
        <f t="shared" si="2"/>
        <v>208992</v>
      </c>
      <c r="F73" s="161">
        <f t="shared" si="3"/>
        <v>0.44157468602626732</v>
      </c>
    </row>
    <row r="74" spans="1:6" ht="15" customHeight="1" x14ac:dyDescent="0.2">
      <c r="A74" s="147">
        <v>13</v>
      </c>
      <c r="B74" s="160" t="s">
        <v>209</v>
      </c>
      <c r="C74" s="157">
        <v>71278</v>
      </c>
      <c r="D74" s="157">
        <v>20650</v>
      </c>
      <c r="E74" s="157">
        <f t="shared" si="2"/>
        <v>-50628</v>
      </c>
      <c r="F74" s="161">
        <f t="shared" si="3"/>
        <v>-0.71028928982294681</v>
      </c>
    </row>
    <row r="75" spans="1:6" ht="15" customHeight="1" x14ac:dyDescent="0.2">
      <c r="A75" s="147">
        <v>14</v>
      </c>
      <c r="B75" s="160" t="s">
        <v>210</v>
      </c>
      <c r="C75" s="157">
        <v>113207</v>
      </c>
      <c r="D75" s="157">
        <v>101028</v>
      </c>
      <c r="E75" s="157">
        <f t="shared" si="2"/>
        <v>-12179</v>
      </c>
      <c r="F75" s="161">
        <f t="shared" si="3"/>
        <v>-0.10758168664481878</v>
      </c>
    </row>
    <row r="76" spans="1:6" ht="15" customHeight="1" x14ac:dyDescent="0.2">
      <c r="A76" s="147">
        <v>15</v>
      </c>
      <c r="B76" s="160" t="s">
        <v>211</v>
      </c>
      <c r="C76" s="157">
        <v>436812</v>
      </c>
      <c r="D76" s="157">
        <v>501000</v>
      </c>
      <c r="E76" s="157">
        <f t="shared" si="2"/>
        <v>64188</v>
      </c>
      <c r="F76" s="161">
        <f t="shared" si="3"/>
        <v>0.14694651245844895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2428222</v>
      </c>
      <c r="D78" s="157">
        <v>2350140</v>
      </c>
      <c r="E78" s="157">
        <f t="shared" si="2"/>
        <v>-78082</v>
      </c>
      <c r="F78" s="161">
        <f t="shared" si="3"/>
        <v>-3.2156038451179508E-2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668695</v>
      </c>
      <c r="D80" s="157">
        <v>637030</v>
      </c>
      <c r="E80" s="157">
        <f t="shared" si="2"/>
        <v>-31665</v>
      </c>
      <c r="F80" s="161">
        <f t="shared" si="3"/>
        <v>-4.735342719775084E-2</v>
      </c>
    </row>
    <row r="81" spans="1:6" ht="15" customHeight="1" x14ac:dyDescent="0.2">
      <c r="A81" s="147">
        <v>20</v>
      </c>
      <c r="B81" s="160" t="s">
        <v>216</v>
      </c>
      <c r="C81" s="157">
        <v>1882001</v>
      </c>
      <c r="D81" s="157">
        <v>1800698</v>
      </c>
      <c r="E81" s="157">
        <f t="shared" si="2"/>
        <v>-81303</v>
      </c>
      <c r="F81" s="161">
        <f t="shared" si="3"/>
        <v>-4.32002958553157E-2</v>
      </c>
    </row>
    <row r="82" spans="1:6" ht="15" customHeight="1" x14ac:dyDescent="0.2">
      <c r="A82" s="147">
        <v>21</v>
      </c>
      <c r="B82" s="160" t="s">
        <v>217</v>
      </c>
      <c r="C82" s="157">
        <v>202936</v>
      </c>
      <c r="D82" s="157">
        <v>184449</v>
      </c>
      <c r="E82" s="157">
        <f t="shared" si="2"/>
        <v>-18487</v>
      </c>
      <c r="F82" s="161">
        <f t="shared" si="3"/>
        <v>-9.109768596996097E-2</v>
      </c>
    </row>
    <row r="83" spans="1:6" ht="15" customHeight="1" x14ac:dyDescent="0.2">
      <c r="A83" s="147">
        <v>22</v>
      </c>
      <c r="B83" s="160" t="s">
        <v>218</v>
      </c>
      <c r="C83" s="157">
        <v>169745</v>
      </c>
      <c r="D83" s="157">
        <v>72247</v>
      </c>
      <c r="E83" s="157">
        <f t="shared" si="2"/>
        <v>-97498</v>
      </c>
      <c r="F83" s="161">
        <f t="shared" si="3"/>
        <v>-0.57437921588264751</v>
      </c>
    </row>
    <row r="84" spans="1:6" ht="15" customHeight="1" x14ac:dyDescent="0.2">
      <c r="A84" s="147">
        <v>23</v>
      </c>
      <c r="B84" s="160" t="s">
        <v>219</v>
      </c>
      <c r="C84" s="157">
        <v>18672</v>
      </c>
      <c r="D84" s="157">
        <v>15797</v>
      </c>
      <c r="E84" s="157">
        <f t="shared" si="2"/>
        <v>-2875</v>
      </c>
      <c r="F84" s="161">
        <f t="shared" si="3"/>
        <v>-0.15397386461011139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105543</v>
      </c>
      <c r="D86" s="157">
        <v>132324</v>
      </c>
      <c r="E86" s="157">
        <f t="shared" si="2"/>
        <v>26781</v>
      </c>
      <c r="F86" s="161">
        <f t="shared" si="3"/>
        <v>0.25374491913248631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12808942</v>
      </c>
      <c r="D90" s="158">
        <f>SUM(D62:D89)</f>
        <v>12647260</v>
      </c>
      <c r="E90" s="158">
        <f t="shared" si="2"/>
        <v>-161682</v>
      </c>
      <c r="F90" s="159">
        <f t="shared" si="3"/>
        <v>-1.2622588188782492E-2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205920</v>
      </c>
      <c r="D93" s="157">
        <v>4869367</v>
      </c>
      <c r="E93" s="157">
        <f>+D93-C93</f>
        <v>4663447</v>
      </c>
      <c r="F93" s="161">
        <f>IF(C93=0,0,E93/C93)</f>
        <v>22.646887140637141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110624592</v>
      </c>
      <c r="D95" s="158">
        <f>+D93+D90+D59+D50+D47+D44+D41+D35+D30+D24+D18</f>
        <v>109004882</v>
      </c>
      <c r="E95" s="158">
        <f>+D95-C95</f>
        <v>-1619710</v>
      </c>
      <c r="F95" s="159">
        <f>IF(C95=0,0,E95/C95)</f>
        <v>-1.4641500327522112E-2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8301978</v>
      </c>
      <c r="D103" s="157">
        <v>6660043</v>
      </c>
      <c r="E103" s="157">
        <f t="shared" ref="E103:E121" si="4">D103-C103</f>
        <v>-1641935</v>
      </c>
      <c r="F103" s="161">
        <f t="shared" ref="F103:F121" si="5">IF(C103=0,0,E103/C103)</f>
        <v>-0.19777636124788575</v>
      </c>
    </row>
    <row r="104" spans="1:6" ht="15" customHeight="1" x14ac:dyDescent="0.2">
      <c r="A104" s="147">
        <v>2</v>
      </c>
      <c r="B104" s="169" t="s">
        <v>234</v>
      </c>
      <c r="C104" s="157">
        <v>1148208</v>
      </c>
      <c r="D104" s="157">
        <v>1230423</v>
      </c>
      <c r="E104" s="157">
        <f t="shared" si="4"/>
        <v>82215</v>
      </c>
      <c r="F104" s="161">
        <f t="shared" si="5"/>
        <v>7.1602880314368123E-2</v>
      </c>
    </row>
    <row r="105" spans="1:6" ht="15" customHeight="1" x14ac:dyDescent="0.2">
      <c r="A105" s="147">
        <v>3</v>
      </c>
      <c r="B105" s="169" t="s">
        <v>235</v>
      </c>
      <c r="C105" s="157">
        <v>2899006</v>
      </c>
      <c r="D105" s="157">
        <v>2919835</v>
      </c>
      <c r="E105" s="157">
        <f t="shared" si="4"/>
        <v>20829</v>
      </c>
      <c r="F105" s="161">
        <f t="shared" si="5"/>
        <v>7.1848764714526293E-3</v>
      </c>
    </row>
    <row r="106" spans="1:6" ht="15" customHeight="1" x14ac:dyDescent="0.2">
      <c r="A106" s="147">
        <v>4</v>
      </c>
      <c r="B106" s="169" t="s">
        <v>236</v>
      </c>
      <c r="C106" s="157">
        <v>0</v>
      </c>
      <c r="D106" s="157">
        <v>0</v>
      </c>
      <c r="E106" s="157">
        <f t="shared" si="4"/>
        <v>0</v>
      </c>
      <c r="F106" s="161">
        <f t="shared" si="5"/>
        <v>0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452579</v>
      </c>
      <c r="D108" s="157">
        <v>580250</v>
      </c>
      <c r="E108" s="157">
        <f t="shared" si="4"/>
        <v>127671</v>
      </c>
      <c r="F108" s="161">
        <f t="shared" si="5"/>
        <v>0.28209660633834094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1947487</v>
      </c>
      <c r="D112" s="157">
        <v>1906102</v>
      </c>
      <c r="E112" s="157">
        <f t="shared" si="4"/>
        <v>-41385</v>
      </c>
      <c r="F112" s="161">
        <f t="shared" si="5"/>
        <v>-2.1250462775874755E-2</v>
      </c>
    </row>
    <row r="113" spans="1:6" ht="15" customHeight="1" x14ac:dyDescent="0.2">
      <c r="A113" s="147">
        <v>11</v>
      </c>
      <c r="B113" s="169" t="s">
        <v>243</v>
      </c>
      <c r="C113" s="157">
        <v>971774</v>
      </c>
      <c r="D113" s="157">
        <v>1006502</v>
      </c>
      <c r="E113" s="157">
        <f t="shared" si="4"/>
        <v>34728</v>
      </c>
      <c r="F113" s="161">
        <f t="shared" si="5"/>
        <v>3.5736704213119509E-2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3407585</v>
      </c>
      <c r="D115" s="157">
        <v>4172558</v>
      </c>
      <c r="E115" s="157">
        <f t="shared" si="4"/>
        <v>764973</v>
      </c>
      <c r="F115" s="161">
        <f t="shared" si="5"/>
        <v>0.22449124526607553</v>
      </c>
    </row>
    <row r="116" spans="1:6" ht="15" customHeight="1" x14ac:dyDescent="0.2">
      <c r="A116" s="147">
        <v>14</v>
      </c>
      <c r="B116" s="169" t="s">
        <v>246</v>
      </c>
      <c r="C116" s="157">
        <v>517967</v>
      </c>
      <c r="D116" s="157">
        <v>571994</v>
      </c>
      <c r="E116" s="157">
        <f t="shared" si="4"/>
        <v>54027</v>
      </c>
      <c r="F116" s="161">
        <f t="shared" si="5"/>
        <v>0.10430587276795626</v>
      </c>
    </row>
    <row r="117" spans="1:6" ht="15" customHeight="1" x14ac:dyDescent="0.2">
      <c r="A117" s="147">
        <v>15</v>
      </c>
      <c r="B117" s="169" t="s">
        <v>203</v>
      </c>
      <c r="C117" s="157">
        <v>1198709</v>
      </c>
      <c r="D117" s="157">
        <v>1224238</v>
      </c>
      <c r="E117" s="157">
        <f t="shared" si="4"/>
        <v>25529</v>
      </c>
      <c r="F117" s="161">
        <f t="shared" si="5"/>
        <v>2.129707877391427E-2</v>
      </c>
    </row>
    <row r="118" spans="1:6" ht="15" customHeight="1" x14ac:dyDescent="0.2">
      <c r="A118" s="147">
        <v>16</v>
      </c>
      <c r="B118" s="169" t="s">
        <v>247</v>
      </c>
      <c r="C118" s="157">
        <v>267244</v>
      </c>
      <c r="D118" s="157">
        <v>270450</v>
      </c>
      <c r="E118" s="157">
        <f t="shared" si="4"/>
        <v>3206</v>
      </c>
      <c r="F118" s="161">
        <f t="shared" si="5"/>
        <v>1.1996527517923695E-2</v>
      </c>
    </row>
    <row r="119" spans="1:6" ht="15" customHeight="1" x14ac:dyDescent="0.2">
      <c r="A119" s="147">
        <v>17</v>
      </c>
      <c r="B119" s="169" t="s">
        <v>248</v>
      </c>
      <c r="C119" s="157">
        <v>7601777</v>
      </c>
      <c r="D119" s="157">
        <v>6410960</v>
      </c>
      <c r="E119" s="157">
        <f t="shared" si="4"/>
        <v>-1190817</v>
      </c>
      <c r="F119" s="161">
        <f t="shared" si="5"/>
        <v>-0.15664982016704779</v>
      </c>
    </row>
    <row r="120" spans="1:6" ht="15" customHeight="1" x14ac:dyDescent="0.2">
      <c r="A120" s="147">
        <v>18</v>
      </c>
      <c r="B120" s="169" t="s">
        <v>249</v>
      </c>
      <c r="C120" s="157">
        <v>2126018</v>
      </c>
      <c r="D120" s="157">
        <v>2114598</v>
      </c>
      <c r="E120" s="157">
        <f t="shared" si="4"/>
        <v>-11420</v>
      </c>
      <c r="F120" s="161">
        <f t="shared" si="5"/>
        <v>-5.3715443613365456E-3</v>
      </c>
    </row>
    <row r="121" spans="1:6" ht="15.75" customHeight="1" x14ac:dyDescent="0.25">
      <c r="A121" s="147"/>
      <c r="B121" s="165" t="s">
        <v>250</v>
      </c>
      <c r="C121" s="158">
        <f>SUM(C103:C120)</f>
        <v>30840332</v>
      </c>
      <c r="D121" s="158">
        <f>SUM(D103:D120)</f>
        <v>29067953</v>
      </c>
      <c r="E121" s="158">
        <f t="shared" si="4"/>
        <v>-1772379</v>
      </c>
      <c r="F121" s="159">
        <f t="shared" si="5"/>
        <v>-5.7469517513624689E-2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93895</v>
      </c>
      <c r="D124" s="157">
        <v>131835</v>
      </c>
      <c r="E124" s="157">
        <f t="shared" ref="E124:E130" si="6">D124-C124</f>
        <v>37940</v>
      </c>
      <c r="F124" s="161">
        <f t="shared" ref="F124:F130" si="7">IF(C124=0,0,E124/C124)</f>
        <v>0.40406837424783004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1544145</v>
      </c>
      <c r="D126" s="157">
        <v>1535810</v>
      </c>
      <c r="E126" s="157">
        <f t="shared" si="6"/>
        <v>-8335</v>
      </c>
      <c r="F126" s="161">
        <f t="shared" si="7"/>
        <v>-5.3978091435713613E-3</v>
      </c>
    </row>
    <row r="127" spans="1:6" ht="15" customHeight="1" x14ac:dyDescent="0.2">
      <c r="A127" s="147">
        <v>4</v>
      </c>
      <c r="B127" s="169" t="s">
        <v>255</v>
      </c>
      <c r="C127" s="157">
        <v>1140241</v>
      </c>
      <c r="D127" s="157">
        <v>1039389</v>
      </c>
      <c r="E127" s="157">
        <f t="shared" si="6"/>
        <v>-100852</v>
      </c>
      <c r="F127" s="161">
        <f t="shared" si="7"/>
        <v>-8.8447968455791365E-2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124533</v>
      </c>
      <c r="D129" s="157">
        <v>116847</v>
      </c>
      <c r="E129" s="157">
        <f t="shared" si="6"/>
        <v>-7686</v>
      </c>
      <c r="F129" s="161">
        <f t="shared" si="7"/>
        <v>-6.1718580617185805E-2</v>
      </c>
    </row>
    <row r="130" spans="1:6" ht="15.75" customHeight="1" x14ac:dyDescent="0.25">
      <c r="A130" s="147"/>
      <c r="B130" s="165" t="s">
        <v>258</v>
      </c>
      <c r="C130" s="158">
        <f>SUM(C124:C129)</f>
        <v>2902814</v>
      </c>
      <c r="D130" s="158">
        <f>SUM(D124:D129)</f>
        <v>2823881</v>
      </c>
      <c r="E130" s="158">
        <f t="shared" si="6"/>
        <v>-78933</v>
      </c>
      <c r="F130" s="159">
        <f t="shared" si="7"/>
        <v>-2.7191890351913696E-2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5257709</v>
      </c>
      <c r="D133" s="157">
        <v>4937103</v>
      </c>
      <c r="E133" s="157">
        <f t="shared" ref="E133:E167" si="8">D133-C133</f>
        <v>-320606</v>
      </c>
      <c r="F133" s="161">
        <f t="shared" ref="F133:F167" si="9">IF(C133=0,0,E133/C133)</f>
        <v>-6.097827019334847E-2</v>
      </c>
    </row>
    <row r="134" spans="1:6" ht="15" customHeight="1" x14ac:dyDescent="0.2">
      <c r="A134" s="147">
        <v>2</v>
      </c>
      <c r="B134" s="169" t="s">
        <v>261</v>
      </c>
      <c r="C134" s="157">
        <v>534443</v>
      </c>
      <c r="D134" s="157">
        <v>545571</v>
      </c>
      <c r="E134" s="157">
        <f t="shared" si="8"/>
        <v>11128</v>
      </c>
      <c r="F134" s="161">
        <f t="shared" si="9"/>
        <v>2.0821677896426746E-2</v>
      </c>
    </row>
    <row r="135" spans="1:6" ht="15" customHeight="1" x14ac:dyDescent="0.2">
      <c r="A135" s="147">
        <v>3</v>
      </c>
      <c r="B135" s="169" t="s">
        <v>262</v>
      </c>
      <c r="C135" s="157">
        <v>197859</v>
      </c>
      <c r="D135" s="157">
        <v>472995</v>
      </c>
      <c r="E135" s="157">
        <f t="shared" si="8"/>
        <v>275136</v>
      </c>
      <c r="F135" s="161">
        <f t="shared" si="9"/>
        <v>1.3905660091277121</v>
      </c>
    </row>
    <row r="136" spans="1:6" ht="15" customHeight="1" x14ac:dyDescent="0.2">
      <c r="A136" s="147">
        <v>4</v>
      </c>
      <c r="B136" s="169" t="s">
        <v>263</v>
      </c>
      <c r="C136" s="157">
        <v>1207346</v>
      </c>
      <c r="D136" s="157">
        <v>1178547</v>
      </c>
      <c r="E136" s="157">
        <f t="shared" si="8"/>
        <v>-28799</v>
      </c>
      <c r="F136" s="161">
        <f t="shared" si="9"/>
        <v>-2.3853145659984792E-2</v>
      </c>
    </row>
    <row r="137" spans="1:6" ht="15" customHeight="1" x14ac:dyDescent="0.2">
      <c r="A137" s="147">
        <v>5</v>
      </c>
      <c r="B137" s="169" t="s">
        <v>264</v>
      </c>
      <c r="C137" s="157">
        <v>2340966</v>
      </c>
      <c r="D137" s="157">
        <v>2302907</v>
      </c>
      <c r="E137" s="157">
        <f t="shared" si="8"/>
        <v>-38059</v>
      </c>
      <c r="F137" s="161">
        <f t="shared" si="9"/>
        <v>-1.6257818353619832E-2</v>
      </c>
    </row>
    <row r="138" spans="1:6" ht="15" customHeight="1" x14ac:dyDescent="0.2">
      <c r="A138" s="147">
        <v>6</v>
      </c>
      <c r="B138" s="169" t="s">
        <v>265</v>
      </c>
      <c r="C138" s="157">
        <v>907576</v>
      </c>
      <c r="D138" s="157">
        <v>911358</v>
      </c>
      <c r="E138" s="157">
        <f t="shared" si="8"/>
        <v>3782</v>
      </c>
      <c r="F138" s="161">
        <f t="shared" si="9"/>
        <v>4.1671441289765267E-3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487707</v>
      </c>
      <c r="D140" s="157">
        <v>479844</v>
      </c>
      <c r="E140" s="157">
        <f t="shared" si="8"/>
        <v>-7863</v>
      </c>
      <c r="F140" s="161">
        <f t="shared" si="9"/>
        <v>-1.612238495654153E-2</v>
      </c>
    </row>
    <row r="141" spans="1:6" ht="15" customHeight="1" x14ac:dyDescent="0.2">
      <c r="A141" s="147">
        <v>9</v>
      </c>
      <c r="B141" s="169" t="s">
        <v>268</v>
      </c>
      <c r="C141" s="157">
        <v>662655</v>
      </c>
      <c r="D141" s="157">
        <v>623751</v>
      </c>
      <c r="E141" s="157">
        <f t="shared" si="8"/>
        <v>-38904</v>
      </c>
      <c r="F141" s="161">
        <f t="shared" si="9"/>
        <v>-5.8709283111121169E-2</v>
      </c>
    </row>
    <row r="142" spans="1:6" ht="15" customHeight="1" x14ac:dyDescent="0.2">
      <c r="A142" s="147">
        <v>10</v>
      </c>
      <c r="B142" s="169" t="s">
        <v>269</v>
      </c>
      <c r="C142" s="157">
        <v>7061290</v>
      </c>
      <c r="D142" s="157">
        <v>6876052</v>
      </c>
      <c r="E142" s="157">
        <f t="shared" si="8"/>
        <v>-185238</v>
      </c>
      <c r="F142" s="161">
        <f t="shared" si="9"/>
        <v>-2.6232883793187931E-2</v>
      </c>
    </row>
    <row r="143" spans="1:6" ht="15" customHeight="1" x14ac:dyDescent="0.2">
      <c r="A143" s="147">
        <v>11</v>
      </c>
      <c r="B143" s="169" t="s">
        <v>270</v>
      </c>
      <c r="C143" s="157">
        <v>309209</v>
      </c>
      <c r="D143" s="157">
        <v>244777</v>
      </c>
      <c r="E143" s="157">
        <f t="shared" si="8"/>
        <v>-64432</v>
      </c>
      <c r="F143" s="161">
        <f t="shared" si="9"/>
        <v>-0.20837685837087536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508122</v>
      </c>
      <c r="D145" s="157">
        <v>508686</v>
      </c>
      <c r="E145" s="157">
        <f t="shared" si="8"/>
        <v>564</v>
      </c>
      <c r="F145" s="161">
        <f t="shared" si="9"/>
        <v>1.1099696529573606E-3</v>
      </c>
    </row>
    <row r="146" spans="1:6" ht="15" customHeight="1" x14ac:dyDescent="0.2">
      <c r="A146" s="147">
        <v>14</v>
      </c>
      <c r="B146" s="169" t="s">
        <v>273</v>
      </c>
      <c r="C146" s="157">
        <v>138478</v>
      </c>
      <c r="D146" s="157">
        <v>138658</v>
      </c>
      <c r="E146" s="157">
        <f t="shared" si="8"/>
        <v>180</v>
      </c>
      <c r="F146" s="161">
        <f t="shared" si="9"/>
        <v>1.2998454628171984E-3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726070</v>
      </c>
      <c r="D150" s="157">
        <v>726742</v>
      </c>
      <c r="E150" s="157">
        <f t="shared" si="8"/>
        <v>672</v>
      </c>
      <c r="F150" s="161">
        <f t="shared" si="9"/>
        <v>9.2553059622350463E-4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382578</v>
      </c>
      <c r="D152" s="157">
        <v>337801</v>
      </c>
      <c r="E152" s="157">
        <f t="shared" si="8"/>
        <v>-44777</v>
      </c>
      <c r="F152" s="161">
        <f t="shared" si="9"/>
        <v>-0.11704018526940911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3475728</v>
      </c>
      <c r="D156" s="157">
        <v>3432688</v>
      </c>
      <c r="E156" s="157">
        <f t="shared" si="8"/>
        <v>-43040</v>
      </c>
      <c r="F156" s="161">
        <f t="shared" si="9"/>
        <v>-1.2383017313207477E-2</v>
      </c>
    </row>
    <row r="157" spans="1:6" ht="15" customHeight="1" x14ac:dyDescent="0.2">
      <c r="A157" s="147">
        <v>25</v>
      </c>
      <c r="B157" s="169" t="s">
        <v>284</v>
      </c>
      <c r="C157" s="157">
        <v>1572962</v>
      </c>
      <c r="D157" s="157">
        <v>1528431</v>
      </c>
      <c r="E157" s="157">
        <f t="shared" si="8"/>
        <v>-44531</v>
      </c>
      <c r="F157" s="161">
        <f t="shared" si="9"/>
        <v>-2.831028340163335E-2</v>
      </c>
    </row>
    <row r="158" spans="1:6" ht="15" customHeight="1" x14ac:dyDescent="0.2">
      <c r="A158" s="147">
        <v>26</v>
      </c>
      <c r="B158" s="169" t="s">
        <v>285</v>
      </c>
      <c r="C158" s="157">
        <v>270590</v>
      </c>
      <c r="D158" s="157">
        <v>228778</v>
      </c>
      <c r="E158" s="157">
        <f t="shared" si="8"/>
        <v>-41812</v>
      </c>
      <c r="F158" s="161">
        <f t="shared" si="9"/>
        <v>-0.15452160094608078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830432</v>
      </c>
      <c r="D160" s="157">
        <v>803050</v>
      </c>
      <c r="E160" s="157">
        <f t="shared" si="8"/>
        <v>-27382</v>
      </c>
      <c r="F160" s="161">
        <f t="shared" si="9"/>
        <v>-3.2973199491349081E-2</v>
      </c>
    </row>
    <row r="161" spans="1:6" ht="15" customHeight="1" x14ac:dyDescent="0.2">
      <c r="A161" s="147">
        <v>29</v>
      </c>
      <c r="B161" s="169" t="s">
        <v>288</v>
      </c>
      <c r="C161" s="157">
        <v>477899</v>
      </c>
      <c r="D161" s="157">
        <v>481564</v>
      </c>
      <c r="E161" s="157">
        <f t="shared" si="8"/>
        <v>3665</v>
      </c>
      <c r="F161" s="161">
        <f t="shared" si="9"/>
        <v>7.6689844506893715E-3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282982</v>
      </c>
      <c r="D163" s="157">
        <v>300720</v>
      </c>
      <c r="E163" s="157">
        <f t="shared" si="8"/>
        <v>17738</v>
      </c>
      <c r="F163" s="161">
        <f t="shared" si="9"/>
        <v>6.2682432098154647E-2</v>
      </c>
    </row>
    <row r="164" spans="1:6" ht="15" customHeight="1" x14ac:dyDescent="0.2">
      <c r="A164" s="147">
        <v>32</v>
      </c>
      <c r="B164" s="169" t="s">
        <v>291</v>
      </c>
      <c r="C164" s="157">
        <v>0</v>
      </c>
      <c r="D164" s="157">
        <v>0</v>
      </c>
      <c r="E164" s="157">
        <f t="shared" si="8"/>
        <v>0</v>
      </c>
      <c r="F164" s="161">
        <f t="shared" si="9"/>
        <v>0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1785337</v>
      </c>
      <c r="D166" s="157">
        <v>2234721</v>
      </c>
      <c r="E166" s="157">
        <f t="shared" si="8"/>
        <v>449384</v>
      </c>
      <c r="F166" s="161">
        <f t="shared" si="9"/>
        <v>0.2517082209129145</v>
      </c>
    </row>
    <row r="167" spans="1:6" ht="15.75" customHeight="1" x14ac:dyDescent="0.25">
      <c r="A167" s="147"/>
      <c r="B167" s="165" t="s">
        <v>294</v>
      </c>
      <c r="C167" s="158">
        <f>SUM(C133:C166)</f>
        <v>29417938</v>
      </c>
      <c r="D167" s="158">
        <f>SUM(D133:D166)</f>
        <v>29294744</v>
      </c>
      <c r="E167" s="158">
        <f t="shared" si="8"/>
        <v>-123194</v>
      </c>
      <c r="F167" s="159">
        <f t="shared" si="9"/>
        <v>-4.1877170316967829E-3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3541413</v>
      </c>
      <c r="D170" s="157">
        <v>3093790</v>
      </c>
      <c r="E170" s="157">
        <f t="shared" ref="E170:E183" si="10">D170-C170</f>
        <v>-447623</v>
      </c>
      <c r="F170" s="161">
        <f t="shared" ref="F170:F183" si="11">IF(C170=0,0,E170/C170)</f>
        <v>-0.12639672356768331</v>
      </c>
    </row>
    <row r="171" spans="1:6" ht="15" customHeight="1" x14ac:dyDescent="0.2">
      <c r="A171" s="147">
        <v>2</v>
      </c>
      <c r="B171" s="169" t="s">
        <v>297</v>
      </c>
      <c r="C171" s="157">
        <v>2604342</v>
      </c>
      <c r="D171" s="157">
        <v>2629491</v>
      </c>
      <c r="E171" s="157">
        <f t="shared" si="10"/>
        <v>25149</v>
      </c>
      <c r="F171" s="161">
        <f t="shared" si="11"/>
        <v>9.6565658427349398E-3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2260167</v>
      </c>
      <c r="D173" s="157">
        <v>2563497</v>
      </c>
      <c r="E173" s="157">
        <f t="shared" si="10"/>
        <v>303330</v>
      </c>
      <c r="F173" s="161">
        <f t="shared" si="11"/>
        <v>0.13420689710096642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510296</v>
      </c>
      <c r="D175" s="157">
        <v>476708</v>
      </c>
      <c r="E175" s="157">
        <f t="shared" si="10"/>
        <v>-33588</v>
      </c>
      <c r="F175" s="161">
        <f t="shared" si="11"/>
        <v>-6.5820621756784298E-2</v>
      </c>
    </row>
    <row r="176" spans="1:6" ht="15" customHeight="1" x14ac:dyDescent="0.2">
      <c r="A176" s="147">
        <v>7</v>
      </c>
      <c r="B176" s="169" t="s">
        <v>302</v>
      </c>
      <c r="C176" s="157">
        <v>506036</v>
      </c>
      <c r="D176" s="157">
        <v>637972</v>
      </c>
      <c r="E176" s="157">
        <f t="shared" si="10"/>
        <v>131936</v>
      </c>
      <c r="F176" s="161">
        <f t="shared" si="11"/>
        <v>0.26072453343240404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2540423</v>
      </c>
      <c r="D178" s="157">
        <v>2365875</v>
      </c>
      <c r="E178" s="157">
        <f t="shared" si="10"/>
        <v>-174548</v>
      </c>
      <c r="F178" s="161">
        <f t="shared" si="11"/>
        <v>-6.8708242682419429E-2</v>
      </c>
    </row>
    <row r="179" spans="1:6" ht="15" customHeight="1" x14ac:dyDescent="0.2">
      <c r="A179" s="147">
        <v>10</v>
      </c>
      <c r="B179" s="169" t="s">
        <v>305</v>
      </c>
      <c r="C179" s="157">
        <v>1219968</v>
      </c>
      <c r="D179" s="157">
        <v>1332231</v>
      </c>
      <c r="E179" s="157">
        <f t="shared" si="10"/>
        <v>112263</v>
      </c>
      <c r="F179" s="161">
        <f t="shared" si="11"/>
        <v>9.2021266131570661E-2</v>
      </c>
    </row>
    <row r="180" spans="1:6" ht="15" customHeight="1" x14ac:dyDescent="0.2">
      <c r="A180" s="147">
        <v>11</v>
      </c>
      <c r="B180" s="169" t="s">
        <v>306</v>
      </c>
      <c r="C180" s="157">
        <v>5853684</v>
      </c>
      <c r="D180" s="157">
        <v>5847799</v>
      </c>
      <c r="E180" s="157">
        <f t="shared" si="10"/>
        <v>-5885</v>
      </c>
      <c r="F180" s="161">
        <f t="shared" si="11"/>
        <v>-1.0053497933950654E-3</v>
      </c>
    </row>
    <row r="181" spans="1:6" ht="15" customHeight="1" x14ac:dyDescent="0.2">
      <c r="A181" s="147">
        <v>12</v>
      </c>
      <c r="B181" s="169" t="s">
        <v>307</v>
      </c>
      <c r="C181" s="157">
        <v>2020251</v>
      </c>
      <c r="D181" s="157">
        <v>1178427</v>
      </c>
      <c r="E181" s="157">
        <f t="shared" si="10"/>
        <v>-841824</v>
      </c>
      <c r="F181" s="161">
        <f t="shared" si="11"/>
        <v>-0.41669277728361476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21056580</v>
      </c>
      <c r="D183" s="158">
        <f>SUM(D170:D182)</f>
        <v>20125790</v>
      </c>
      <c r="E183" s="158">
        <f t="shared" si="10"/>
        <v>-930790</v>
      </c>
      <c r="F183" s="159">
        <f t="shared" si="11"/>
        <v>-4.420423449582031E-2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26406928</v>
      </c>
      <c r="D186" s="157">
        <v>27692514</v>
      </c>
      <c r="E186" s="157">
        <f>D186-C186</f>
        <v>1285586</v>
      </c>
      <c r="F186" s="161">
        <f>IF(C186=0,0,E186/C186)</f>
        <v>4.8683663620395376E-2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110624592</v>
      </c>
      <c r="D188" s="158">
        <f>+D186+D183+D167+D130+D121</f>
        <v>109004882</v>
      </c>
      <c r="E188" s="158">
        <f>D188-C188</f>
        <v>-1619710</v>
      </c>
      <c r="F188" s="159">
        <f>IF(C188=0,0,E188/C188)</f>
        <v>-1.4641500327522112E-2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FILING&amp;RDAY KIMBALL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113405335</v>
      </c>
      <c r="D11" s="183">
        <v>104649330</v>
      </c>
      <c r="E11" s="76">
        <v>104847336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6539058</v>
      </c>
      <c r="D12" s="185">
        <v>6431641</v>
      </c>
      <c r="E12" s="185">
        <v>6695752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119944393</v>
      </c>
      <c r="D13" s="76">
        <f>+D11+D12</f>
        <v>111080971</v>
      </c>
      <c r="E13" s="76">
        <f>+E11+E12</f>
        <v>111543088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115241429</v>
      </c>
      <c r="D14" s="185">
        <v>110624592</v>
      </c>
      <c r="E14" s="185">
        <v>109004882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4702964</v>
      </c>
      <c r="D15" s="76">
        <f>+D13-D14</f>
        <v>456379</v>
      </c>
      <c r="E15" s="76">
        <f>+E13-E14</f>
        <v>2538206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483967</v>
      </c>
      <c r="D16" s="185">
        <v>430535</v>
      </c>
      <c r="E16" s="185">
        <v>519164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5186931</v>
      </c>
      <c r="D17" s="76">
        <f>D15+D16</f>
        <v>886914</v>
      </c>
      <c r="E17" s="76">
        <f>E15+E16</f>
        <v>3057370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3.9051964171894396E-2</v>
      </c>
      <c r="D20" s="189">
        <f>IF(+D27=0,0,+D24/+D27)</f>
        <v>4.0926628683501057E-3</v>
      </c>
      <c r="E20" s="189">
        <f>IF(+E27=0,0,+E24/+E27)</f>
        <v>2.2649964235949855E-2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4.0187128679656523E-3</v>
      </c>
      <c r="D21" s="189">
        <f>IF(D27=0,0,+D26/D27)</f>
        <v>3.8609020310424289E-3</v>
      </c>
      <c r="E21" s="189">
        <f>IF(E27=0,0,+E26/E27)</f>
        <v>4.6328178377139876E-3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4.3070677039860047E-2</v>
      </c>
      <c r="D22" s="189">
        <f>IF(D27=0,0,+D28/D27)</f>
        <v>7.9535648993925342E-3</v>
      </c>
      <c r="E22" s="189">
        <f>IF(E27=0,0,+E28/E27)</f>
        <v>2.7282782073663841E-2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4702964</v>
      </c>
      <c r="D24" s="76">
        <f>+D15</f>
        <v>456379</v>
      </c>
      <c r="E24" s="76">
        <f>+E15</f>
        <v>2538206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119944393</v>
      </c>
      <c r="D25" s="76">
        <f>+D13</f>
        <v>111080971</v>
      </c>
      <c r="E25" s="76">
        <f>+E13</f>
        <v>111543088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483967</v>
      </c>
      <c r="D26" s="76">
        <f>+D16</f>
        <v>430535</v>
      </c>
      <c r="E26" s="76">
        <f>+E16</f>
        <v>519164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120428360</v>
      </c>
      <c r="D27" s="76">
        <f>+D25+D26</f>
        <v>111511506</v>
      </c>
      <c r="E27" s="76">
        <f>+E25+E26</f>
        <v>112062252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5186931</v>
      </c>
      <c r="D28" s="76">
        <f>+D17</f>
        <v>886914</v>
      </c>
      <c r="E28" s="76">
        <f>+E17</f>
        <v>3057370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16901258</v>
      </c>
      <c r="D31" s="76">
        <v>7050300</v>
      </c>
      <c r="E31" s="76">
        <v>-2707529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27415950</v>
      </c>
      <c r="D32" s="76">
        <v>16084923</v>
      </c>
      <c r="E32" s="76">
        <v>4838633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2657416</v>
      </c>
      <c r="D33" s="76">
        <f>+D32-C32</f>
        <v>-11331027</v>
      </c>
      <c r="E33" s="76">
        <f>+E32-D32</f>
        <v>-11246290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1.1073</v>
      </c>
      <c r="D34" s="193">
        <f>IF(C32=0,0,+D33/C32)</f>
        <v>-0.41330054220262291</v>
      </c>
      <c r="E34" s="193">
        <f>IF(D32=0,0,+E33/D32)</f>
        <v>-0.69918208498728907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0.52730458553554471</v>
      </c>
      <c r="D38" s="195">
        <f>IF((D40+D41)=0,0,+D39/(D40+D41))</f>
        <v>0.49930668894830704</v>
      </c>
      <c r="E38" s="195">
        <f>IF((E40+E41)=0,0,+E39/(E40+E41))</f>
        <v>0.47183863723590846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115241429</v>
      </c>
      <c r="D39" s="76">
        <v>110624592</v>
      </c>
      <c r="E39" s="196">
        <v>109004882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212323692</v>
      </c>
      <c r="D40" s="76">
        <v>216749399</v>
      </c>
      <c r="E40" s="196">
        <v>224868002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6224434</v>
      </c>
      <c r="D41" s="76">
        <v>4807000</v>
      </c>
      <c r="E41" s="196">
        <v>6153524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1.1520726640615744</v>
      </c>
      <c r="D43" s="197">
        <f>IF(D38=0,0,IF((D46-D47)=0,0,((+D44-D45)/(D46-D47)/D38)))</f>
        <v>1.2046832054168157</v>
      </c>
      <c r="E43" s="197">
        <f>IF(E38=0,0,IF((E46-E47)=0,0,((+E44-E45)/(E46-E47)/E38)))</f>
        <v>1.2940167044700994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49706680</v>
      </c>
      <c r="D44" s="76">
        <v>47019920</v>
      </c>
      <c r="E44" s="196">
        <v>48281638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471460</v>
      </c>
      <c r="D45" s="76">
        <v>251298</v>
      </c>
      <c r="E45" s="196">
        <v>36334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85690455</v>
      </c>
      <c r="D46" s="76">
        <v>81728750</v>
      </c>
      <c r="E46" s="196">
        <v>82014227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4643918</v>
      </c>
      <c r="D47" s="76">
        <v>3976255</v>
      </c>
      <c r="E47" s="76">
        <v>2997022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0.91871540557405584</v>
      </c>
      <c r="D49" s="198">
        <f>IF(D38=0,0,IF(D51=0,0,(D50/D51)/D38))</f>
        <v>0.89296566989665982</v>
      </c>
      <c r="E49" s="198">
        <f>IF(E38=0,0,IF(E51=0,0,(E50/E51)/E38))</f>
        <v>0.91585567068460005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39330519</v>
      </c>
      <c r="D50" s="199">
        <v>40088820</v>
      </c>
      <c r="E50" s="199">
        <v>39726318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81187119</v>
      </c>
      <c r="D51" s="199">
        <v>89912718</v>
      </c>
      <c r="E51" s="199">
        <v>91930109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0.82127563319336683</v>
      </c>
      <c r="D53" s="198">
        <f>IF(D38=0,0,IF(D55=0,0,(D54/D55)/D38))</f>
        <v>0.74587745930070237</v>
      </c>
      <c r="E53" s="198">
        <f>IF(E38=0,0,IF(E55=0,0,(E54/E55)/E38))</f>
        <v>0.72514237764613032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19019832</v>
      </c>
      <c r="D54" s="199">
        <v>16352315</v>
      </c>
      <c r="E54" s="199">
        <v>16917039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43919379</v>
      </c>
      <c r="D55" s="199">
        <v>43908073</v>
      </c>
      <c r="E55" s="199">
        <v>49443313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2200156.2363544679</v>
      </c>
      <c r="D57" s="88">
        <f>+D60*D38</f>
        <v>1859895.946144819</v>
      </c>
      <c r="E57" s="88">
        <f>+E60*E38</f>
        <v>1733173.2529699677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710098</v>
      </c>
      <c r="D58" s="199">
        <v>703850</v>
      </c>
      <c r="E58" s="199">
        <v>522721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3462360</v>
      </c>
      <c r="D59" s="199">
        <v>3021107</v>
      </c>
      <c r="E59" s="199">
        <v>3150512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4172458</v>
      </c>
      <c r="D60" s="76">
        <v>3724957</v>
      </c>
      <c r="E60" s="201">
        <v>3673233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1.9091712550305742E-2</v>
      </c>
      <c r="D62" s="202">
        <f>IF(D63=0,0,+D57/D63)</f>
        <v>1.681268072965927E-2</v>
      </c>
      <c r="E62" s="202">
        <f>IF(E63=0,0,+E57/E63)</f>
        <v>1.5899959902437834E-2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115241429</v>
      </c>
      <c r="D63" s="199">
        <v>110624592</v>
      </c>
      <c r="E63" s="199">
        <v>109004882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1.9735009639653078</v>
      </c>
      <c r="D67" s="203">
        <f>IF(D69=0,0,D68/D69)</f>
        <v>1.3589780203487243</v>
      </c>
      <c r="E67" s="203">
        <f>IF(E69=0,0,E68/E69)</f>
        <v>0.96893157796917573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33417651</v>
      </c>
      <c r="D68" s="204">
        <v>32034489</v>
      </c>
      <c r="E68" s="204">
        <v>26608830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16933182</v>
      </c>
      <c r="D69" s="204">
        <v>23572485</v>
      </c>
      <c r="E69" s="204">
        <v>27462032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28.165312213966814</v>
      </c>
      <c r="D71" s="203">
        <f>IF((D77/365)=0,0,+D74/(D77/365))</f>
        <v>27.54262367748305</v>
      </c>
      <c r="E71" s="203">
        <f>IF((E77/365)=0,0,+E74/(E77/365))</f>
        <v>32.32511504308367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2156339</v>
      </c>
      <c r="D72" s="183">
        <v>5285678</v>
      </c>
      <c r="E72" s="183">
        <v>6171314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6363563</v>
      </c>
      <c r="D73" s="206">
        <v>2705332</v>
      </c>
      <c r="E73" s="206">
        <v>3023883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8519902</v>
      </c>
      <c r="D74" s="204">
        <f>+D72+D73</f>
        <v>7991010</v>
      </c>
      <c r="E74" s="204">
        <f>+E72+E73</f>
        <v>9195197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115241429</v>
      </c>
      <c r="D75" s="204">
        <f>+D14</f>
        <v>110624592</v>
      </c>
      <c r="E75" s="204">
        <f>+E14</f>
        <v>109004882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4830289</v>
      </c>
      <c r="D76" s="204">
        <v>4726233</v>
      </c>
      <c r="E76" s="204">
        <v>5177041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110411140</v>
      </c>
      <c r="D77" s="204">
        <f>+D75-D76</f>
        <v>105898359</v>
      </c>
      <c r="E77" s="204">
        <f>+E75-E76</f>
        <v>103827841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49.52903247453041</v>
      </c>
      <c r="D79" s="203">
        <f>IF((D84/365)=0,0,+D83/(D84/365))</f>
        <v>40.893557369168057</v>
      </c>
      <c r="E79" s="203">
        <f>IF((E84/365)=0,0,+E83/(E84/365))</f>
        <v>41.024835290044948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12743539</v>
      </c>
      <c r="D80" s="212">
        <v>12792119</v>
      </c>
      <c r="E80" s="212">
        <v>12518755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2645109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1067507</v>
      </c>
      <c r="E82" s="212">
        <v>734249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15388648</v>
      </c>
      <c r="D83" s="212">
        <f>+D80+D81-D82</f>
        <v>11724612</v>
      </c>
      <c r="E83" s="212">
        <f>+E80+E81-E82</f>
        <v>11784506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113405335</v>
      </c>
      <c r="D84" s="204">
        <f>+D11</f>
        <v>104649330</v>
      </c>
      <c r="E84" s="204">
        <f>+E11</f>
        <v>104847336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55.978150664869503</v>
      </c>
      <c r="D86" s="203">
        <f>IF((D90/365)=0,0,+D87/(D90/365))</f>
        <v>81.247312104241388</v>
      </c>
      <c r="E86" s="203">
        <f>IF((E90/365)=0,0,+E87/(E90/365))</f>
        <v>96.540981527295742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16933182</v>
      </c>
      <c r="D87" s="76">
        <f>+D69</f>
        <v>23572485</v>
      </c>
      <c r="E87" s="76">
        <f>+E69</f>
        <v>27462032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115241429</v>
      </c>
      <c r="D88" s="76">
        <f t="shared" si="0"/>
        <v>110624592</v>
      </c>
      <c r="E88" s="76">
        <f t="shared" si="0"/>
        <v>109004882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4830289</v>
      </c>
      <c r="D89" s="201">
        <f t="shared" si="0"/>
        <v>4726233</v>
      </c>
      <c r="E89" s="201">
        <f t="shared" si="0"/>
        <v>5177041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110411140</v>
      </c>
      <c r="D90" s="76">
        <f>+D88-D89</f>
        <v>105898359</v>
      </c>
      <c r="E90" s="76">
        <f>+E88-E89</f>
        <v>103827841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28.051214350395526</v>
      </c>
      <c r="D94" s="214">
        <f>IF(D96=0,0,(D95/D96)*100)</f>
        <v>16.582494169372293</v>
      </c>
      <c r="E94" s="214">
        <f>IF(E96=0,0,(E95/E96)*100)</f>
        <v>5.0458952147634468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27415950</v>
      </c>
      <c r="D95" s="76">
        <f>+D32</f>
        <v>16084923</v>
      </c>
      <c r="E95" s="76">
        <f>+E32</f>
        <v>4838633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97735341</v>
      </c>
      <c r="D96" s="76">
        <v>96999419</v>
      </c>
      <c r="E96" s="76">
        <v>95892459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29.946190714152383</v>
      </c>
      <c r="D98" s="214">
        <f>IF(D104=0,0,(D101/D104)*100)</f>
        <v>10.532977009156845</v>
      </c>
      <c r="E98" s="214">
        <f>IF(E104=0,0,(E101/E104)*100)</f>
        <v>14.440336521260519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5186931</v>
      </c>
      <c r="D99" s="76">
        <f>+D28</f>
        <v>886914</v>
      </c>
      <c r="E99" s="76">
        <f>+E28</f>
        <v>3057370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4830289</v>
      </c>
      <c r="D100" s="201">
        <f>+D76</f>
        <v>4726233</v>
      </c>
      <c r="E100" s="201">
        <f>+E76</f>
        <v>5177041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10017220</v>
      </c>
      <c r="D101" s="76">
        <f>+D99+D100</f>
        <v>5613147</v>
      </c>
      <c r="E101" s="76">
        <f>+E99+E100</f>
        <v>8234411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16933182</v>
      </c>
      <c r="D102" s="204">
        <f>+D69</f>
        <v>23572485</v>
      </c>
      <c r="E102" s="204">
        <f>+E69</f>
        <v>27462032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16517550</v>
      </c>
      <c r="D103" s="216">
        <v>29718688</v>
      </c>
      <c r="E103" s="216">
        <v>29561646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33450732</v>
      </c>
      <c r="D104" s="204">
        <f>+D102+D103</f>
        <v>53291173</v>
      </c>
      <c r="E104" s="204">
        <f>+E102+E103</f>
        <v>57023678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37.596708661955006</v>
      </c>
      <c r="D106" s="214">
        <f>IF(D109=0,0,(D107/D109)*100)</f>
        <v>64.882849520314025</v>
      </c>
      <c r="E106" s="214">
        <f>IF(E109=0,0,(E107/E109)*100)</f>
        <v>85.934320474551967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16517550</v>
      </c>
      <c r="D107" s="204">
        <f>+D103</f>
        <v>29718688</v>
      </c>
      <c r="E107" s="204">
        <f>+E103</f>
        <v>29561646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27415950</v>
      </c>
      <c r="D108" s="204">
        <f>+D32</f>
        <v>16084923</v>
      </c>
      <c r="E108" s="204">
        <f>+E32</f>
        <v>4838633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43933500</v>
      </c>
      <c r="D109" s="204">
        <f>+D107+D108</f>
        <v>45803611</v>
      </c>
      <c r="E109" s="204">
        <f>+E107+E108</f>
        <v>34400279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6.8237940326500457</v>
      </c>
      <c r="D111" s="214">
        <f>IF((+D113+D115)=0,0,((+D112+D113+D114)/(+D113+D115)))</f>
        <v>4.2479710751635533</v>
      </c>
      <c r="E111" s="214">
        <f>IF((+E113+E115)=0,0,((+E112+E113+E114)/(+E113+E115)))</f>
        <v>4.5187548592607127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5186931</v>
      </c>
      <c r="D112" s="76">
        <f>+D17</f>
        <v>886914</v>
      </c>
      <c r="E112" s="76">
        <f>+E17</f>
        <v>3057370</v>
      </c>
    </row>
    <row r="113" spans="1:8" ht="24" customHeight="1" x14ac:dyDescent="0.2">
      <c r="A113" s="85">
        <v>17</v>
      </c>
      <c r="B113" s="75" t="s">
        <v>88</v>
      </c>
      <c r="C113" s="218">
        <v>1028742</v>
      </c>
      <c r="D113" s="76">
        <v>952190</v>
      </c>
      <c r="E113" s="76">
        <v>1343831</v>
      </c>
    </row>
    <row r="114" spans="1:8" ht="24" customHeight="1" x14ac:dyDescent="0.2">
      <c r="A114" s="85">
        <v>18</v>
      </c>
      <c r="B114" s="75" t="s">
        <v>374</v>
      </c>
      <c r="C114" s="218">
        <v>4830289</v>
      </c>
      <c r="D114" s="76">
        <v>4726233</v>
      </c>
      <c r="E114" s="76">
        <v>5177041</v>
      </c>
    </row>
    <row r="115" spans="1:8" ht="24" customHeight="1" x14ac:dyDescent="0.2">
      <c r="A115" s="85">
        <v>19</v>
      </c>
      <c r="B115" s="75" t="s">
        <v>104</v>
      </c>
      <c r="C115" s="218">
        <v>590000</v>
      </c>
      <c r="D115" s="76">
        <v>593333</v>
      </c>
      <c r="E115" s="76">
        <v>775833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14.074894483539184</v>
      </c>
      <c r="D119" s="214">
        <f>IF(+D121=0,0,(+D120)/(+D121))</f>
        <v>14.973263484893783</v>
      </c>
      <c r="E119" s="214">
        <f>IF(+E121=0,0,(+E120)/(+E121))</f>
        <v>13.932687031066589</v>
      </c>
    </row>
    <row r="120" spans="1:8" ht="24" customHeight="1" x14ac:dyDescent="0.2">
      <c r="A120" s="85">
        <v>21</v>
      </c>
      <c r="B120" s="75" t="s">
        <v>378</v>
      </c>
      <c r="C120" s="218">
        <v>67985808</v>
      </c>
      <c r="D120" s="218">
        <v>70767132</v>
      </c>
      <c r="E120" s="218">
        <v>72130092</v>
      </c>
    </row>
    <row r="121" spans="1:8" ht="24" customHeight="1" x14ac:dyDescent="0.2">
      <c r="A121" s="85">
        <v>22</v>
      </c>
      <c r="B121" s="75" t="s">
        <v>374</v>
      </c>
      <c r="C121" s="218">
        <v>4830289</v>
      </c>
      <c r="D121" s="218">
        <v>4726233</v>
      </c>
      <c r="E121" s="218">
        <v>5177041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18484</v>
      </c>
      <c r="D124" s="218">
        <v>16124</v>
      </c>
      <c r="E124" s="218">
        <v>16844</v>
      </c>
    </row>
    <row r="125" spans="1:8" ht="24" customHeight="1" x14ac:dyDescent="0.2">
      <c r="A125" s="85">
        <v>2</v>
      </c>
      <c r="B125" s="75" t="s">
        <v>381</v>
      </c>
      <c r="C125" s="218">
        <v>5097</v>
      </c>
      <c r="D125" s="218">
        <v>4331</v>
      </c>
      <c r="E125" s="218">
        <v>4511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3.6264469295664115</v>
      </c>
      <c r="D126" s="219">
        <f>IF(D125=0,0,D124/D125)</f>
        <v>3.7229277303163242</v>
      </c>
      <c r="E126" s="219">
        <f>IF(E125=0,0,E124/E125)</f>
        <v>3.7339835956550655</v>
      </c>
    </row>
    <row r="127" spans="1:8" ht="24" customHeight="1" x14ac:dyDescent="0.2">
      <c r="A127" s="85">
        <v>4</v>
      </c>
      <c r="B127" s="75" t="s">
        <v>383</v>
      </c>
      <c r="C127" s="218">
        <v>65</v>
      </c>
      <c r="D127" s="218">
        <v>65</v>
      </c>
      <c r="E127" s="218">
        <v>65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122</v>
      </c>
      <c r="E128" s="218">
        <v>122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122</v>
      </c>
      <c r="D129" s="218">
        <v>122</v>
      </c>
      <c r="E129" s="218">
        <v>122</v>
      </c>
    </row>
    <row r="130" spans="1:7" ht="24" customHeight="1" x14ac:dyDescent="0.2">
      <c r="A130" s="85">
        <v>7</v>
      </c>
      <c r="B130" s="75" t="s">
        <v>386</v>
      </c>
      <c r="C130" s="193">
        <v>0.77900000000000003</v>
      </c>
      <c r="D130" s="193">
        <v>0.67959999999999998</v>
      </c>
      <c r="E130" s="193">
        <v>0.70989999999999998</v>
      </c>
    </row>
    <row r="131" spans="1:7" ht="24" customHeight="1" x14ac:dyDescent="0.2">
      <c r="A131" s="85">
        <v>8</v>
      </c>
      <c r="B131" s="75" t="s">
        <v>387</v>
      </c>
      <c r="C131" s="193">
        <v>0.41499999999999998</v>
      </c>
      <c r="D131" s="193">
        <v>0.36199999999999999</v>
      </c>
      <c r="E131" s="193">
        <v>0.37819999999999998</v>
      </c>
    </row>
    <row r="132" spans="1:7" ht="24" customHeight="1" x14ac:dyDescent="0.2">
      <c r="A132" s="85">
        <v>9</v>
      </c>
      <c r="B132" s="75" t="s">
        <v>388</v>
      </c>
      <c r="C132" s="219">
        <v>835.4</v>
      </c>
      <c r="D132" s="219">
        <v>806.7</v>
      </c>
      <c r="E132" s="219">
        <v>783.9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0.38171216898394927</v>
      </c>
      <c r="D135" s="227">
        <f>IF(D149=0,0,D143/D149)</f>
        <v>0.3587206947688007</v>
      </c>
      <c r="E135" s="227">
        <f>IF(E149=0,0,E143/E149)</f>
        <v>0.35139372563998678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0.38237428068083895</v>
      </c>
      <c r="D136" s="227">
        <f>IF(D149=0,0,D144/D149)</f>
        <v>0.4148233785875457</v>
      </c>
      <c r="E136" s="227">
        <f>IF(E149=0,0,E144/E149)</f>
        <v>0.40881809853942669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0.20685105174226154</v>
      </c>
      <c r="D137" s="227">
        <f>IF(D149=0,0,D145/D149)</f>
        <v>0.20257529295386881</v>
      </c>
      <c r="E137" s="227">
        <f>IF(E149=0,0,E145/E149)</f>
        <v>0.21987705035952604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2.1871878527809321E-2</v>
      </c>
      <c r="D139" s="227">
        <f>IF(D149=0,0,D147/D149)</f>
        <v>1.8344941293239755E-2</v>
      </c>
      <c r="E139" s="227">
        <f>IF(E149=0,0,E147/E149)</f>
        <v>1.3327916703773621E-2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7.190620065140917E-3</v>
      </c>
      <c r="D140" s="227">
        <f>IF(D149=0,0,D148/D149)</f>
        <v>5.5356923965450069E-3</v>
      </c>
      <c r="E140" s="227">
        <f>IF(E149=0,0,E148/E149)</f>
        <v>6.5832087572868635E-3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81046537</v>
      </c>
      <c r="D143" s="229">
        <f>+D46-D147</f>
        <v>77752495</v>
      </c>
      <c r="E143" s="229">
        <f>+E46-E147</f>
        <v>79017205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81187119</v>
      </c>
      <c r="D144" s="229">
        <f>+D51</f>
        <v>89912718</v>
      </c>
      <c r="E144" s="229">
        <f>+E51</f>
        <v>91930109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43919379</v>
      </c>
      <c r="D145" s="229">
        <f>+D55</f>
        <v>43908073</v>
      </c>
      <c r="E145" s="229">
        <f>+E55</f>
        <v>49443313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4643918</v>
      </c>
      <c r="D147" s="229">
        <f>+D47</f>
        <v>3976255</v>
      </c>
      <c r="E147" s="229">
        <f>+E47</f>
        <v>2997022</v>
      </c>
    </row>
    <row r="148" spans="1:7" ht="20.100000000000001" customHeight="1" x14ac:dyDescent="0.2">
      <c r="A148" s="226">
        <v>13</v>
      </c>
      <c r="B148" s="224" t="s">
        <v>402</v>
      </c>
      <c r="C148" s="230">
        <v>1526739</v>
      </c>
      <c r="D148" s="229">
        <v>1199858</v>
      </c>
      <c r="E148" s="229">
        <v>1480353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212323692</v>
      </c>
      <c r="D149" s="229">
        <f>SUM(D143:D148)</f>
        <v>216749399</v>
      </c>
      <c r="E149" s="229">
        <f>SUM(E143:E148)</f>
        <v>224868002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0.45325981464679321</v>
      </c>
      <c r="D152" s="227">
        <f>IF(D166=0,0,D160/D166)</f>
        <v>0.45010357643668669</v>
      </c>
      <c r="E152" s="227">
        <f>IF(E166=0,0,E160/E166)</f>
        <v>0.45788742106948976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0.36207706093122322</v>
      </c>
      <c r="D153" s="227">
        <f>IF(D166=0,0,D161/D166)</f>
        <v>0.38581682515953908</v>
      </c>
      <c r="E153" s="227">
        <f>IF(E166=0,0,E161/E166)</f>
        <v>0.37703527161123185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0.17509671992799355</v>
      </c>
      <c r="D154" s="227">
        <f>IF(D166=0,0,D162/D166)</f>
        <v>0.15737550412580636</v>
      </c>
      <c r="E154" s="227">
        <f>IF(E166=0,0,E162/E166)</f>
        <v>0.16055654576955261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4.3402643923065067E-3</v>
      </c>
      <c r="D156" s="227">
        <f>IF(D166=0,0,D164/D166)</f>
        <v>2.418504623706606E-3</v>
      </c>
      <c r="E156" s="227">
        <f>IF(E166=0,0,E164/E166)</f>
        <v>3.448393973668161E-4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5.2261401016834852E-3</v>
      </c>
      <c r="D157" s="227">
        <f>IF(D166=0,0,D165/D166)</f>
        <v>4.2855896542612817E-3</v>
      </c>
      <c r="E157" s="227">
        <f>IF(E166=0,0,E165/E166)</f>
        <v>4.1759221523589365E-3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49235220</v>
      </c>
      <c r="D160" s="229">
        <f>+D44-D164</f>
        <v>46768622</v>
      </c>
      <c r="E160" s="229">
        <f>+E44-E164</f>
        <v>48245304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39330519</v>
      </c>
      <c r="D161" s="229">
        <f>+D50</f>
        <v>40088820</v>
      </c>
      <c r="E161" s="229">
        <f>+E50</f>
        <v>39726318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19019832</v>
      </c>
      <c r="D162" s="229">
        <f>+D54</f>
        <v>16352315</v>
      </c>
      <c r="E162" s="229">
        <f>+E54</f>
        <v>16917039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471460</v>
      </c>
      <c r="D164" s="229">
        <f>+D45</f>
        <v>251298</v>
      </c>
      <c r="E164" s="229">
        <f>+E45</f>
        <v>36334</v>
      </c>
    </row>
    <row r="165" spans="1:6" ht="20.100000000000001" customHeight="1" x14ac:dyDescent="0.2">
      <c r="A165" s="226">
        <v>13</v>
      </c>
      <c r="B165" s="224" t="s">
        <v>417</v>
      </c>
      <c r="C165" s="230">
        <v>567688</v>
      </c>
      <c r="D165" s="229">
        <v>445300</v>
      </c>
      <c r="E165" s="229">
        <v>439996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108624719</v>
      </c>
      <c r="D166" s="229">
        <f>SUM(D160:D165)</f>
        <v>103906355</v>
      </c>
      <c r="E166" s="229">
        <f>SUM(E160:E165)</f>
        <v>105364991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1425</v>
      </c>
      <c r="D169" s="218">
        <v>1099</v>
      </c>
      <c r="E169" s="218">
        <v>1728</v>
      </c>
    </row>
    <row r="170" spans="1:6" ht="20.100000000000001" customHeight="1" x14ac:dyDescent="0.2">
      <c r="A170" s="226">
        <v>2</v>
      </c>
      <c r="B170" s="224" t="s">
        <v>420</v>
      </c>
      <c r="C170" s="218">
        <v>2208</v>
      </c>
      <c r="D170" s="218">
        <v>1947</v>
      </c>
      <c r="E170" s="218">
        <v>1804</v>
      </c>
    </row>
    <row r="171" spans="1:6" ht="20.100000000000001" customHeight="1" x14ac:dyDescent="0.2">
      <c r="A171" s="226">
        <v>3</v>
      </c>
      <c r="B171" s="224" t="s">
        <v>421</v>
      </c>
      <c r="C171" s="218">
        <v>1427</v>
      </c>
      <c r="D171" s="218">
        <v>1265</v>
      </c>
      <c r="E171" s="218">
        <v>948</v>
      </c>
    </row>
    <row r="172" spans="1:6" ht="20.100000000000001" customHeight="1" x14ac:dyDescent="0.2">
      <c r="A172" s="226">
        <v>4</v>
      </c>
      <c r="B172" s="224" t="s">
        <v>422</v>
      </c>
      <c r="C172" s="218">
        <v>1427</v>
      </c>
      <c r="D172" s="218">
        <v>1265</v>
      </c>
      <c r="E172" s="218">
        <v>948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37</v>
      </c>
      <c r="D174" s="218">
        <v>20</v>
      </c>
      <c r="E174" s="218">
        <v>31</v>
      </c>
    </row>
    <row r="175" spans="1:6" ht="20.100000000000001" customHeight="1" x14ac:dyDescent="0.2">
      <c r="A175" s="226">
        <v>7</v>
      </c>
      <c r="B175" s="224" t="s">
        <v>425</v>
      </c>
      <c r="C175" s="218">
        <v>71</v>
      </c>
      <c r="D175" s="218">
        <v>59</v>
      </c>
      <c r="E175" s="218">
        <v>61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5097</v>
      </c>
      <c r="D176" s="218">
        <f>+D169+D170+D171+D174</f>
        <v>4331</v>
      </c>
      <c r="E176" s="218">
        <f>+E169+E170+E171+E174</f>
        <v>4511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1.0543</v>
      </c>
      <c r="D179" s="231">
        <v>0.95760000000000001</v>
      </c>
      <c r="E179" s="231">
        <v>0.96589999999999998</v>
      </c>
    </row>
    <row r="180" spans="1:6" ht="20.100000000000001" customHeight="1" x14ac:dyDescent="0.2">
      <c r="A180" s="226">
        <v>2</v>
      </c>
      <c r="B180" s="224" t="s">
        <v>420</v>
      </c>
      <c r="C180" s="231">
        <v>1.1484000000000001</v>
      </c>
      <c r="D180" s="231">
        <v>1.2448999999999999</v>
      </c>
      <c r="E180" s="231">
        <v>1.1778</v>
      </c>
    </row>
    <row r="181" spans="1:6" ht="20.100000000000001" customHeight="1" x14ac:dyDescent="0.2">
      <c r="A181" s="226">
        <v>3</v>
      </c>
      <c r="B181" s="224" t="s">
        <v>421</v>
      </c>
      <c r="C181" s="231">
        <v>0.83</v>
      </c>
      <c r="D181" s="231">
        <v>0.89239999999999997</v>
      </c>
      <c r="E181" s="231">
        <v>0.89770000000000005</v>
      </c>
    </row>
    <row r="182" spans="1:6" ht="20.100000000000001" customHeight="1" x14ac:dyDescent="0.2">
      <c r="A182" s="226">
        <v>4</v>
      </c>
      <c r="B182" s="224" t="s">
        <v>422</v>
      </c>
      <c r="C182" s="231">
        <v>0.83</v>
      </c>
      <c r="D182" s="231">
        <v>0.89239999999999997</v>
      </c>
      <c r="E182" s="231">
        <v>0.89770000000000005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0.54179999999999995</v>
      </c>
      <c r="D184" s="231">
        <v>1.1019000000000001</v>
      </c>
      <c r="E184" s="231">
        <v>0.73329999999999995</v>
      </c>
    </row>
    <row r="185" spans="1:6" ht="20.100000000000001" customHeight="1" x14ac:dyDescent="0.2">
      <c r="A185" s="226">
        <v>7</v>
      </c>
      <c r="B185" s="224" t="s">
        <v>425</v>
      </c>
      <c r="C185" s="231">
        <v>0.95209999999999995</v>
      </c>
      <c r="D185" s="231">
        <v>0.89780000000000004</v>
      </c>
      <c r="E185" s="231">
        <v>0.88460000000000005</v>
      </c>
    </row>
    <row r="186" spans="1:6" ht="20.100000000000001" customHeight="1" x14ac:dyDescent="0.2">
      <c r="A186" s="226">
        <v>8</v>
      </c>
      <c r="B186" s="224" t="s">
        <v>429</v>
      </c>
      <c r="C186" s="231">
        <v>1.028546</v>
      </c>
      <c r="D186" s="231">
        <v>1.068378</v>
      </c>
      <c r="E186" s="231">
        <v>1.03471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3285</v>
      </c>
      <c r="D189" s="218">
        <v>2777</v>
      </c>
      <c r="E189" s="218">
        <v>2856</v>
      </c>
    </row>
    <row r="190" spans="1:6" ht="20.100000000000001" customHeight="1" x14ac:dyDescent="0.2">
      <c r="A190" s="226">
        <v>2</v>
      </c>
      <c r="B190" s="224" t="s">
        <v>433</v>
      </c>
      <c r="C190" s="218">
        <v>24726</v>
      </c>
      <c r="D190" s="218">
        <v>21491</v>
      </c>
      <c r="E190" s="218">
        <v>23609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28011</v>
      </c>
      <c r="D191" s="218">
        <f>+D190+D189</f>
        <v>24268</v>
      </c>
      <c r="E191" s="218">
        <f>+E190+E189</f>
        <v>26465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FILING&amp;RDAY KIMBALL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68020</v>
      </c>
      <c r="D14" s="258">
        <v>94676</v>
      </c>
      <c r="E14" s="258">
        <f t="shared" ref="E14:E24" si="0">D14-C14</f>
        <v>26656</v>
      </c>
      <c r="F14" s="259">
        <f t="shared" ref="F14:F24" si="1">IF(C14=0,0,E14/C14)</f>
        <v>0.39188473978241695</v>
      </c>
    </row>
    <row r="15" spans="1:7" ht="20.25" customHeight="1" x14ac:dyDescent="0.3">
      <c r="A15" s="256">
        <v>2</v>
      </c>
      <c r="B15" s="257" t="s">
        <v>442</v>
      </c>
      <c r="C15" s="258">
        <v>27726</v>
      </c>
      <c r="D15" s="258">
        <v>33916</v>
      </c>
      <c r="E15" s="258">
        <f t="shared" si="0"/>
        <v>6190</v>
      </c>
      <c r="F15" s="259">
        <f t="shared" si="1"/>
        <v>0.22325614946259828</v>
      </c>
    </row>
    <row r="16" spans="1:7" ht="20.25" customHeight="1" x14ac:dyDescent="0.3">
      <c r="A16" s="256">
        <v>3</v>
      </c>
      <c r="B16" s="257" t="s">
        <v>443</v>
      </c>
      <c r="C16" s="258">
        <v>400293</v>
      </c>
      <c r="D16" s="258">
        <v>125020</v>
      </c>
      <c r="E16" s="258">
        <f t="shared" si="0"/>
        <v>-275273</v>
      </c>
      <c r="F16" s="259">
        <f t="shared" si="1"/>
        <v>-0.68767877529709487</v>
      </c>
    </row>
    <row r="17" spans="1:6" ht="20.25" customHeight="1" x14ac:dyDescent="0.3">
      <c r="A17" s="256">
        <v>4</v>
      </c>
      <c r="B17" s="257" t="s">
        <v>444</v>
      </c>
      <c r="C17" s="258">
        <v>142186</v>
      </c>
      <c r="D17" s="258">
        <v>78844</v>
      </c>
      <c r="E17" s="258">
        <f t="shared" si="0"/>
        <v>-63342</v>
      </c>
      <c r="F17" s="259">
        <f t="shared" si="1"/>
        <v>-0.44548689744419284</v>
      </c>
    </row>
    <row r="18" spans="1:6" ht="20.25" customHeight="1" x14ac:dyDescent="0.3">
      <c r="A18" s="256">
        <v>5</v>
      </c>
      <c r="B18" s="257" t="s">
        <v>381</v>
      </c>
      <c r="C18" s="260">
        <v>7</v>
      </c>
      <c r="D18" s="260">
        <v>5</v>
      </c>
      <c r="E18" s="260">
        <f t="shared" si="0"/>
        <v>-2</v>
      </c>
      <c r="F18" s="259">
        <f t="shared" si="1"/>
        <v>-0.2857142857142857</v>
      </c>
    </row>
    <row r="19" spans="1:6" ht="20.25" customHeight="1" x14ac:dyDescent="0.3">
      <c r="A19" s="256">
        <v>6</v>
      </c>
      <c r="B19" s="257" t="s">
        <v>380</v>
      </c>
      <c r="C19" s="260">
        <v>33</v>
      </c>
      <c r="D19" s="260">
        <v>75</v>
      </c>
      <c r="E19" s="260">
        <f t="shared" si="0"/>
        <v>42</v>
      </c>
      <c r="F19" s="259">
        <f t="shared" si="1"/>
        <v>1.2727272727272727</v>
      </c>
    </row>
    <row r="20" spans="1:6" ht="20.25" customHeight="1" x14ac:dyDescent="0.3">
      <c r="A20" s="256">
        <v>7</v>
      </c>
      <c r="B20" s="257" t="s">
        <v>445</v>
      </c>
      <c r="C20" s="260">
        <v>594</v>
      </c>
      <c r="D20" s="260">
        <v>112</v>
      </c>
      <c r="E20" s="260">
        <f t="shared" si="0"/>
        <v>-482</v>
      </c>
      <c r="F20" s="259">
        <f t="shared" si="1"/>
        <v>-0.81144781144781142</v>
      </c>
    </row>
    <row r="21" spans="1:6" ht="20.25" customHeight="1" x14ac:dyDescent="0.3">
      <c r="A21" s="256">
        <v>8</v>
      </c>
      <c r="B21" s="257" t="s">
        <v>446</v>
      </c>
      <c r="C21" s="260">
        <v>26</v>
      </c>
      <c r="D21" s="260">
        <v>51</v>
      </c>
      <c r="E21" s="260">
        <f t="shared" si="0"/>
        <v>25</v>
      </c>
      <c r="F21" s="259">
        <f t="shared" si="1"/>
        <v>0.96153846153846156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2</v>
      </c>
      <c r="E22" s="260">
        <f t="shared" si="0"/>
        <v>2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468313</v>
      </c>
      <c r="D23" s="263">
        <f>+D14+D16</f>
        <v>219696</v>
      </c>
      <c r="E23" s="263">
        <f t="shared" si="0"/>
        <v>-248617</v>
      </c>
      <c r="F23" s="264">
        <f t="shared" si="1"/>
        <v>-0.53087785305981261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169912</v>
      </c>
      <c r="D24" s="263">
        <f>+D15+D17</f>
        <v>112760</v>
      </c>
      <c r="E24" s="263">
        <f t="shared" si="0"/>
        <v>-57152</v>
      </c>
      <c r="F24" s="264">
        <f t="shared" si="1"/>
        <v>-0.33636235227647254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17</v>
      </c>
      <c r="D29" s="258">
        <v>225</v>
      </c>
      <c r="E29" s="258">
        <f t="shared" si="2"/>
        <v>208</v>
      </c>
      <c r="F29" s="259">
        <f t="shared" si="3"/>
        <v>12.235294117647058</v>
      </c>
    </row>
    <row r="30" spans="1:6" ht="20.25" customHeight="1" x14ac:dyDescent="0.3">
      <c r="A30" s="256">
        <v>4</v>
      </c>
      <c r="B30" s="257" t="s">
        <v>444</v>
      </c>
      <c r="C30" s="258">
        <v>17</v>
      </c>
      <c r="D30" s="258">
        <v>225</v>
      </c>
      <c r="E30" s="258">
        <f t="shared" si="2"/>
        <v>208</v>
      </c>
      <c r="F30" s="259">
        <f t="shared" si="3"/>
        <v>12.235294117647058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1</v>
      </c>
      <c r="D33" s="260">
        <v>1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17</v>
      </c>
      <c r="D36" s="263">
        <f>+D27+D29</f>
        <v>225</v>
      </c>
      <c r="E36" s="263">
        <f t="shared" si="2"/>
        <v>208</v>
      </c>
      <c r="F36" s="264">
        <f t="shared" si="3"/>
        <v>12.235294117647058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17</v>
      </c>
      <c r="D37" s="263">
        <f>+D28+D30</f>
        <v>225</v>
      </c>
      <c r="E37" s="263">
        <f t="shared" si="2"/>
        <v>208</v>
      </c>
      <c r="F37" s="264">
        <f t="shared" si="3"/>
        <v>12.235294117647058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2005918</v>
      </c>
      <c r="D40" s="258">
        <v>2496261</v>
      </c>
      <c r="E40" s="258">
        <f t="shared" ref="E40:E50" si="4">D40-C40</f>
        <v>490343</v>
      </c>
      <c r="F40" s="259">
        <f t="shared" ref="F40:F50" si="5">IF(C40=0,0,E40/C40)</f>
        <v>0.2444481778417662</v>
      </c>
    </row>
    <row r="41" spans="1:6" ht="20.25" customHeight="1" x14ac:dyDescent="0.3">
      <c r="A41" s="256">
        <v>2</v>
      </c>
      <c r="B41" s="257" t="s">
        <v>442</v>
      </c>
      <c r="C41" s="258">
        <v>1000168</v>
      </c>
      <c r="D41" s="258">
        <v>1234454</v>
      </c>
      <c r="E41" s="258">
        <f t="shared" si="4"/>
        <v>234286</v>
      </c>
      <c r="F41" s="259">
        <f t="shared" si="5"/>
        <v>0.23424664656337735</v>
      </c>
    </row>
    <row r="42" spans="1:6" ht="20.25" customHeight="1" x14ac:dyDescent="0.3">
      <c r="A42" s="256">
        <v>3</v>
      </c>
      <c r="B42" s="257" t="s">
        <v>443</v>
      </c>
      <c r="C42" s="258">
        <v>4715363</v>
      </c>
      <c r="D42" s="258">
        <v>5243879</v>
      </c>
      <c r="E42" s="258">
        <f t="shared" si="4"/>
        <v>528516</v>
      </c>
      <c r="F42" s="259">
        <f t="shared" si="5"/>
        <v>0.11208384168938849</v>
      </c>
    </row>
    <row r="43" spans="1:6" ht="20.25" customHeight="1" x14ac:dyDescent="0.3">
      <c r="A43" s="256">
        <v>4</v>
      </c>
      <c r="B43" s="257" t="s">
        <v>444</v>
      </c>
      <c r="C43" s="258">
        <v>1610089</v>
      </c>
      <c r="D43" s="258">
        <v>1854117</v>
      </c>
      <c r="E43" s="258">
        <f t="shared" si="4"/>
        <v>244028</v>
      </c>
      <c r="F43" s="259">
        <f t="shared" si="5"/>
        <v>0.15156180807396361</v>
      </c>
    </row>
    <row r="44" spans="1:6" ht="20.25" customHeight="1" x14ac:dyDescent="0.3">
      <c r="A44" s="256">
        <v>5</v>
      </c>
      <c r="B44" s="257" t="s">
        <v>381</v>
      </c>
      <c r="C44" s="260">
        <v>113</v>
      </c>
      <c r="D44" s="260">
        <v>134</v>
      </c>
      <c r="E44" s="260">
        <f t="shared" si="4"/>
        <v>21</v>
      </c>
      <c r="F44" s="259">
        <f t="shared" si="5"/>
        <v>0.18584070796460178</v>
      </c>
    </row>
    <row r="45" spans="1:6" ht="20.25" customHeight="1" x14ac:dyDescent="0.3">
      <c r="A45" s="256">
        <v>6</v>
      </c>
      <c r="B45" s="257" t="s">
        <v>380</v>
      </c>
      <c r="C45" s="260">
        <v>398</v>
      </c>
      <c r="D45" s="260">
        <v>500</v>
      </c>
      <c r="E45" s="260">
        <f t="shared" si="4"/>
        <v>102</v>
      </c>
      <c r="F45" s="259">
        <f t="shared" si="5"/>
        <v>0.25628140703517588</v>
      </c>
    </row>
    <row r="46" spans="1:6" ht="20.25" customHeight="1" x14ac:dyDescent="0.3">
      <c r="A46" s="256">
        <v>7</v>
      </c>
      <c r="B46" s="257" t="s">
        <v>445</v>
      </c>
      <c r="C46" s="260">
        <v>8007</v>
      </c>
      <c r="D46" s="260">
        <v>6478</v>
      </c>
      <c r="E46" s="260">
        <f t="shared" si="4"/>
        <v>-1529</v>
      </c>
      <c r="F46" s="259">
        <f t="shared" si="5"/>
        <v>-0.19095791182715124</v>
      </c>
    </row>
    <row r="47" spans="1:6" ht="20.25" customHeight="1" x14ac:dyDescent="0.3">
      <c r="A47" s="256">
        <v>8</v>
      </c>
      <c r="B47" s="257" t="s">
        <v>446</v>
      </c>
      <c r="C47" s="260">
        <v>258</v>
      </c>
      <c r="D47" s="260">
        <v>656</v>
      </c>
      <c r="E47" s="260">
        <f t="shared" si="4"/>
        <v>398</v>
      </c>
      <c r="F47" s="259">
        <f t="shared" si="5"/>
        <v>1.5426356589147288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105</v>
      </c>
      <c r="E48" s="260">
        <f t="shared" si="4"/>
        <v>105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6721281</v>
      </c>
      <c r="D49" s="263">
        <f>+D40+D42</f>
        <v>7740140</v>
      </c>
      <c r="E49" s="263">
        <f t="shared" si="4"/>
        <v>1018859</v>
      </c>
      <c r="F49" s="264">
        <f t="shared" si="5"/>
        <v>0.15158702634215115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2610257</v>
      </c>
      <c r="D50" s="263">
        <f>+D41+D43</f>
        <v>3088571</v>
      </c>
      <c r="E50" s="263">
        <f t="shared" si="4"/>
        <v>478314</v>
      </c>
      <c r="F50" s="264">
        <f t="shared" si="5"/>
        <v>0.18324402539673296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72164</v>
      </c>
      <c r="D66" s="258">
        <v>71523</v>
      </c>
      <c r="E66" s="258">
        <f t="shared" ref="E66:E76" si="8">D66-C66</f>
        <v>-641</v>
      </c>
      <c r="F66" s="259">
        <f t="shared" ref="F66:F76" si="9">IF(C66=0,0,E66/C66)</f>
        <v>-8.8825453134526913E-3</v>
      </c>
    </row>
    <row r="67" spans="1:6" ht="20.25" customHeight="1" x14ac:dyDescent="0.3">
      <c r="A67" s="256">
        <v>2</v>
      </c>
      <c r="B67" s="257" t="s">
        <v>442</v>
      </c>
      <c r="C67" s="258">
        <v>27400</v>
      </c>
      <c r="D67" s="258">
        <v>71370</v>
      </c>
      <c r="E67" s="258">
        <f t="shared" si="8"/>
        <v>43970</v>
      </c>
      <c r="F67" s="259">
        <f t="shared" si="9"/>
        <v>1.6047445255474453</v>
      </c>
    </row>
    <row r="68" spans="1:6" ht="20.25" customHeight="1" x14ac:dyDescent="0.3">
      <c r="A68" s="256">
        <v>3</v>
      </c>
      <c r="B68" s="257" t="s">
        <v>443</v>
      </c>
      <c r="C68" s="258">
        <v>97737</v>
      </c>
      <c r="D68" s="258">
        <v>116611</v>
      </c>
      <c r="E68" s="258">
        <f t="shared" si="8"/>
        <v>18874</v>
      </c>
      <c r="F68" s="259">
        <f t="shared" si="9"/>
        <v>0.19311008113611017</v>
      </c>
    </row>
    <row r="69" spans="1:6" ht="20.25" customHeight="1" x14ac:dyDescent="0.3">
      <c r="A69" s="256">
        <v>4</v>
      </c>
      <c r="B69" s="257" t="s">
        <v>444</v>
      </c>
      <c r="C69" s="258">
        <v>6257</v>
      </c>
      <c r="D69" s="258">
        <v>9200</v>
      </c>
      <c r="E69" s="258">
        <f t="shared" si="8"/>
        <v>2943</v>
      </c>
      <c r="F69" s="259">
        <f t="shared" si="9"/>
        <v>0.4703532044110596</v>
      </c>
    </row>
    <row r="70" spans="1:6" ht="20.25" customHeight="1" x14ac:dyDescent="0.3">
      <c r="A70" s="256">
        <v>5</v>
      </c>
      <c r="B70" s="257" t="s">
        <v>381</v>
      </c>
      <c r="C70" s="260">
        <v>6</v>
      </c>
      <c r="D70" s="260">
        <v>6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25</v>
      </c>
      <c r="D71" s="260">
        <v>29</v>
      </c>
      <c r="E71" s="260">
        <f t="shared" si="8"/>
        <v>4</v>
      </c>
      <c r="F71" s="259">
        <f t="shared" si="9"/>
        <v>0.16</v>
      </c>
    </row>
    <row r="72" spans="1:6" ht="20.25" customHeight="1" x14ac:dyDescent="0.3">
      <c r="A72" s="256">
        <v>7</v>
      </c>
      <c r="B72" s="257" t="s">
        <v>445</v>
      </c>
      <c r="C72" s="260">
        <v>75</v>
      </c>
      <c r="D72" s="260">
        <v>55</v>
      </c>
      <c r="E72" s="260">
        <f t="shared" si="8"/>
        <v>-20</v>
      </c>
      <c r="F72" s="259">
        <f t="shared" si="9"/>
        <v>-0.26666666666666666</v>
      </c>
    </row>
    <row r="73" spans="1:6" ht="20.25" customHeight="1" x14ac:dyDescent="0.3">
      <c r="A73" s="256">
        <v>8</v>
      </c>
      <c r="B73" s="257" t="s">
        <v>446</v>
      </c>
      <c r="C73" s="260">
        <v>24</v>
      </c>
      <c r="D73" s="260">
        <v>50</v>
      </c>
      <c r="E73" s="260">
        <f t="shared" si="8"/>
        <v>26</v>
      </c>
      <c r="F73" s="259">
        <f t="shared" si="9"/>
        <v>1.0833333333333333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6</v>
      </c>
      <c r="E74" s="260">
        <f t="shared" si="8"/>
        <v>6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169901</v>
      </c>
      <c r="D75" s="263">
        <f>+D66+D68</f>
        <v>188134</v>
      </c>
      <c r="E75" s="263">
        <f t="shared" si="8"/>
        <v>18233</v>
      </c>
      <c r="F75" s="264">
        <f t="shared" si="9"/>
        <v>0.10731543663662957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33657</v>
      </c>
      <c r="D76" s="263">
        <f>+D67+D69</f>
        <v>80570</v>
      </c>
      <c r="E76" s="263">
        <f t="shared" si="8"/>
        <v>46913</v>
      </c>
      <c r="F76" s="264">
        <f t="shared" si="9"/>
        <v>1.3938556615265769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4686174</v>
      </c>
      <c r="D92" s="258">
        <v>4566877</v>
      </c>
      <c r="E92" s="258">
        <f t="shared" ref="E92:E102" si="12">D92-C92</f>
        <v>-119297</v>
      </c>
      <c r="F92" s="259">
        <f t="shared" ref="F92:F102" si="13">IF(C92=0,0,E92/C92)</f>
        <v>-2.5457228007325378E-2</v>
      </c>
    </row>
    <row r="93" spans="1:6" ht="20.25" customHeight="1" x14ac:dyDescent="0.3">
      <c r="A93" s="256">
        <v>2</v>
      </c>
      <c r="B93" s="257" t="s">
        <v>442</v>
      </c>
      <c r="C93" s="258">
        <v>2289200</v>
      </c>
      <c r="D93" s="258">
        <v>2180397</v>
      </c>
      <c r="E93" s="258">
        <f t="shared" si="12"/>
        <v>-108803</v>
      </c>
      <c r="F93" s="259">
        <f t="shared" si="13"/>
        <v>-4.7528831032675169E-2</v>
      </c>
    </row>
    <row r="94" spans="1:6" ht="20.25" customHeight="1" x14ac:dyDescent="0.3">
      <c r="A94" s="256">
        <v>3</v>
      </c>
      <c r="B94" s="257" t="s">
        <v>443</v>
      </c>
      <c r="C94" s="258">
        <v>7186575</v>
      </c>
      <c r="D94" s="258">
        <v>7515095</v>
      </c>
      <c r="E94" s="258">
        <f t="shared" si="12"/>
        <v>328520</v>
      </c>
      <c r="F94" s="259">
        <f t="shared" si="13"/>
        <v>4.5713013500867941E-2</v>
      </c>
    </row>
    <row r="95" spans="1:6" ht="20.25" customHeight="1" x14ac:dyDescent="0.3">
      <c r="A95" s="256">
        <v>4</v>
      </c>
      <c r="B95" s="257" t="s">
        <v>444</v>
      </c>
      <c r="C95" s="258">
        <v>2769805</v>
      </c>
      <c r="D95" s="258">
        <v>2525812</v>
      </c>
      <c r="E95" s="258">
        <f t="shared" si="12"/>
        <v>-243993</v>
      </c>
      <c r="F95" s="259">
        <f t="shared" si="13"/>
        <v>-8.8090316827357878E-2</v>
      </c>
    </row>
    <row r="96" spans="1:6" ht="20.25" customHeight="1" x14ac:dyDescent="0.3">
      <c r="A96" s="256">
        <v>5</v>
      </c>
      <c r="B96" s="257" t="s">
        <v>381</v>
      </c>
      <c r="C96" s="260">
        <v>248</v>
      </c>
      <c r="D96" s="260">
        <v>260</v>
      </c>
      <c r="E96" s="260">
        <f t="shared" si="12"/>
        <v>12</v>
      </c>
      <c r="F96" s="259">
        <f t="shared" si="13"/>
        <v>4.8387096774193547E-2</v>
      </c>
    </row>
    <row r="97" spans="1:6" ht="20.25" customHeight="1" x14ac:dyDescent="0.3">
      <c r="A97" s="256">
        <v>6</v>
      </c>
      <c r="B97" s="257" t="s">
        <v>380</v>
      </c>
      <c r="C97" s="260">
        <v>1106</v>
      </c>
      <c r="D97" s="260">
        <v>904</v>
      </c>
      <c r="E97" s="260">
        <f t="shared" si="12"/>
        <v>-202</v>
      </c>
      <c r="F97" s="259">
        <f t="shared" si="13"/>
        <v>-0.18264014466546113</v>
      </c>
    </row>
    <row r="98" spans="1:6" ht="20.25" customHeight="1" x14ac:dyDescent="0.3">
      <c r="A98" s="256">
        <v>7</v>
      </c>
      <c r="B98" s="257" t="s">
        <v>445</v>
      </c>
      <c r="C98" s="260">
        <v>13573</v>
      </c>
      <c r="D98" s="260">
        <v>10037</v>
      </c>
      <c r="E98" s="260">
        <f t="shared" si="12"/>
        <v>-3536</v>
      </c>
      <c r="F98" s="259">
        <f t="shared" si="13"/>
        <v>-0.2605172032712002</v>
      </c>
    </row>
    <row r="99" spans="1:6" ht="20.25" customHeight="1" x14ac:dyDescent="0.3">
      <c r="A99" s="256">
        <v>8</v>
      </c>
      <c r="B99" s="257" t="s">
        <v>446</v>
      </c>
      <c r="C99" s="260">
        <v>604</v>
      </c>
      <c r="D99" s="260">
        <v>1358</v>
      </c>
      <c r="E99" s="260">
        <f t="shared" si="12"/>
        <v>754</v>
      </c>
      <c r="F99" s="259">
        <f t="shared" si="13"/>
        <v>1.2483443708609272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201</v>
      </c>
      <c r="E100" s="260">
        <f t="shared" si="12"/>
        <v>201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11872749</v>
      </c>
      <c r="D101" s="263">
        <f>+D92+D94</f>
        <v>12081972</v>
      </c>
      <c r="E101" s="263">
        <f t="shared" si="12"/>
        <v>209223</v>
      </c>
      <c r="F101" s="264">
        <f t="shared" si="13"/>
        <v>1.7622119359214955E-2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5059005</v>
      </c>
      <c r="D102" s="263">
        <f>+D93+D95</f>
        <v>4706209</v>
      </c>
      <c r="E102" s="263">
        <f t="shared" si="12"/>
        <v>-352796</v>
      </c>
      <c r="F102" s="264">
        <f t="shared" si="13"/>
        <v>-6.9736242601064841E-2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28899</v>
      </c>
      <c r="D118" s="258">
        <v>71612</v>
      </c>
      <c r="E118" s="258">
        <f t="shared" ref="E118:E128" si="16">D118-C118</f>
        <v>42713</v>
      </c>
      <c r="F118" s="259">
        <f t="shared" ref="F118:F128" si="17">IF(C118=0,0,E118/C118)</f>
        <v>1.4780096197100245</v>
      </c>
    </row>
    <row r="119" spans="1:6" ht="20.25" customHeight="1" x14ac:dyDescent="0.3">
      <c r="A119" s="256">
        <v>2</v>
      </c>
      <c r="B119" s="257" t="s">
        <v>442</v>
      </c>
      <c r="C119" s="258">
        <v>24873</v>
      </c>
      <c r="D119" s="258">
        <v>31120</v>
      </c>
      <c r="E119" s="258">
        <f t="shared" si="16"/>
        <v>6247</v>
      </c>
      <c r="F119" s="259">
        <f t="shared" si="17"/>
        <v>0.25115587182889076</v>
      </c>
    </row>
    <row r="120" spans="1:6" ht="20.25" customHeight="1" x14ac:dyDescent="0.3">
      <c r="A120" s="256">
        <v>3</v>
      </c>
      <c r="B120" s="257" t="s">
        <v>443</v>
      </c>
      <c r="C120" s="258">
        <v>110727</v>
      </c>
      <c r="D120" s="258">
        <v>181080</v>
      </c>
      <c r="E120" s="258">
        <f t="shared" si="16"/>
        <v>70353</v>
      </c>
      <c r="F120" s="259">
        <f t="shared" si="17"/>
        <v>0.6353734861415915</v>
      </c>
    </row>
    <row r="121" spans="1:6" ht="20.25" customHeight="1" x14ac:dyDescent="0.3">
      <c r="A121" s="256">
        <v>4</v>
      </c>
      <c r="B121" s="257" t="s">
        <v>444</v>
      </c>
      <c r="C121" s="258">
        <v>39677</v>
      </c>
      <c r="D121" s="258">
        <v>60902</v>
      </c>
      <c r="E121" s="258">
        <f t="shared" si="16"/>
        <v>21225</v>
      </c>
      <c r="F121" s="259">
        <f t="shared" si="17"/>
        <v>0.53494467827708747</v>
      </c>
    </row>
    <row r="122" spans="1:6" ht="20.25" customHeight="1" x14ac:dyDescent="0.3">
      <c r="A122" s="256">
        <v>5</v>
      </c>
      <c r="B122" s="257" t="s">
        <v>381</v>
      </c>
      <c r="C122" s="260">
        <v>3</v>
      </c>
      <c r="D122" s="260">
        <v>4</v>
      </c>
      <c r="E122" s="260">
        <f t="shared" si="16"/>
        <v>1</v>
      </c>
      <c r="F122" s="259">
        <f t="shared" si="17"/>
        <v>0.33333333333333331</v>
      </c>
    </row>
    <row r="123" spans="1:6" ht="20.25" customHeight="1" x14ac:dyDescent="0.3">
      <c r="A123" s="256">
        <v>6</v>
      </c>
      <c r="B123" s="257" t="s">
        <v>380</v>
      </c>
      <c r="C123" s="260">
        <v>12</v>
      </c>
      <c r="D123" s="260">
        <v>21</v>
      </c>
      <c r="E123" s="260">
        <f t="shared" si="16"/>
        <v>9</v>
      </c>
      <c r="F123" s="259">
        <f t="shared" si="17"/>
        <v>0.75</v>
      </c>
    </row>
    <row r="124" spans="1:6" ht="20.25" customHeight="1" x14ac:dyDescent="0.3">
      <c r="A124" s="256">
        <v>7</v>
      </c>
      <c r="B124" s="257" t="s">
        <v>445</v>
      </c>
      <c r="C124" s="260">
        <v>256</v>
      </c>
      <c r="D124" s="260">
        <v>247</v>
      </c>
      <c r="E124" s="260">
        <f t="shared" si="16"/>
        <v>-9</v>
      </c>
      <c r="F124" s="259">
        <f t="shared" si="17"/>
        <v>-3.515625E-2</v>
      </c>
    </row>
    <row r="125" spans="1:6" ht="20.25" customHeight="1" x14ac:dyDescent="0.3">
      <c r="A125" s="256">
        <v>8</v>
      </c>
      <c r="B125" s="257" t="s">
        <v>446</v>
      </c>
      <c r="C125" s="260">
        <v>3</v>
      </c>
      <c r="D125" s="260">
        <v>26</v>
      </c>
      <c r="E125" s="260">
        <f t="shared" si="16"/>
        <v>23</v>
      </c>
      <c r="F125" s="259">
        <f t="shared" si="17"/>
        <v>7.666666666666667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5</v>
      </c>
      <c r="E126" s="260">
        <f t="shared" si="16"/>
        <v>5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139626</v>
      </c>
      <c r="D127" s="263">
        <f>+D118+D120</f>
        <v>252692</v>
      </c>
      <c r="E127" s="263">
        <f t="shared" si="16"/>
        <v>113066</v>
      </c>
      <c r="F127" s="264">
        <f t="shared" si="17"/>
        <v>0.80977754859410134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64550</v>
      </c>
      <c r="D128" s="263">
        <f>+D119+D121</f>
        <v>92022</v>
      </c>
      <c r="E128" s="263">
        <f t="shared" si="16"/>
        <v>27472</v>
      </c>
      <c r="F128" s="264">
        <f t="shared" si="17"/>
        <v>0.42559256390395045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30540</v>
      </c>
      <c r="E131" s="258">
        <f t="shared" ref="E131:E141" si="18">D131-C131</f>
        <v>30540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6877</v>
      </c>
      <c r="E132" s="258">
        <f t="shared" si="18"/>
        <v>6877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40117</v>
      </c>
      <c r="E133" s="258">
        <f t="shared" si="18"/>
        <v>40117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10866</v>
      </c>
      <c r="E134" s="258">
        <f t="shared" si="18"/>
        <v>10866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2</v>
      </c>
      <c r="E135" s="260">
        <f t="shared" si="18"/>
        <v>2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7</v>
      </c>
      <c r="E136" s="260">
        <f t="shared" si="18"/>
        <v>7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1</v>
      </c>
      <c r="E137" s="260">
        <f t="shared" si="18"/>
        <v>1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12</v>
      </c>
      <c r="E138" s="260">
        <f t="shared" si="18"/>
        <v>12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2</v>
      </c>
      <c r="E139" s="260">
        <f t="shared" si="18"/>
        <v>2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70657</v>
      </c>
      <c r="E140" s="263">
        <f t="shared" si="18"/>
        <v>70657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17743</v>
      </c>
      <c r="E141" s="263">
        <f t="shared" si="18"/>
        <v>17743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20386</v>
      </c>
      <c r="D183" s="258">
        <v>0</v>
      </c>
      <c r="E183" s="258">
        <f t="shared" ref="E183:E193" si="26">D183-C183</f>
        <v>-20386</v>
      </c>
      <c r="F183" s="259">
        <f t="shared" ref="F183:F193" si="27">IF(C183=0,0,E183/C183)</f>
        <v>-1</v>
      </c>
    </row>
    <row r="184" spans="1:6" ht="20.25" customHeight="1" x14ac:dyDescent="0.3">
      <c r="A184" s="256">
        <v>2</v>
      </c>
      <c r="B184" s="257" t="s">
        <v>442</v>
      </c>
      <c r="C184" s="258">
        <v>8582</v>
      </c>
      <c r="D184" s="258">
        <v>0</v>
      </c>
      <c r="E184" s="258">
        <f t="shared" si="26"/>
        <v>-8582</v>
      </c>
      <c r="F184" s="259">
        <f t="shared" si="27"/>
        <v>-1</v>
      </c>
    </row>
    <row r="185" spans="1:6" ht="20.25" customHeight="1" x14ac:dyDescent="0.3">
      <c r="A185" s="256">
        <v>3</v>
      </c>
      <c r="B185" s="257" t="s">
        <v>443</v>
      </c>
      <c r="C185" s="258">
        <v>29618</v>
      </c>
      <c r="D185" s="258">
        <v>3414</v>
      </c>
      <c r="E185" s="258">
        <f t="shared" si="26"/>
        <v>-26204</v>
      </c>
      <c r="F185" s="259">
        <f t="shared" si="27"/>
        <v>-0.88473225741103378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1134</v>
      </c>
      <c r="E186" s="258">
        <f t="shared" si="26"/>
        <v>1134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1</v>
      </c>
      <c r="D187" s="260">
        <v>0</v>
      </c>
      <c r="E187" s="260">
        <f t="shared" si="26"/>
        <v>-1</v>
      </c>
      <c r="F187" s="259">
        <f t="shared" si="27"/>
        <v>-1</v>
      </c>
    </row>
    <row r="188" spans="1:6" ht="20.25" customHeight="1" x14ac:dyDescent="0.3">
      <c r="A188" s="256">
        <v>6</v>
      </c>
      <c r="B188" s="257" t="s">
        <v>380</v>
      </c>
      <c r="C188" s="260">
        <v>6</v>
      </c>
      <c r="D188" s="260">
        <v>0</v>
      </c>
      <c r="E188" s="260">
        <f t="shared" si="26"/>
        <v>-6</v>
      </c>
      <c r="F188" s="259">
        <f t="shared" si="27"/>
        <v>-1</v>
      </c>
    </row>
    <row r="189" spans="1:6" ht="20.25" customHeight="1" x14ac:dyDescent="0.3">
      <c r="A189" s="256">
        <v>7</v>
      </c>
      <c r="B189" s="257" t="s">
        <v>445</v>
      </c>
      <c r="C189" s="260">
        <v>79</v>
      </c>
      <c r="D189" s="260">
        <v>8</v>
      </c>
      <c r="E189" s="260">
        <f t="shared" si="26"/>
        <v>-71</v>
      </c>
      <c r="F189" s="259">
        <f t="shared" si="27"/>
        <v>-0.89873417721518989</v>
      </c>
    </row>
    <row r="190" spans="1:6" ht="20.25" customHeight="1" x14ac:dyDescent="0.3">
      <c r="A190" s="256">
        <v>8</v>
      </c>
      <c r="B190" s="257" t="s">
        <v>446</v>
      </c>
      <c r="C190" s="260">
        <v>3</v>
      </c>
      <c r="D190" s="260">
        <v>0</v>
      </c>
      <c r="E190" s="260">
        <f t="shared" si="26"/>
        <v>-3</v>
      </c>
      <c r="F190" s="259">
        <f t="shared" si="27"/>
        <v>-1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50004</v>
      </c>
      <c r="D192" s="263">
        <f>+D183+D185</f>
        <v>3414</v>
      </c>
      <c r="E192" s="263">
        <f t="shared" si="26"/>
        <v>-46590</v>
      </c>
      <c r="F192" s="264">
        <f t="shared" si="27"/>
        <v>-0.93172546196304296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8582</v>
      </c>
      <c r="D193" s="263">
        <f>+D184+D186</f>
        <v>1134</v>
      </c>
      <c r="E193" s="263">
        <f t="shared" si="26"/>
        <v>-7448</v>
      </c>
      <c r="F193" s="264">
        <f t="shared" si="27"/>
        <v>-0.86786296900489401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6881561</v>
      </c>
      <c r="D198" s="263">
        <f t="shared" si="28"/>
        <v>7331489</v>
      </c>
      <c r="E198" s="263">
        <f t="shared" ref="E198:E208" si="29">D198-C198</f>
        <v>449928</v>
      </c>
      <c r="F198" s="273">
        <f t="shared" ref="F198:F208" si="30">IF(C198=0,0,E198/C198)</f>
        <v>6.5381677209574982E-2</v>
      </c>
    </row>
    <row r="199" spans="1:9" ht="20.25" customHeight="1" x14ac:dyDescent="0.3">
      <c r="A199" s="271"/>
      <c r="B199" s="272" t="s">
        <v>466</v>
      </c>
      <c r="C199" s="263">
        <f t="shared" si="28"/>
        <v>3377949</v>
      </c>
      <c r="D199" s="263">
        <f t="shared" si="28"/>
        <v>3558134</v>
      </c>
      <c r="E199" s="263">
        <f t="shared" si="29"/>
        <v>180185</v>
      </c>
      <c r="F199" s="273">
        <f t="shared" si="30"/>
        <v>5.3341539496303825E-2</v>
      </c>
    </row>
    <row r="200" spans="1:9" ht="20.25" customHeight="1" x14ac:dyDescent="0.3">
      <c r="A200" s="271"/>
      <c r="B200" s="272" t="s">
        <v>467</v>
      </c>
      <c r="C200" s="263">
        <f t="shared" si="28"/>
        <v>12540330</v>
      </c>
      <c r="D200" s="263">
        <f t="shared" si="28"/>
        <v>13225441</v>
      </c>
      <c r="E200" s="263">
        <f t="shared" si="29"/>
        <v>685111</v>
      </c>
      <c r="F200" s="273">
        <f t="shared" si="30"/>
        <v>5.463261333633166E-2</v>
      </c>
    </row>
    <row r="201" spans="1:9" ht="20.25" customHeight="1" x14ac:dyDescent="0.3">
      <c r="A201" s="271"/>
      <c r="B201" s="272" t="s">
        <v>468</v>
      </c>
      <c r="C201" s="263">
        <f t="shared" si="28"/>
        <v>4568031</v>
      </c>
      <c r="D201" s="263">
        <f t="shared" si="28"/>
        <v>4541100</v>
      </c>
      <c r="E201" s="263">
        <f t="shared" si="29"/>
        <v>-26931</v>
      </c>
      <c r="F201" s="273">
        <f t="shared" si="30"/>
        <v>-5.8955379243266961E-3</v>
      </c>
    </row>
    <row r="202" spans="1:9" ht="20.25" customHeight="1" x14ac:dyDescent="0.3">
      <c r="A202" s="271"/>
      <c r="B202" s="272" t="s">
        <v>138</v>
      </c>
      <c r="C202" s="274">
        <f t="shared" si="28"/>
        <v>378</v>
      </c>
      <c r="D202" s="274">
        <f t="shared" si="28"/>
        <v>411</v>
      </c>
      <c r="E202" s="274">
        <f t="shared" si="29"/>
        <v>33</v>
      </c>
      <c r="F202" s="273">
        <f t="shared" si="30"/>
        <v>8.7301587301587297E-2</v>
      </c>
    </row>
    <row r="203" spans="1:9" ht="20.25" customHeight="1" x14ac:dyDescent="0.3">
      <c r="A203" s="271"/>
      <c r="B203" s="272" t="s">
        <v>140</v>
      </c>
      <c r="C203" s="274">
        <f t="shared" si="28"/>
        <v>1580</v>
      </c>
      <c r="D203" s="274">
        <f t="shared" si="28"/>
        <v>1536</v>
      </c>
      <c r="E203" s="274">
        <f t="shared" si="29"/>
        <v>-44</v>
      </c>
      <c r="F203" s="273">
        <f t="shared" si="30"/>
        <v>-2.7848101265822784E-2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22585</v>
      </c>
      <c r="D204" s="274">
        <f t="shared" si="28"/>
        <v>16939</v>
      </c>
      <c r="E204" s="274">
        <f t="shared" si="29"/>
        <v>-5646</v>
      </c>
      <c r="F204" s="273">
        <f t="shared" si="30"/>
        <v>-0.24998893070622094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918</v>
      </c>
      <c r="D205" s="274">
        <f t="shared" si="28"/>
        <v>2153</v>
      </c>
      <c r="E205" s="274">
        <f t="shared" si="29"/>
        <v>1235</v>
      </c>
      <c r="F205" s="273">
        <f t="shared" si="30"/>
        <v>1.3453159041394336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321</v>
      </c>
      <c r="E206" s="274">
        <f t="shared" si="29"/>
        <v>321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19421891</v>
      </c>
      <c r="D207" s="263">
        <f>+D198+D200</f>
        <v>20556930</v>
      </c>
      <c r="E207" s="263">
        <f t="shared" si="29"/>
        <v>1135039</v>
      </c>
      <c r="F207" s="273">
        <f t="shared" si="30"/>
        <v>5.8441219755584049E-2</v>
      </c>
    </row>
    <row r="208" spans="1:9" ht="20.25" customHeight="1" x14ac:dyDescent="0.3">
      <c r="A208" s="271"/>
      <c r="B208" s="262" t="s">
        <v>472</v>
      </c>
      <c r="C208" s="263">
        <f>+C199+C201</f>
        <v>7945980</v>
      </c>
      <c r="D208" s="263">
        <f>+D199+D201</f>
        <v>8099234</v>
      </c>
      <c r="E208" s="263">
        <f t="shared" si="29"/>
        <v>153254</v>
      </c>
      <c r="F208" s="273">
        <f t="shared" si="30"/>
        <v>1.9286985368702162E-2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FILING&amp;RDAY KIMBALL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141843</v>
      </c>
      <c r="D50" s="258">
        <v>103828</v>
      </c>
      <c r="E50" s="258">
        <f t="shared" ref="E50:E60" si="6">D50-C50</f>
        <v>-38015</v>
      </c>
      <c r="F50" s="259">
        <f t="shared" ref="F50:F60" si="7">IF(C50=0,0,E50/C50)</f>
        <v>-0.2680075858519631</v>
      </c>
    </row>
    <row r="51" spans="1:6" ht="20.25" customHeight="1" x14ac:dyDescent="0.3">
      <c r="A51" s="256">
        <v>2</v>
      </c>
      <c r="B51" s="257" t="s">
        <v>442</v>
      </c>
      <c r="C51" s="258">
        <v>34500</v>
      </c>
      <c r="D51" s="258">
        <v>49610</v>
      </c>
      <c r="E51" s="258">
        <f t="shared" si="6"/>
        <v>15110</v>
      </c>
      <c r="F51" s="259">
        <f t="shared" si="7"/>
        <v>0.43797101449275361</v>
      </c>
    </row>
    <row r="52" spans="1:6" ht="20.25" customHeight="1" x14ac:dyDescent="0.3">
      <c r="A52" s="256">
        <v>3</v>
      </c>
      <c r="B52" s="257" t="s">
        <v>443</v>
      </c>
      <c r="C52" s="258">
        <v>976202</v>
      </c>
      <c r="D52" s="258">
        <v>292837</v>
      </c>
      <c r="E52" s="258">
        <f t="shared" si="6"/>
        <v>-683365</v>
      </c>
      <c r="F52" s="259">
        <f t="shared" si="7"/>
        <v>-0.70002417532436934</v>
      </c>
    </row>
    <row r="53" spans="1:6" ht="20.25" customHeight="1" x14ac:dyDescent="0.3">
      <c r="A53" s="256">
        <v>4</v>
      </c>
      <c r="B53" s="257" t="s">
        <v>444</v>
      </c>
      <c r="C53" s="258">
        <v>447234</v>
      </c>
      <c r="D53" s="258">
        <v>75990</v>
      </c>
      <c r="E53" s="258">
        <f t="shared" si="6"/>
        <v>-371244</v>
      </c>
      <c r="F53" s="259">
        <f t="shared" si="7"/>
        <v>-0.83008894672587508</v>
      </c>
    </row>
    <row r="54" spans="1:6" ht="20.25" customHeight="1" x14ac:dyDescent="0.3">
      <c r="A54" s="256">
        <v>5</v>
      </c>
      <c r="B54" s="257" t="s">
        <v>381</v>
      </c>
      <c r="C54" s="260">
        <v>8</v>
      </c>
      <c r="D54" s="260">
        <v>8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42</v>
      </c>
      <c r="D55" s="260">
        <v>29</v>
      </c>
      <c r="E55" s="260">
        <f t="shared" si="6"/>
        <v>-13</v>
      </c>
      <c r="F55" s="259">
        <f t="shared" si="7"/>
        <v>-0.30952380952380953</v>
      </c>
    </row>
    <row r="56" spans="1:6" ht="20.25" customHeight="1" x14ac:dyDescent="0.3">
      <c r="A56" s="256">
        <v>7</v>
      </c>
      <c r="B56" s="257" t="s">
        <v>445</v>
      </c>
      <c r="C56" s="260">
        <v>870</v>
      </c>
      <c r="D56" s="260">
        <v>320</v>
      </c>
      <c r="E56" s="260">
        <f t="shared" si="6"/>
        <v>-550</v>
      </c>
      <c r="F56" s="259">
        <f t="shared" si="7"/>
        <v>-0.63218390804597702</v>
      </c>
    </row>
    <row r="57" spans="1:6" ht="20.25" customHeight="1" x14ac:dyDescent="0.3">
      <c r="A57" s="256">
        <v>8</v>
      </c>
      <c r="B57" s="257" t="s">
        <v>446</v>
      </c>
      <c r="C57" s="260">
        <v>41</v>
      </c>
      <c r="D57" s="260">
        <v>41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3</v>
      </c>
      <c r="E58" s="260">
        <f t="shared" si="6"/>
        <v>3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1118045</v>
      </c>
      <c r="D59" s="263">
        <f>+D50+D52</f>
        <v>396665</v>
      </c>
      <c r="E59" s="263">
        <f t="shared" si="6"/>
        <v>-721380</v>
      </c>
      <c r="F59" s="264">
        <f t="shared" si="7"/>
        <v>-0.64521553246962327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481734</v>
      </c>
      <c r="D60" s="263">
        <f>+D51+D53</f>
        <v>125600</v>
      </c>
      <c r="E60" s="263">
        <f t="shared" si="6"/>
        <v>-356134</v>
      </c>
      <c r="F60" s="264">
        <f t="shared" si="7"/>
        <v>-0.7392752016673102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141843</v>
      </c>
      <c r="D112" s="263">
        <f t="shared" si="16"/>
        <v>103828</v>
      </c>
      <c r="E112" s="263">
        <f t="shared" ref="E112:E122" si="17">D112-C112</f>
        <v>-38015</v>
      </c>
      <c r="F112" s="264">
        <f t="shared" ref="F112:F122" si="18">IF(C112=0,0,E112/C112)</f>
        <v>-0.2680075858519631</v>
      </c>
    </row>
    <row r="113" spans="1:6" ht="20.25" customHeight="1" x14ac:dyDescent="0.3">
      <c r="A113" s="271"/>
      <c r="B113" s="286" t="s">
        <v>492</v>
      </c>
      <c r="C113" s="263">
        <f t="shared" si="16"/>
        <v>34500</v>
      </c>
      <c r="D113" s="263">
        <f t="shared" si="16"/>
        <v>49610</v>
      </c>
      <c r="E113" s="263">
        <f t="shared" si="17"/>
        <v>15110</v>
      </c>
      <c r="F113" s="264">
        <f t="shared" si="18"/>
        <v>0.43797101449275361</v>
      </c>
    </row>
    <row r="114" spans="1:6" ht="20.25" customHeight="1" x14ac:dyDescent="0.3">
      <c r="A114" s="271"/>
      <c r="B114" s="286" t="s">
        <v>493</v>
      </c>
      <c r="C114" s="263">
        <f t="shared" si="16"/>
        <v>976202</v>
      </c>
      <c r="D114" s="263">
        <f t="shared" si="16"/>
        <v>292837</v>
      </c>
      <c r="E114" s="263">
        <f t="shared" si="17"/>
        <v>-683365</v>
      </c>
      <c r="F114" s="264">
        <f t="shared" si="18"/>
        <v>-0.70002417532436934</v>
      </c>
    </row>
    <row r="115" spans="1:6" ht="20.25" customHeight="1" x14ac:dyDescent="0.3">
      <c r="A115" s="271"/>
      <c r="B115" s="286" t="s">
        <v>494</v>
      </c>
      <c r="C115" s="263">
        <f t="shared" si="16"/>
        <v>447234</v>
      </c>
      <c r="D115" s="263">
        <f t="shared" si="16"/>
        <v>75990</v>
      </c>
      <c r="E115" s="263">
        <f t="shared" si="17"/>
        <v>-371244</v>
      </c>
      <c r="F115" s="264">
        <f t="shared" si="18"/>
        <v>-0.83008894672587508</v>
      </c>
    </row>
    <row r="116" spans="1:6" ht="20.25" customHeight="1" x14ac:dyDescent="0.3">
      <c r="A116" s="271"/>
      <c r="B116" s="286" t="s">
        <v>495</v>
      </c>
      <c r="C116" s="287">
        <f t="shared" si="16"/>
        <v>8</v>
      </c>
      <c r="D116" s="287">
        <f t="shared" si="16"/>
        <v>8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42</v>
      </c>
      <c r="D117" s="287">
        <f t="shared" si="16"/>
        <v>29</v>
      </c>
      <c r="E117" s="287">
        <f t="shared" si="17"/>
        <v>-13</v>
      </c>
      <c r="F117" s="264">
        <f t="shared" si="18"/>
        <v>-0.30952380952380953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870</v>
      </c>
      <c r="D118" s="287">
        <f t="shared" si="16"/>
        <v>320</v>
      </c>
      <c r="E118" s="287">
        <f t="shared" si="17"/>
        <v>-550</v>
      </c>
      <c r="F118" s="264">
        <f t="shared" si="18"/>
        <v>-0.63218390804597702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41</v>
      </c>
      <c r="D119" s="287">
        <f t="shared" si="16"/>
        <v>41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3</v>
      </c>
      <c r="E120" s="287">
        <f t="shared" si="17"/>
        <v>3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1118045</v>
      </c>
      <c r="D121" s="263">
        <f>+D112+D114</f>
        <v>396665</v>
      </c>
      <c r="E121" s="263">
        <f t="shared" si="17"/>
        <v>-721380</v>
      </c>
      <c r="F121" s="264">
        <f t="shared" si="18"/>
        <v>-0.64521553246962327</v>
      </c>
    </row>
    <row r="122" spans="1:6" ht="20.25" customHeight="1" x14ac:dyDescent="0.3">
      <c r="A122" s="271"/>
      <c r="B122" s="284" t="s">
        <v>472</v>
      </c>
      <c r="C122" s="263">
        <f>+C113+C115</f>
        <v>481734</v>
      </c>
      <c r="D122" s="263">
        <f>+D113+D115</f>
        <v>125600</v>
      </c>
      <c r="E122" s="263">
        <f t="shared" si="17"/>
        <v>-356134</v>
      </c>
      <c r="F122" s="264">
        <f t="shared" si="18"/>
        <v>-0.7392752016673102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FILING&amp;RDAY KIMBALL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500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6386290</v>
      </c>
      <c r="D13" s="22">
        <v>7060282</v>
      </c>
      <c r="E13" s="22">
        <f t="shared" ref="E13:E22" si="0">D13-C13</f>
        <v>673992</v>
      </c>
      <c r="F13" s="306">
        <f t="shared" ref="F13:F22" si="1">IF(C13=0,0,E13/C13)</f>
        <v>0.10553733075071756</v>
      </c>
    </row>
    <row r="14" spans="1:8" ht="24" customHeight="1" x14ac:dyDescent="0.2">
      <c r="A14" s="304">
        <v>2</v>
      </c>
      <c r="B14" s="305" t="s">
        <v>17</v>
      </c>
      <c r="C14" s="22">
        <v>2705332</v>
      </c>
      <c r="D14" s="22">
        <v>3023883</v>
      </c>
      <c r="E14" s="22">
        <f t="shared" si="0"/>
        <v>318551</v>
      </c>
      <c r="F14" s="306">
        <f t="shared" si="1"/>
        <v>0.11774931875274458</v>
      </c>
    </row>
    <row r="15" spans="1:8" ht="35.1" customHeight="1" x14ac:dyDescent="0.2">
      <c r="A15" s="304">
        <v>3</v>
      </c>
      <c r="B15" s="305" t="s">
        <v>18</v>
      </c>
      <c r="C15" s="22">
        <v>14973355</v>
      </c>
      <c r="D15" s="22">
        <v>14709950</v>
      </c>
      <c r="E15" s="22">
        <f t="shared" si="0"/>
        <v>-263405</v>
      </c>
      <c r="F15" s="306">
        <f t="shared" si="1"/>
        <v>-1.7591581846553427E-2</v>
      </c>
    </row>
    <row r="16" spans="1:8" ht="35.1" customHeight="1" x14ac:dyDescent="0.2">
      <c r="A16" s="304">
        <v>4</v>
      </c>
      <c r="B16" s="305" t="s">
        <v>19</v>
      </c>
      <c r="C16" s="22">
        <v>7166565</v>
      </c>
      <c r="D16" s="22">
        <v>988196</v>
      </c>
      <c r="E16" s="22">
        <f t="shared" si="0"/>
        <v>-6178369</v>
      </c>
      <c r="F16" s="306">
        <f t="shared" si="1"/>
        <v>-0.86211022993581998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2348921</v>
      </c>
      <c r="D19" s="22">
        <v>2390372</v>
      </c>
      <c r="E19" s="22">
        <f t="shared" si="0"/>
        <v>41451</v>
      </c>
      <c r="F19" s="306">
        <f t="shared" si="1"/>
        <v>1.7646825925605843E-2</v>
      </c>
    </row>
    <row r="20" spans="1:11" ht="24" customHeight="1" x14ac:dyDescent="0.2">
      <c r="A20" s="304">
        <v>8</v>
      </c>
      <c r="B20" s="305" t="s">
        <v>23</v>
      </c>
      <c r="C20" s="22">
        <v>489720</v>
      </c>
      <c r="D20" s="22">
        <v>360982</v>
      </c>
      <c r="E20" s="22">
        <f t="shared" si="0"/>
        <v>-128738</v>
      </c>
      <c r="F20" s="306">
        <f t="shared" si="1"/>
        <v>-0.26288082986196193</v>
      </c>
    </row>
    <row r="21" spans="1:11" ht="24" customHeight="1" x14ac:dyDescent="0.2">
      <c r="A21" s="304">
        <v>9</v>
      </c>
      <c r="B21" s="305" t="s">
        <v>24</v>
      </c>
      <c r="C21" s="22">
        <v>1462227</v>
      </c>
      <c r="D21" s="22">
        <v>1264550</v>
      </c>
      <c r="E21" s="22">
        <f t="shared" si="0"/>
        <v>-197677</v>
      </c>
      <c r="F21" s="306">
        <f t="shared" si="1"/>
        <v>-0.13518899596300712</v>
      </c>
    </row>
    <row r="22" spans="1:11" ht="24" customHeight="1" x14ac:dyDescent="0.25">
      <c r="A22" s="307"/>
      <c r="B22" s="308" t="s">
        <v>25</v>
      </c>
      <c r="C22" s="309">
        <f>SUM(C13:C21)</f>
        <v>35532410</v>
      </c>
      <c r="D22" s="309">
        <f>SUM(D13:D21)</f>
        <v>29798215</v>
      </c>
      <c r="E22" s="309">
        <f t="shared" si="0"/>
        <v>-5734195</v>
      </c>
      <c r="F22" s="310">
        <f t="shared" si="1"/>
        <v>-0.16137928724789566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4538749</v>
      </c>
      <c r="D25" s="22">
        <v>4675704</v>
      </c>
      <c r="E25" s="22">
        <f>D25-C25</f>
        <v>136955</v>
      </c>
      <c r="F25" s="306">
        <f>IF(C25=0,0,E25/C25)</f>
        <v>3.0174614194351791E-2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2340577</v>
      </c>
      <c r="D27" s="22">
        <v>2340811</v>
      </c>
      <c r="E27" s="22">
        <f>D27-C27</f>
        <v>234</v>
      </c>
      <c r="F27" s="306">
        <f>IF(C27=0,0,E27/C27)</f>
        <v>9.9975347959071635E-5</v>
      </c>
    </row>
    <row r="28" spans="1:11" ht="35.1" customHeight="1" x14ac:dyDescent="0.2">
      <c r="A28" s="304">
        <v>4</v>
      </c>
      <c r="B28" s="305" t="s">
        <v>31</v>
      </c>
      <c r="C28" s="22">
        <v>3941601</v>
      </c>
      <c r="D28" s="22">
        <v>2511054</v>
      </c>
      <c r="E28" s="22">
        <f>D28-C28</f>
        <v>-1430547</v>
      </c>
      <c r="F28" s="306">
        <f>IF(C28=0,0,E28/C28)</f>
        <v>-0.36293551782638578</v>
      </c>
    </row>
    <row r="29" spans="1:11" ht="35.1" customHeight="1" x14ac:dyDescent="0.25">
      <c r="A29" s="307"/>
      <c r="B29" s="308" t="s">
        <v>32</v>
      </c>
      <c r="C29" s="309">
        <f>SUM(C25:C28)</f>
        <v>10820927</v>
      </c>
      <c r="D29" s="309">
        <f>SUM(D25:D28)</f>
        <v>9527569</v>
      </c>
      <c r="E29" s="309">
        <f>D29-C29</f>
        <v>-1293358</v>
      </c>
      <c r="F29" s="310">
        <f>IF(C29=0,0,E29/C29)</f>
        <v>-0.11952377093016153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10747916</v>
      </c>
      <c r="D32" s="22">
        <v>10778340</v>
      </c>
      <c r="E32" s="22">
        <f>D32-C32</f>
        <v>30424</v>
      </c>
      <c r="F32" s="306">
        <f>IF(C32=0,0,E32/C32)</f>
        <v>2.8306882934328852E-3</v>
      </c>
    </row>
    <row r="33" spans="1:8" ht="24" customHeight="1" x14ac:dyDescent="0.2">
      <c r="A33" s="304">
        <v>7</v>
      </c>
      <c r="B33" s="305" t="s">
        <v>35</v>
      </c>
      <c r="C33" s="22">
        <v>1318867</v>
      </c>
      <c r="D33" s="22">
        <v>1274535</v>
      </c>
      <c r="E33" s="22">
        <f>D33-C33</f>
        <v>-44332</v>
      </c>
      <c r="F33" s="306">
        <f>IF(C33=0,0,E33/C33)</f>
        <v>-3.3613700244224776E-2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102281427</v>
      </c>
      <c r="D36" s="22">
        <v>108041659</v>
      </c>
      <c r="E36" s="22">
        <f>D36-C36</f>
        <v>5760232</v>
      </c>
      <c r="F36" s="306">
        <f>IF(C36=0,0,E36/C36)</f>
        <v>5.6317477854508226E-2</v>
      </c>
    </row>
    <row r="37" spans="1:8" ht="24" customHeight="1" x14ac:dyDescent="0.2">
      <c r="A37" s="304">
        <v>2</v>
      </c>
      <c r="B37" s="305" t="s">
        <v>39</v>
      </c>
      <c r="C37" s="22">
        <v>70912402</v>
      </c>
      <c r="D37" s="22">
        <v>72354162</v>
      </c>
      <c r="E37" s="22">
        <f>D37-C37</f>
        <v>1441760</v>
      </c>
      <c r="F37" s="22">
        <f>IF(C37=0,0,E37/C37)</f>
        <v>2.0331563440764564E-2</v>
      </c>
    </row>
    <row r="38" spans="1:8" ht="24" customHeight="1" x14ac:dyDescent="0.25">
      <c r="A38" s="307"/>
      <c r="B38" s="308" t="s">
        <v>40</v>
      </c>
      <c r="C38" s="309">
        <f>C36-C37</f>
        <v>31369025</v>
      </c>
      <c r="D38" s="309">
        <f>D36-D37</f>
        <v>35687497</v>
      </c>
      <c r="E38" s="309">
        <f>D38-C38</f>
        <v>4318472</v>
      </c>
      <c r="F38" s="310">
        <f>IF(C38=0,0,E38/C38)</f>
        <v>0.13766675884889631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10356162</v>
      </c>
      <c r="D40" s="22">
        <v>12879531</v>
      </c>
      <c r="E40" s="22">
        <f>D40-C40</f>
        <v>2523369</v>
      </c>
      <c r="F40" s="306">
        <f>IF(C40=0,0,E40/C40)</f>
        <v>0.24365870290557448</v>
      </c>
    </row>
    <row r="41" spans="1:8" ht="24" customHeight="1" x14ac:dyDescent="0.25">
      <c r="A41" s="307"/>
      <c r="B41" s="308" t="s">
        <v>42</v>
      </c>
      <c r="C41" s="309">
        <f>+C38+C40</f>
        <v>41725187</v>
      </c>
      <c r="D41" s="309">
        <f>+D38+D40</f>
        <v>48567028</v>
      </c>
      <c r="E41" s="309">
        <f>D41-C41</f>
        <v>6841841</v>
      </c>
      <c r="F41" s="310">
        <f>IF(C41=0,0,E41/C41)</f>
        <v>0.16397388464670032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100145307</v>
      </c>
      <c r="D43" s="309">
        <f>D22+D29+D31+D32+D33+D41</f>
        <v>99945687</v>
      </c>
      <c r="E43" s="309">
        <f>D43-C43</f>
        <v>-199620</v>
      </c>
      <c r="F43" s="310">
        <f>IF(C43=0,0,E43/C43)</f>
        <v>-1.9933035903519671E-3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9938871</v>
      </c>
      <c r="D49" s="22">
        <v>12344179</v>
      </c>
      <c r="E49" s="22">
        <f t="shared" ref="E49:E56" si="2">D49-C49</f>
        <v>2405308</v>
      </c>
      <c r="F49" s="306">
        <f t="shared" ref="F49:F56" si="3">IF(C49=0,0,E49/C49)</f>
        <v>0.24201018405410432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1910817</v>
      </c>
      <c r="D50" s="22">
        <v>2553878</v>
      </c>
      <c r="E50" s="22">
        <f t="shared" si="2"/>
        <v>643061</v>
      </c>
      <c r="F50" s="306">
        <f t="shared" si="3"/>
        <v>0.33653719848630193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1067507</v>
      </c>
      <c r="D51" s="22">
        <v>734249</v>
      </c>
      <c r="E51" s="22">
        <f t="shared" si="2"/>
        <v>-333258</v>
      </c>
      <c r="F51" s="306">
        <f t="shared" si="3"/>
        <v>-0.31218343298919821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804612</v>
      </c>
      <c r="D53" s="22">
        <v>1866750</v>
      </c>
      <c r="E53" s="22">
        <f t="shared" si="2"/>
        <v>1062138</v>
      </c>
      <c r="F53" s="306">
        <f t="shared" si="3"/>
        <v>1.320062340606404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11954086</v>
      </c>
      <c r="D55" s="22">
        <v>12926086</v>
      </c>
      <c r="E55" s="22">
        <f t="shared" si="2"/>
        <v>972000</v>
      </c>
      <c r="F55" s="306">
        <f t="shared" si="3"/>
        <v>8.1311109858169001E-2</v>
      </c>
    </row>
    <row r="56" spans="1:6" ht="24" customHeight="1" x14ac:dyDescent="0.25">
      <c r="A56" s="307"/>
      <c r="B56" s="308" t="s">
        <v>54</v>
      </c>
      <c r="C56" s="309">
        <f>SUM(C49:C55)</f>
        <v>25675893</v>
      </c>
      <c r="D56" s="309">
        <f>SUM(D49:D55)</f>
        <v>30425142</v>
      </c>
      <c r="E56" s="309">
        <f t="shared" si="2"/>
        <v>4749249</v>
      </c>
      <c r="F56" s="310">
        <f t="shared" si="3"/>
        <v>0.18496918490819383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29718688</v>
      </c>
      <c r="D59" s="22">
        <v>29561646</v>
      </c>
      <c r="E59" s="22">
        <f>D59-C59</f>
        <v>-157042</v>
      </c>
      <c r="F59" s="306">
        <f>IF(C59=0,0,E59/C59)</f>
        <v>-5.2842844206312202E-3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29718688</v>
      </c>
      <c r="D61" s="309">
        <f>SUM(D59:D60)</f>
        <v>29561646</v>
      </c>
      <c r="E61" s="309">
        <f>D61-C61</f>
        <v>-157042</v>
      </c>
      <c r="F61" s="310">
        <f>IF(C61=0,0,E61/C61)</f>
        <v>-5.2842844206312202E-3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27623323</v>
      </c>
      <c r="D63" s="22">
        <v>34030148</v>
      </c>
      <c r="E63" s="22">
        <f>D63-C63</f>
        <v>6406825</v>
      </c>
      <c r="F63" s="306">
        <f>IF(C63=0,0,E63/C63)</f>
        <v>0.23193534680820263</v>
      </c>
    </row>
    <row r="64" spans="1:6" ht="24" customHeight="1" x14ac:dyDescent="0.2">
      <c r="A64" s="304">
        <v>4</v>
      </c>
      <c r="B64" s="305" t="s">
        <v>60</v>
      </c>
      <c r="C64" s="22">
        <v>0</v>
      </c>
      <c r="D64" s="22">
        <v>0</v>
      </c>
      <c r="E64" s="22">
        <f>D64-C64</f>
        <v>0</v>
      </c>
      <c r="F64" s="306">
        <f>IF(C64=0,0,E64/C64)</f>
        <v>0</v>
      </c>
    </row>
    <row r="65" spans="1:6" ht="24" customHeight="1" x14ac:dyDescent="0.25">
      <c r="A65" s="307"/>
      <c r="B65" s="308" t="s">
        <v>61</v>
      </c>
      <c r="C65" s="309">
        <f>SUM(C61:C64)</f>
        <v>57342011</v>
      </c>
      <c r="D65" s="309">
        <f>SUM(D61:D64)</f>
        <v>63591794</v>
      </c>
      <c r="E65" s="309">
        <f>D65-C65</f>
        <v>6249783</v>
      </c>
      <c r="F65" s="310">
        <f>IF(C65=0,0,E65/C65)</f>
        <v>0.10899134667599991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8092517</v>
      </c>
      <c r="D70" s="22">
        <v>-1617411</v>
      </c>
      <c r="E70" s="22">
        <f>D70-C70</f>
        <v>-9709928</v>
      </c>
      <c r="F70" s="306">
        <f>IF(C70=0,0,E70/C70)</f>
        <v>-1.1998650110960534</v>
      </c>
    </row>
    <row r="71" spans="1:6" ht="24" customHeight="1" x14ac:dyDescent="0.2">
      <c r="A71" s="304">
        <v>2</v>
      </c>
      <c r="B71" s="305" t="s">
        <v>65</v>
      </c>
      <c r="C71" s="22">
        <v>4729199</v>
      </c>
      <c r="D71" s="22">
        <v>3198536</v>
      </c>
      <c r="E71" s="22">
        <f>D71-C71</f>
        <v>-1530663</v>
      </c>
      <c r="F71" s="306">
        <f>IF(C71=0,0,E71/C71)</f>
        <v>-0.3236622100275332</v>
      </c>
    </row>
    <row r="72" spans="1:6" ht="24" customHeight="1" x14ac:dyDescent="0.2">
      <c r="A72" s="304">
        <v>3</v>
      </c>
      <c r="B72" s="305" t="s">
        <v>66</v>
      </c>
      <c r="C72" s="22">
        <v>4305687</v>
      </c>
      <c r="D72" s="22">
        <v>4347626</v>
      </c>
      <c r="E72" s="22">
        <f>D72-C72</f>
        <v>41939</v>
      </c>
      <c r="F72" s="306">
        <f>IF(C72=0,0,E72/C72)</f>
        <v>9.7403736035619869E-3</v>
      </c>
    </row>
    <row r="73" spans="1:6" ht="24" customHeight="1" x14ac:dyDescent="0.25">
      <c r="A73" s="304"/>
      <c r="B73" s="308" t="s">
        <v>67</v>
      </c>
      <c r="C73" s="309">
        <f>SUM(C70:C72)</f>
        <v>17127403</v>
      </c>
      <c r="D73" s="309">
        <f>SUM(D70:D72)</f>
        <v>5928751</v>
      </c>
      <c r="E73" s="309">
        <f>D73-C73</f>
        <v>-11198652</v>
      </c>
      <c r="F73" s="310">
        <f>IF(C73=0,0,E73/C73)</f>
        <v>-0.6538441350390366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100145307</v>
      </c>
      <c r="D75" s="309">
        <f>D56+D65+D67+D73</f>
        <v>99945687</v>
      </c>
      <c r="E75" s="309">
        <f>D75-C75</f>
        <v>-199620</v>
      </c>
      <c r="F75" s="310">
        <f>IF(C75=0,0,E75/C75)</f>
        <v>-1.9933035903519671E-3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FILING&amp;RDAY KIMBALL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501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251673888</v>
      </c>
      <c r="D11" s="76">
        <v>262614076</v>
      </c>
      <c r="E11" s="76">
        <f t="shared" ref="E11:E20" si="0">D11-C11</f>
        <v>10940188</v>
      </c>
      <c r="F11" s="77">
        <f t="shared" ref="F11:F20" si="1">IF(C11=0,0,E11/C11)</f>
        <v>4.3469698374111819E-2</v>
      </c>
    </row>
    <row r="12" spans="1:7" ht="23.1" customHeight="1" x14ac:dyDescent="0.2">
      <c r="A12" s="74">
        <v>2</v>
      </c>
      <c r="B12" s="75" t="s">
        <v>72</v>
      </c>
      <c r="C12" s="76">
        <v>121374335</v>
      </c>
      <c r="D12" s="76">
        <v>130531408</v>
      </c>
      <c r="E12" s="76">
        <f t="shared" si="0"/>
        <v>9157073</v>
      </c>
      <c r="F12" s="77">
        <f t="shared" si="1"/>
        <v>7.5444887092481289E-2</v>
      </c>
    </row>
    <row r="13" spans="1:7" ht="23.1" customHeight="1" x14ac:dyDescent="0.2">
      <c r="A13" s="74">
        <v>3</v>
      </c>
      <c r="B13" s="75" t="s">
        <v>73</v>
      </c>
      <c r="C13" s="76">
        <v>703850</v>
      </c>
      <c r="D13" s="76">
        <v>536291</v>
      </c>
      <c r="E13" s="76">
        <f t="shared" si="0"/>
        <v>-167559</v>
      </c>
      <c r="F13" s="77">
        <f t="shared" si="1"/>
        <v>-0.23806066633515663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129595703</v>
      </c>
      <c r="D15" s="79">
        <f>D11-D12-D13-D14</f>
        <v>131546377</v>
      </c>
      <c r="E15" s="79">
        <f t="shared" si="0"/>
        <v>1950674</v>
      </c>
      <c r="F15" s="80">
        <f t="shared" si="1"/>
        <v>1.5051995975514713E-2</v>
      </c>
    </row>
    <row r="16" spans="1:7" ht="23.1" customHeight="1" x14ac:dyDescent="0.2">
      <c r="A16" s="74">
        <v>5</v>
      </c>
      <c r="B16" s="75" t="s">
        <v>76</v>
      </c>
      <c r="C16" s="76">
        <v>3254039</v>
      </c>
      <c r="D16" s="76">
        <v>3589475</v>
      </c>
      <c r="E16" s="76">
        <f t="shared" si="0"/>
        <v>335436</v>
      </c>
      <c r="F16" s="77">
        <f t="shared" si="1"/>
        <v>0.10308296858150748</v>
      </c>
      <c r="G16" s="65"/>
    </row>
    <row r="17" spans="1:7" ht="31.5" customHeight="1" x14ac:dyDescent="0.25">
      <c r="A17" s="71"/>
      <c r="B17" s="81" t="s">
        <v>77</v>
      </c>
      <c r="C17" s="79">
        <f>C15-C16</f>
        <v>126341664</v>
      </c>
      <c r="D17" s="79">
        <f>D15-D16</f>
        <v>127956902</v>
      </c>
      <c r="E17" s="79">
        <f t="shared" si="0"/>
        <v>1615238</v>
      </c>
      <c r="F17" s="80">
        <f t="shared" si="1"/>
        <v>1.2784682019068547E-2</v>
      </c>
    </row>
    <row r="18" spans="1:7" ht="23.1" customHeight="1" x14ac:dyDescent="0.2">
      <c r="A18" s="74">
        <v>6</v>
      </c>
      <c r="B18" s="75" t="s">
        <v>78</v>
      </c>
      <c r="C18" s="76">
        <v>7007903</v>
      </c>
      <c r="D18" s="76">
        <v>7159042</v>
      </c>
      <c r="E18" s="76">
        <f t="shared" si="0"/>
        <v>151139</v>
      </c>
      <c r="F18" s="77">
        <f t="shared" si="1"/>
        <v>2.1566936642815976E-2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1631364</v>
      </c>
      <c r="D19" s="76">
        <v>542491</v>
      </c>
      <c r="E19" s="76">
        <f t="shared" si="0"/>
        <v>-1088873</v>
      </c>
      <c r="F19" s="77">
        <f t="shared" si="1"/>
        <v>-0.66746170689067552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134980931</v>
      </c>
      <c r="D20" s="79">
        <f>SUM(D17:D19)</f>
        <v>135658435</v>
      </c>
      <c r="E20" s="79">
        <f t="shared" si="0"/>
        <v>677504</v>
      </c>
      <c r="F20" s="80">
        <f t="shared" si="1"/>
        <v>5.0192571275123297E-3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69876205</v>
      </c>
      <c r="D23" s="76">
        <v>69912447</v>
      </c>
      <c r="E23" s="76">
        <f t="shared" ref="E23:E32" si="2">D23-C23</f>
        <v>36242</v>
      </c>
      <c r="F23" s="77">
        <f t="shared" ref="F23:F32" si="3">IF(C23=0,0,E23/C23)</f>
        <v>5.1866010754304706E-4</v>
      </c>
    </row>
    <row r="24" spans="1:7" ht="23.1" customHeight="1" x14ac:dyDescent="0.2">
      <c r="A24" s="74">
        <v>2</v>
      </c>
      <c r="B24" s="75" t="s">
        <v>83</v>
      </c>
      <c r="C24" s="76">
        <v>20635260</v>
      </c>
      <c r="D24" s="76">
        <v>20769667</v>
      </c>
      <c r="E24" s="76">
        <f t="shared" si="2"/>
        <v>134407</v>
      </c>
      <c r="F24" s="77">
        <f t="shared" si="3"/>
        <v>6.5134628785874279E-3</v>
      </c>
    </row>
    <row r="25" spans="1:7" ht="23.1" customHeight="1" x14ac:dyDescent="0.2">
      <c r="A25" s="74">
        <v>3</v>
      </c>
      <c r="B25" s="75" t="s">
        <v>84</v>
      </c>
      <c r="C25" s="76">
        <v>4499816</v>
      </c>
      <c r="D25" s="76">
        <v>2769654</v>
      </c>
      <c r="E25" s="76">
        <f t="shared" si="2"/>
        <v>-1730162</v>
      </c>
      <c r="F25" s="77">
        <f t="shared" si="3"/>
        <v>-0.38449616606545689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17557028</v>
      </c>
      <c r="D26" s="76">
        <v>15796203</v>
      </c>
      <c r="E26" s="76">
        <f t="shared" si="2"/>
        <v>-1760825</v>
      </c>
      <c r="F26" s="77">
        <f t="shared" si="3"/>
        <v>-0.10029174641630691</v>
      </c>
    </row>
    <row r="27" spans="1:7" ht="23.1" customHeight="1" x14ac:dyDescent="0.2">
      <c r="A27" s="74">
        <v>5</v>
      </c>
      <c r="B27" s="75" t="s">
        <v>86</v>
      </c>
      <c r="C27" s="76">
        <v>4803745</v>
      </c>
      <c r="D27" s="76">
        <v>5278929</v>
      </c>
      <c r="E27" s="76">
        <f t="shared" si="2"/>
        <v>475184</v>
      </c>
      <c r="F27" s="77">
        <f t="shared" si="3"/>
        <v>9.8919488857131255E-2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952190</v>
      </c>
      <c r="D29" s="76">
        <v>1343831</v>
      </c>
      <c r="E29" s="76">
        <f t="shared" si="2"/>
        <v>391641</v>
      </c>
      <c r="F29" s="77">
        <f t="shared" si="3"/>
        <v>0.4113055167561096</v>
      </c>
    </row>
    <row r="30" spans="1:7" ht="23.1" customHeight="1" x14ac:dyDescent="0.2">
      <c r="A30" s="74">
        <v>8</v>
      </c>
      <c r="B30" s="75" t="s">
        <v>89</v>
      </c>
      <c r="C30" s="76">
        <v>869801</v>
      </c>
      <c r="D30" s="76">
        <v>762085</v>
      </c>
      <c r="E30" s="76">
        <f t="shared" si="2"/>
        <v>-107716</v>
      </c>
      <c r="F30" s="77">
        <f t="shared" si="3"/>
        <v>-0.12383982083258124</v>
      </c>
    </row>
    <row r="31" spans="1:7" ht="23.1" customHeight="1" x14ac:dyDescent="0.2">
      <c r="A31" s="74">
        <v>9</v>
      </c>
      <c r="B31" s="75" t="s">
        <v>90</v>
      </c>
      <c r="C31" s="76">
        <v>24728251</v>
      </c>
      <c r="D31" s="76">
        <v>24944403</v>
      </c>
      <c r="E31" s="76">
        <f t="shared" si="2"/>
        <v>216152</v>
      </c>
      <c r="F31" s="77">
        <f t="shared" si="3"/>
        <v>8.7410953568855306E-3</v>
      </c>
    </row>
    <row r="32" spans="1:7" ht="23.1" customHeight="1" x14ac:dyDescent="0.25">
      <c r="A32" s="71"/>
      <c r="B32" s="78" t="s">
        <v>91</v>
      </c>
      <c r="C32" s="79">
        <f>SUM(C23:C31)</f>
        <v>143922296</v>
      </c>
      <c r="D32" s="79">
        <f>SUM(D23:D31)</f>
        <v>141577219</v>
      </c>
      <c r="E32" s="79">
        <f t="shared" si="2"/>
        <v>-2345077</v>
      </c>
      <c r="F32" s="80">
        <f t="shared" si="3"/>
        <v>-1.6294049394542733E-2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-8941365</v>
      </c>
      <c r="D34" s="79">
        <f>+D20-D32</f>
        <v>-5918784</v>
      </c>
      <c r="E34" s="79">
        <f>D34-C34</f>
        <v>3022581</v>
      </c>
      <c r="F34" s="80">
        <f>IF(C34=0,0,E34/C34)</f>
        <v>-0.33804469451811886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878011</v>
      </c>
      <c r="D37" s="76">
        <v>405541</v>
      </c>
      <c r="E37" s="76">
        <f>D37-C37</f>
        <v>-472470</v>
      </c>
      <c r="F37" s="77">
        <f>IF(C37=0,0,E37/C37)</f>
        <v>-0.53811398718239289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-447476</v>
      </c>
      <c r="D39" s="76">
        <v>113623</v>
      </c>
      <c r="E39" s="76">
        <f>D39-C39</f>
        <v>561099</v>
      </c>
      <c r="F39" s="77">
        <f>IF(C39=0,0,E39/C39)</f>
        <v>-1.2539197632945678</v>
      </c>
    </row>
    <row r="40" spans="1:6" ht="23.1" customHeight="1" x14ac:dyDescent="0.25">
      <c r="A40" s="83"/>
      <c r="B40" s="78" t="s">
        <v>97</v>
      </c>
      <c r="C40" s="79">
        <f>SUM(C37:C39)</f>
        <v>430535</v>
      </c>
      <c r="D40" s="79">
        <f>SUM(D37:D39)</f>
        <v>519164</v>
      </c>
      <c r="E40" s="79">
        <f>D40-C40</f>
        <v>88629</v>
      </c>
      <c r="F40" s="80">
        <f>IF(C40=0,0,E40/C40)</f>
        <v>0.20585782805114566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502</v>
      </c>
      <c r="C42" s="79">
        <f>C34+C40</f>
        <v>-8510830</v>
      </c>
      <c r="D42" s="79">
        <f>D34+D40</f>
        <v>-5399620</v>
      </c>
      <c r="E42" s="79">
        <f>D42-C42</f>
        <v>3111210</v>
      </c>
      <c r="F42" s="80">
        <f>IF(C42=0,0,E42/C42)</f>
        <v>-0.36555894078485884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-8510830</v>
      </c>
      <c r="D49" s="79">
        <f>D42+D47</f>
        <v>-5399620</v>
      </c>
      <c r="E49" s="79">
        <f>D49-C49</f>
        <v>3111210</v>
      </c>
      <c r="F49" s="80">
        <f>IF(C49=0,0,E49/C49)</f>
        <v>-0.36555894078485884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FILING&amp;R&amp;8DAY KIMBALL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2015-07-07T12:07:26Z</cp:lastPrinted>
  <dcterms:created xsi:type="dcterms:W3CDTF">2015-07-07T12:03:30Z</dcterms:created>
  <dcterms:modified xsi:type="dcterms:W3CDTF">2015-07-07T12:08:08Z</dcterms:modified>
</cp:coreProperties>
</file>