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C93" i="22" s="1"/>
  <c r="E91" i="22"/>
  <c r="E93" i="22"/>
  <c r="D91" i="22"/>
  <c r="D93" i="22"/>
  <c r="C91" i="22"/>
  <c r="E87" i="22"/>
  <c r="D87" i="22"/>
  <c r="C87" i="22"/>
  <c r="E86" i="22"/>
  <c r="E88" i="22"/>
  <c r="D86" i="22"/>
  <c r="D88" i="22" s="1"/>
  <c r="C86" i="22"/>
  <c r="C88" i="22" s="1"/>
  <c r="E83" i="22"/>
  <c r="E101" i="22" s="1"/>
  <c r="D83" i="22"/>
  <c r="C83" i="22"/>
  <c r="C101" i="22" s="1"/>
  <c r="E76" i="22"/>
  <c r="D76" i="22"/>
  <c r="C76" i="22"/>
  <c r="E75" i="22"/>
  <c r="E77" i="22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E21" i="22"/>
  <c r="D21" i="22"/>
  <c r="C21" i="22"/>
  <c r="E12" i="22"/>
  <c r="E33" i="22"/>
  <c r="D12" i="22"/>
  <c r="D34" i="22"/>
  <c r="C12" i="22"/>
  <c r="C33" i="22"/>
  <c r="D21" i="21"/>
  <c r="C21" i="21"/>
  <c r="D19" i="21"/>
  <c r="E19" i="21"/>
  <c r="F19" i="21"/>
  <c r="C19" i="21"/>
  <c r="E17" i="21"/>
  <c r="F17" i="21" s="1"/>
  <c r="E15" i="21"/>
  <c r="F15" i="21" s="1"/>
  <c r="D45" i="20"/>
  <c r="E45" i="20"/>
  <c r="C45" i="20"/>
  <c r="D44" i="20"/>
  <c r="E44" i="20" s="1"/>
  <c r="C44" i="20"/>
  <c r="F44" i="20" s="1"/>
  <c r="D43" i="20"/>
  <c r="C43" i="20"/>
  <c r="C46" i="20"/>
  <c r="D36" i="20"/>
  <c r="D40" i="20" s="1"/>
  <c r="E40" i="20" s="1"/>
  <c r="C36" i="20"/>
  <c r="C40" i="20"/>
  <c r="E35" i="20"/>
  <c r="F35" i="20" s="1"/>
  <c r="F34" i="20"/>
  <c r="E34" i="20"/>
  <c r="E33" i="20"/>
  <c r="F33" i="20" s="1"/>
  <c r="E30" i="20"/>
  <c r="F30" i="20" s="1"/>
  <c r="F29" i="20"/>
  <c r="E29" i="20"/>
  <c r="E28" i="20"/>
  <c r="F28" i="20" s="1"/>
  <c r="E27" i="20"/>
  <c r="F27" i="20" s="1"/>
  <c r="D25" i="20"/>
  <c r="D39" i="20"/>
  <c r="C25" i="20"/>
  <c r="E24" i="20"/>
  <c r="F24" i="20" s="1"/>
  <c r="E23" i="20"/>
  <c r="F23" i="20" s="1"/>
  <c r="E22" i="20"/>
  <c r="D19" i="20"/>
  <c r="D20" i="20"/>
  <c r="C19" i="20"/>
  <c r="C20" i="20" s="1"/>
  <c r="E20" i="20" s="1"/>
  <c r="F18" i="20"/>
  <c r="E18" i="20"/>
  <c r="D16" i="20"/>
  <c r="E16" i="20" s="1"/>
  <c r="C16" i="20"/>
  <c r="F15" i="20"/>
  <c r="E15" i="20"/>
  <c r="F13" i="20"/>
  <c r="E13" i="20"/>
  <c r="F12" i="20"/>
  <c r="E12" i="20"/>
  <c r="C143" i="19"/>
  <c r="C115" i="19"/>
  <c r="C105" i="19"/>
  <c r="C137" i="19" s="1"/>
  <c r="C139" i="19" s="1"/>
  <c r="C96" i="19"/>
  <c r="C95" i="19"/>
  <c r="C89" i="19"/>
  <c r="C88" i="19"/>
  <c r="C83" i="19"/>
  <c r="C77" i="19"/>
  <c r="C78" i="19" s="1"/>
  <c r="C64" i="19"/>
  <c r="C63" i="19"/>
  <c r="C65" i="19" s="1"/>
  <c r="C114" i="19" s="1"/>
  <c r="C116" i="19" s="1"/>
  <c r="C119" i="19" s="1"/>
  <c r="C123" i="19" s="1"/>
  <c r="C59" i="19"/>
  <c r="C60" i="19" s="1"/>
  <c r="C49" i="19"/>
  <c r="C48" i="19"/>
  <c r="C36" i="19"/>
  <c r="C32" i="19"/>
  <c r="C33" i="19" s="1"/>
  <c r="C21" i="19"/>
  <c r="C37" i="19" s="1"/>
  <c r="E328" i="18"/>
  <c r="E325" i="18"/>
  <c r="D324" i="18"/>
  <c r="D326" i="18" s="1"/>
  <c r="C324" i="18"/>
  <c r="C326" i="18" s="1"/>
  <c r="C330" i="18" s="1"/>
  <c r="E318" i="18"/>
  <c r="E315" i="18"/>
  <c r="D314" i="18"/>
  <c r="C314" i="18"/>
  <c r="C316" i="18" s="1"/>
  <c r="C320" i="18" s="1"/>
  <c r="E308" i="18"/>
  <c r="E305" i="18"/>
  <c r="D301" i="18"/>
  <c r="D303" i="18"/>
  <c r="C301" i="18"/>
  <c r="E301" i="18" s="1"/>
  <c r="D293" i="18"/>
  <c r="E293" i="18" s="1"/>
  <c r="C293" i="18"/>
  <c r="D292" i="18"/>
  <c r="E292" i="18" s="1"/>
  <c r="C292" i="18"/>
  <c r="D291" i="18"/>
  <c r="E291" i="18"/>
  <c r="C291" i="18"/>
  <c r="D290" i="18"/>
  <c r="C290" i="18"/>
  <c r="E290" i="18"/>
  <c r="D288" i="18"/>
  <c r="C288" i="18"/>
  <c r="E288" i="18" s="1"/>
  <c r="D287" i="18"/>
  <c r="E287" i="18" s="1"/>
  <c r="C287" i="18"/>
  <c r="D282" i="18"/>
  <c r="E282" i="18" s="1"/>
  <c r="C282" i="18"/>
  <c r="D281" i="18"/>
  <c r="E281" i="18" s="1"/>
  <c r="C281" i="18"/>
  <c r="D280" i="18"/>
  <c r="C280" i="18"/>
  <c r="E280" i="18"/>
  <c r="D279" i="18"/>
  <c r="E279" i="18" s="1"/>
  <c r="C279" i="18"/>
  <c r="D278" i="18"/>
  <c r="E278" i="18" s="1"/>
  <c r="C278" i="18"/>
  <c r="D277" i="18"/>
  <c r="C277" i="18"/>
  <c r="E277" i="18" s="1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E251" i="18" s="1"/>
  <c r="C251" i="18"/>
  <c r="D233" i="18"/>
  <c r="C233" i="18"/>
  <c r="D232" i="18"/>
  <c r="E232" i="18"/>
  <c r="C232" i="18"/>
  <c r="D231" i="18"/>
  <c r="E231" i="18" s="1"/>
  <c r="C231" i="18"/>
  <c r="D230" i="18"/>
  <c r="E230" i="18"/>
  <c r="C230" i="18"/>
  <c r="D228" i="18"/>
  <c r="E228" i="18"/>
  <c r="C228" i="18"/>
  <c r="D227" i="18"/>
  <c r="E227" i="18" s="1"/>
  <c r="C227" i="18"/>
  <c r="D221" i="18"/>
  <c r="D245" i="18" s="1"/>
  <c r="C221" i="18"/>
  <c r="C245" i="18"/>
  <c r="D220" i="18"/>
  <c r="D244" i="18" s="1"/>
  <c r="C220" i="18"/>
  <c r="C244" i="18" s="1"/>
  <c r="D219" i="18"/>
  <c r="D243" i="18" s="1"/>
  <c r="C219" i="18"/>
  <c r="D218" i="18"/>
  <c r="C218" i="18"/>
  <c r="C242" i="18" s="1"/>
  <c r="D216" i="18"/>
  <c r="D240" i="18"/>
  <c r="C216" i="18"/>
  <c r="C240" i="18" s="1"/>
  <c r="D215" i="18"/>
  <c r="D239" i="18" s="1"/>
  <c r="E239" i="18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C179" i="18"/>
  <c r="E179" i="18" s="1"/>
  <c r="D178" i="18"/>
  <c r="C178" i="18"/>
  <c r="D177" i="18"/>
  <c r="E177" i="18" s="1"/>
  <c r="C177" i="18"/>
  <c r="D176" i="18"/>
  <c r="C176" i="18"/>
  <c r="D174" i="18"/>
  <c r="E174" i="18"/>
  <c r="C174" i="18"/>
  <c r="D173" i="18"/>
  <c r="C173" i="18"/>
  <c r="E173" i="18" s="1"/>
  <c r="D167" i="18"/>
  <c r="E167" i="18" s="1"/>
  <c r="C167" i="18"/>
  <c r="D166" i="18"/>
  <c r="E166" i="18" s="1"/>
  <c r="C166" i="18"/>
  <c r="D165" i="18"/>
  <c r="E165" i="18" s="1"/>
  <c r="C165" i="18"/>
  <c r="D164" i="18"/>
  <c r="C164" i="18"/>
  <c r="E164" i="18" s="1"/>
  <c r="D162" i="18"/>
  <c r="E162" i="18" s="1"/>
  <c r="C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E143" i="18"/>
  <c r="E142" i="18"/>
  <c r="E141" i="18"/>
  <c r="E140" i="18"/>
  <c r="D139" i="18"/>
  <c r="D163" i="18"/>
  <c r="E163" i="18"/>
  <c r="C139" i="18"/>
  <c r="C144" i="18" s="1"/>
  <c r="C163" i="18"/>
  <c r="E138" i="18"/>
  <c r="E137" i="18"/>
  <c r="D75" i="18"/>
  <c r="C75" i="18"/>
  <c r="E75" i="18"/>
  <c r="D74" i="18"/>
  <c r="E74" i="18" s="1"/>
  <c r="C74" i="18"/>
  <c r="D73" i="18"/>
  <c r="C73" i="18"/>
  <c r="D72" i="18"/>
  <c r="E72" i="18"/>
  <c r="C72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C42" i="18"/>
  <c r="E42" i="18" s="1"/>
  <c r="D41" i="18"/>
  <c r="E41" i="18" s="1"/>
  <c r="C41" i="18"/>
  <c r="D40" i="18"/>
  <c r="E40" i="18"/>
  <c r="C40" i="18"/>
  <c r="D39" i="18"/>
  <c r="E39" i="18" s="1"/>
  <c r="C39" i="18"/>
  <c r="D38" i="18"/>
  <c r="E38" i="18" s="1"/>
  <c r="C38" i="18"/>
  <c r="D37" i="18"/>
  <c r="C37" i="18"/>
  <c r="E37" i="18"/>
  <c r="D36" i="18"/>
  <c r="C36" i="18"/>
  <c r="C33" i="18"/>
  <c r="D32" i="18"/>
  <c r="C32" i="18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F335" i="17"/>
  <c r="E335" i="17"/>
  <c r="E334" i="17"/>
  <c r="F334" i="17" s="1"/>
  <c r="E333" i="17"/>
  <c r="F333" i="17" s="1"/>
  <c r="F332" i="17"/>
  <c r="E332" i="17"/>
  <c r="F331" i="17"/>
  <c r="E331" i="17"/>
  <c r="E330" i="17"/>
  <c r="F330" i="17" s="1"/>
  <c r="E329" i="17"/>
  <c r="F329" i="17" s="1"/>
  <c r="F316" i="17"/>
  <c r="E316" i="17"/>
  <c r="F311" i="17"/>
  <c r="D311" i="17"/>
  <c r="E311" i="17" s="1"/>
  <c r="C311" i="17"/>
  <c r="E308" i="17"/>
  <c r="F308" i="17"/>
  <c r="D307" i="17"/>
  <c r="C307" i="17"/>
  <c r="E307" i="17" s="1"/>
  <c r="D299" i="17"/>
  <c r="E299" i="17" s="1"/>
  <c r="C299" i="17"/>
  <c r="D298" i="17"/>
  <c r="C298" i="17"/>
  <c r="F298" i="17" s="1"/>
  <c r="D297" i="17"/>
  <c r="E297" i="17" s="1"/>
  <c r="C297" i="17"/>
  <c r="F297" i="17" s="1"/>
  <c r="D296" i="17"/>
  <c r="E296" i="17" s="1"/>
  <c r="F296" i="17" s="1"/>
  <c r="C296" i="17"/>
  <c r="D295" i="17"/>
  <c r="E295" i="17" s="1"/>
  <c r="C295" i="17"/>
  <c r="F295" i="17" s="1"/>
  <c r="D294" i="17"/>
  <c r="C294" i="17"/>
  <c r="D250" i="17"/>
  <c r="D306" i="17" s="1"/>
  <c r="C250" i="17"/>
  <c r="C306" i="17"/>
  <c r="E249" i="17"/>
  <c r="F249" i="17" s="1"/>
  <c r="E248" i="17"/>
  <c r="F248" i="17"/>
  <c r="F245" i="17"/>
  <c r="E245" i="17"/>
  <c r="E244" i="17"/>
  <c r="F244" i="17"/>
  <c r="E243" i="17"/>
  <c r="F243" i="17" s="1"/>
  <c r="D238" i="17"/>
  <c r="E238" i="17" s="1"/>
  <c r="F238" i="17" s="1"/>
  <c r="C238" i="17"/>
  <c r="D237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 s="1"/>
  <c r="F227" i="17" s="1"/>
  <c r="C226" i="17"/>
  <c r="C227" i="17" s="1"/>
  <c r="E225" i="17"/>
  <c r="F225" i="17"/>
  <c r="E224" i="17"/>
  <c r="F224" i="17"/>
  <c r="D223" i="17"/>
  <c r="C223" i="17"/>
  <c r="E222" i="17"/>
  <c r="F222" i="17" s="1"/>
  <c r="E221" i="17"/>
  <c r="F221" i="17"/>
  <c r="D204" i="17"/>
  <c r="D285" i="17"/>
  <c r="C204" i="17"/>
  <c r="D203" i="17"/>
  <c r="D283" i="17" s="1"/>
  <c r="C203" i="17"/>
  <c r="D198" i="17"/>
  <c r="D290" i="17"/>
  <c r="C198" i="17"/>
  <c r="C199" i="17"/>
  <c r="D191" i="17"/>
  <c r="C191" i="17"/>
  <c r="C200" i="17" s="1"/>
  <c r="D189" i="17"/>
  <c r="C189" i="17"/>
  <c r="D188" i="17"/>
  <c r="C188" i="17"/>
  <c r="C206" i="17"/>
  <c r="D180" i="17"/>
  <c r="C180" i="17"/>
  <c r="C181" i="17" s="1"/>
  <c r="F181" i="17" s="1"/>
  <c r="D179" i="17"/>
  <c r="D181" i="17" s="1"/>
  <c r="C179" i="17"/>
  <c r="D171" i="17"/>
  <c r="E171" i="17" s="1"/>
  <c r="D172" i="17"/>
  <c r="D173" i="17" s="1"/>
  <c r="E173" i="17" s="1"/>
  <c r="C171" i="17"/>
  <c r="C172" i="17" s="1"/>
  <c r="D170" i="17"/>
  <c r="C170" i="17"/>
  <c r="F169" i="17"/>
  <c r="E169" i="17"/>
  <c r="F168" i="17"/>
  <c r="E168" i="17"/>
  <c r="D165" i="17"/>
  <c r="E165" i="17" s="1"/>
  <c r="C165" i="17"/>
  <c r="D164" i="17"/>
  <c r="C164" i="17"/>
  <c r="F163" i="17"/>
  <c r="E163" i="17"/>
  <c r="D158" i="17"/>
  <c r="D159" i="17"/>
  <c r="C158" i="17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D146" i="17" s="1"/>
  <c r="C144" i="17"/>
  <c r="C146" i="17" s="1"/>
  <c r="E146" i="17" s="1"/>
  <c r="D136" i="17"/>
  <c r="D137" i="17"/>
  <c r="C136" i="17"/>
  <c r="C137" i="17"/>
  <c r="D135" i="17"/>
  <c r="C135" i="17"/>
  <c r="E134" i="17"/>
  <c r="F134" i="17" s="1"/>
  <c r="E133" i="17"/>
  <c r="F133" i="17"/>
  <c r="D130" i="17"/>
  <c r="C130" i="17"/>
  <c r="D129" i="17"/>
  <c r="C129" i="17"/>
  <c r="E128" i="17"/>
  <c r="F128" i="17" s="1"/>
  <c r="D123" i="17"/>
  <c r="C123" i="17"/>
  <c r="E123" i="17" s="1"/>
  <c r="E122" i="17"/>
  <c r="F122" i="17"/>
  <c r="E121" i="17"/>
  <c r="F121" i="17" s="1"/>
  <c r="D120" i="17"/>
  <c r="C120" i="17"/>
  <c r="E120" i="17"/>
  <c r="E119" i="17"/>
  <c r="F119" i="17"/>
  <c r="E118" i="17"/>
  <c r="F118" i="17"/>
  <c r="D110" i="17"/>
  <c r="C110" i="17"/>
  <c r="E110" i="17"/>
  <c r="D109" i="17"/>
  <c r="D111" i="17" s="1"/>
  <c r="C109" i="17"/>
  <c r="C111" i="17"/>
  <c r="D101" i="17"/>
  <c r="D102" i="17" s="1"/>
  <c r="E102" i="17" s="1"/>
  <c r="F102" i="17" s="1"/>
  <c r="C101" i="17"/>
  <c r="C102" i="17"/>
  <c r="D100" i="17"/>
  <c r="C100" i="17"/>
  <c r="E100" i="17" s="1"/>
  <c r="E99" i="17"/>
  <c r="F99" i="17" s="1"/>
  <c r="E98" i="17"/>
  <c r="F98" i="17"/>
  <c r="D95" i="17"/>
  <c r="C95" i="17"/>
  <c r="E95" i="17"/>
  <c r="D94" i="17"/>
  <c r="E94" i="17" s="1"/>
  <c r="C94" i="17"/>
  <c r="E93" i="17"/>
  <c r="F93" i="17"/>
  <c r="D88" i="17"/>
  <c r="C88" i="17"/>
  <c r="C89" i="17"/>
  <c r="E87" i="17"/>
  <c r="F87" i="17" s="1"/>
  <c r="E86" i="17"/>
  <c r="F86" i="17"/>
  <c r="D85" i="17"/>
  <c r="C85" i="17"/>
  <c r="E84" i="17"/>
  <c r="F84" i="17" s="1"/>
  <c r="E83" i="17"/>
  <c r="F83" i="17" s="1"/>
  <c r="D76" i="17"/>
  <c r="D77" i="17"/>
  <c r="C76" i="17"/>
  <c r="C77" i="17" s="1"/>
  <c r="E74" i="17"/>
  <c r="F74" i="17" s="1"/>
  <c r="F73" i="17"/>
  <c r="E73" i="17"/>
  <c r="D67" i="17"/>
  <c r="E67" i="17"/>
  <c r="F67" i="17"/>
  <c r="C67" i="17"/>
  <c r="D66" i="17"/>
  <c r="C66" i="17"/>
  <c r="C68" i="17" s="1"/>
  <c r="D59" i="17"/>
  <c r="C59" i="17"/>
  <c r="F58" i="17"/>
  <c r="D58" i="17"/>
  <c r="E58" i="17" s="1"/>
  <c r="C58" i="17"/>
  <c r="E57" i="17"/>
  <c r="F57" i="17"/>
  <c r="E56" i="17"/>
  <c r="F56" i="17"/>
  <c r="D53" i="17"/>
  <c r="E53" i="17"/>
  <c r="F53" i="17" s="1"/>
  <c r="C53" i="17"/>
  <c r="D52" i="17"/>
  <c r="C52" i="17"/>
  <c r="E51" i="17"/>
  <c r="F51" i="17"/>
  <c r="D47" i="17"/>
  <c r="C47" i="17"/>
  <c r="E46" i="17"/>
  <c r="F46" i="17"/>
  <c r="E45" i="17"/>
  <c r="F45" i="17" s="1"/>
  <c r="D44" i="17"/>
  <c r="E44" i="17"/>
  <c r="F44" i="17"/>
  <c r="C44" i="17"/>
  <c r="E43" i="17"/>
  <c r="F43" i="17" s="1"/>
  <c r="E42" i="17"/>
  <c r="F42" i="17" s="1"/>
  <c r="D36" i="17"/>
  <c r="E36" i="17"/>
  <c r="F36" i="17"/>
  <c r="C36" i="17"/>
  <c r="D35" i="17"/>
  <c r="E35" i="17"/>
  <c r="F35" i="17" s="1"/>
  <c r="C35" i="17"/>
  <c r="D30" i="17"/>
  <c r="E30" i="17"/>
  <c r="F30" i="17"/>
  <c r="C30" i="17"/>
  <c r="C31" i="17"/>
  <c r="C32" i="17"/>
  <c r="D29" i="17"/>
  <c r="C29" i="17"/>
  <c r="E28" i="17"/>
  <c r="F28" i="17"/>
  <c r="E27" i="17"/>
  <c r="F27" i="17" s="1"/>
  <c r="D24" i="17"/>
  <c r="C24" i="17"/>
  <c r="D23" i="17"/>
  <c r="C23" i="17"/>
  <c r="E22" i="17"/>
  <c r="F22" i="17"/>
  <c r="D20" i="17"/>
  <c r="D266" i="17" s="1"/>
  <c r="C20" i="17"/>
  <c r="E19" i="17"/>
  <c r="F19" i="17" s="1"/>
  <c r="E18" i="17"/>
  <c r="F18" i="17" s="1"/>
  <c r="D17" i="17"/>
  <c r="C17" i="17"/>
  <c r="E17" i="17"/>
  <c r="F17" i="17" s="1"/>
  <c r="E16" i="17"/>
  <c r="F16" i="17"/>
  <c r="E15" i="17"/>
  <c r="F15" i="17" s="1"/>
  <c r="D21" i="16"/>
  <c r="E21" i="16" s="1"/>
  <c r="C21" i="16"/>
  <c r="E20" i="16"/>
  <c r="F20" i="16" s="1"/>
  <c r="D17" i="16"/>
  <c r="E17" i="16" s="1"/>
  <c r="F17" i="16" s="1"/>
  <c r="C17" i="16"/>
  <c r="E16" i="16"/>
  <c r="F16" i="16" s="1"/>
  <c r="D13" i="16"/>
  <c r="C13" i="16"/>
  <c r="F12" i="16"/>
  <c r="E12" i="16"/>
  <c r="D107" i="15"/>
  <c r="E107" i="15"/>
  <c r="C107" i="15"/>
  <c r="F106" i="15"/>
  <c r="E106" i="15"/>
  <c r="F105" i="15"/>
  <c r="E105" i="15"/>
  <c r="E104" i="15"/>
  <c r="F104" i="15" s="1"/>
  <c r="D100" i="15"/>
  <c r="E100" i="15"/>
  <c r="C100" i="15"/>
  <c r="F99" i="15"/>
  <c r="E99" i="15"/>
  <c r="E98" i="15"/>
  <c r="F98" i="15" s="1"/>
  <c r="E97" i="15"/>
  <c r="F97" i="15" s="1"/>
  <c r="E96" i="15"/>
  <c r="F96" i="15" s="1"/>
  <c r="F95" i="15"/>
  <c r="E95" i="15"/>
  <c r="D92" i="15"/>
  <c r="E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F73" i="15" s="1"/>
  <c r="D70" i="15"/>
  <c r="E70" i="15" s="1"/>
  <c r="C70" i="15"/>
  <c r="E69" i="15"/>
  <c r="F69" i="15" s="1"/>
  <c r="F68" i="15"/>
  <c r="E68" i="15"/>
  <c r="D65" i="15"/>
  <c r="E65" i="15" s="1"/>
  <c r="C65" i="15"/>
  <c r="E64" i="15"/>
  <c r="F64" i="15" s="1"/>
  <c r="F63" i="15"/>
  <c r="E63" i="15"/>
  <c r="D60" i="15"/>
  <c r="C60" i="15"/>
  <c r="F60" i="15" s="1"/>
  <c r="F59" i="15"/>
  <c r="E59" i="15"/>
  <c r="F58" i="15"/>
  <c r="E58" i="15"/>
  <c r="E60" i="15"/>
  <c r="D55" i="15"/>
  <c r="C55" i="15"/>
  <c r="F54" i="15"/>
  <c r="E54" i="15"/>
  <c r="F53" i="15"/>
  <c r="E53" i="15"/>
  <c r="D50" i="15"/>
  <c r="C50" i="15"/>
  <c r="F49" i="15"/>
  <c r="E49" i="15"/>
  <c r="F48" i="15"/>
  <c r="E48" i="15"/>
  <c r="D45" i="15"/>
  <c r="C45" i="15"/>
  <c r="F44" i="15"/>
  <c r="E44" i="15"/>
  <c r="F43" i="15"/>
  <c r="E43" i="15"/>
  <c r="D37" i="15"/>
  <c r="C37" i="15"/>
  <c r="F36" i="15"/>
  <c r="E36" i="15"/>
  <c r="F35" i="15"/>
  <c r="E35" i="15"/>
  <c r="F34" i="15"/>
  <c r="E34" i="15"/>
  <c r="F33" i="15"/>
  <c r="E33" i="15"/>
  <c r="D30" i="15"/>
  <c r="F30" i="15"/>
  <c r="C30" i="15"/>
  <c r="E30" i="15" s="1"/>
  <c r="F29" i="15"/>
  <c r="E29" i="15"/>
  <c r="F28" i="15"/>
  <c r="E28" i="15"/>
  <c r="E27" i="15"/>
  <c r="F27" i="15" s="1"/>
  <c r="F26" i="15"/>
  <c r="E26" i="15"/>
  <c r="D23" i="15"/>
  <c r="C23" i="15"/>
  <c r="F22" i="15"/>
  <c r="E22" i="15"/>
  <c r="E21" i="15"/>
  <c r="F21" i="15" s="1"/>
  <c r="F20" i="15"/>
  <c r="E20" i="15"/>
  <c r="E19" i="15"/>
  <c r="F19" i="15" s="1"/>
  <c r="D16" i="15"/>
  <c r="F16" i="15"/>
  <c r="C16" i="15"/>
  <c r="E16" i="15" s="1"/>
  <c r="F15" i="15"/>
  <c r="E15" i="15"/>
  <c r="E14" i="15"/>
  <c r="F14" i="15" s="1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1" i="14" s="1"/>
  <c r="F33" i="14"/>
  <c r="E17" i="14"/>
  <c r="E31" i="14"/>
  <c r="D17" i="14"/>
  <c r="D31" i="14" s="1"/>
  <c r="D33" i="14"/>
  <c r="D36" i="14" s="1"/>
  <c r="D38" i="14" s="1"/>
  <c r="D40" i="14" s="1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C78" i="13"/>
  <c r="C80" i="13"/>
  <c r="C77" i="13" s="1"/>
  <c r="E73" i="13"/>
  <c r="E75" i="13" s="1"/>
  <c r="D73" i="13"/>
  <c r="D75" i="13"/>
  <c r="C73" i="13"/>
  <c r="C75" i="13" s="1"/>
  <c r="E71" i="13"/>
  <c r="D71" i="13"/>
  <c r="C71" i="13"/>
  <c r="E66" i="13"/>
  <c r="D66" i="13"/>
  <c r="C66" i="13"/>
  <c r="E65" i="13"/>
  <c r="D65" i="13"/>
  <c r="C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D50" i="13"/>
  <c r="C50" i="13"/>
  <c r="E46" i="13"/>
  <c r="E59" i="13" s="1"/>
  <c r="E61" i="13" s="1"/>
  <c r="E57" i="13" s="1"/>
  <c r="D46" i="13"/>
  <c r="D59" i="13" s="1"/>
  <c r="D61" i="13"/>
  <c r="D57" i="13"/>
  <c r="C46" i="13"/>
  <c r="C59" i="13" s="1"/>
  <c r="C61" i="13" s="1"/>
  <c r="C57" i="13" s="1"/>
  <c r="E45" i="13"/>
  <c r="D45" i="13"/>
  <c r="C45" i="13"/>
  <c r="E38" i="13"/>
  <c r="D38" i="13"/>
  <c r="C38" i="13"/>
  <c r="E33" i="13"/>
  <c r="E34" i="13"/>
  <c r="D33" i="13"/>
  <c r="D34" i="13" s="1"/>
  <c r="E26" i="13"/>
  <c r="E27" i="13" s="1"/>
  <c r="D26" i="13"/>
  <c r="C26" i="13"/>
  <c r="E13" i="13"/>
  <c r="E25" i="13"/>
  <c r="D13" i="13"/>
  <c r="D25" i="13" s="1"/>
  <c r="D27" i="13"/>
  <c r="C13" i="13"/>
  <c r="C25" i="13"/>
  <c r="C27" i="13" s="1"/>
  <c r="D47" i="12"/>
  <c r="C47" i="12"/>
  <c r="F46" i="12"/>
  <c r="E46" i="12"/>
  <c r="F45" i="12"/>
  <c r="E45" i="12"/>
  <c r="D40" i="12"/>
  <c r="E40" i="12"/>
  <c r="F40" i="12"/>
  <c r="C40" i="12"/>
  <c r="E39" i="12"/>
  <c r="F39" i="12" s="1"/>
  <c r="F38" i="12"/>
  <c r="E38" i="12"/>
  <c r="E37" i="12"/>
  <c r="F37" i="12" s="1"/>
  <c r="D32" i="12"/>
  <c r="E32" i="12" s="1"/>
  <c r="C32" i="12"/>
  <c r="F31" i="12"/>
  <c r="E31" i="12"/>
  <c r="E30" i="12"/>
  <c r="F30" i="12" s="1"/>
  <c r="F29" i="12"/>
  <c r="E29" i="12"/>
  <c r="F28" i="12"/>
  <c r="E28" i="12"/>
  <c r="F27" i="12"/>
  <c r="E27" i="12"/>
  <c r="E26" i="12"/>
  <c r="F26" i="12" s="1"/>
  <c r="F25" i="12"/>
  <c r="E25" i="12"/>
  <c r="E24" i="12"/>
  <c r="F24" i="12" s="1"/>
  <c r="F23" i="12"/>
  <c r="E23" i="12"/>
  <c r="E19" i="12"/>
  <c r="F19" i="12" s="1"/>
  <c r="F18" i="12"/>
  <c r="E18" i="12"/>
  <c r="F16" i="12"/>
  <c r="E16" i="12"/>
  <c r="D15" i="12"/>
  <c r="D17" i="12" s="1"/>
  <c r="E17" i="12" s="1"/>
  <c r="C15" i="12"/>
  <c r="C17" i="12"/>
  <c r="F14" i="12"/>
  <c r="E14" i="12"/>
  <c r="E13" i="12"/>
  <c r="F13" i="12" s="1"/>
  <c r="F12" i="12"/>
  <c r="E12" i="12"/>
  <c r="E11" i="12"/>
  <c r="F11" i="12" s="1"/>
  <c r="D73" i="11"/>
  <c r="D75" i="11" s="1"/>
  <c r="C73" i="11"/>
  <c r="F72" i="11"/>
  <c r="E72" i="11"/>
  <c r="E71" i="11"/>
  <c r="F71" i="11" s="1"/>
  <c r="F70" i="11"/>
  <c r="E70" i="11"/>
  <c r="F67" i="11"/>
  <c r="E67" i="11"/>
  <c r="F64" i="11"/>
  <c r="E64" i="11"/>
  <c r="E63" i="11"/>
  <c r="F63" i="11" s="1"/>
  <c r="D61" i="11"/>
  <c r="D65" i="11" s="1"/>
  <c r="E65" i="11"/>
  <c r="C61" i="11"/>
  <c r="C65" i="11"/>
  <c r="F60" i="11"/>
  <c r="E60" i="11"/>
  <c r="E59" i="11"/>
  <c r="F59" i="11" s="1"/>
  <c r="D56" i="11"/>
  <c r="C56" i="11"/>
  <c r="E55" i="11"/>
  <c r="F55" i="11" s="1"/>
  <c r="F54" i="11"/>
  <c r="E54" i="11"/>
  <c r="E53" i="11"/>
  <c r="F53" i="11" s="1"/>
  <c r="F52" i="11"/>
  <c r="E52" i="11"/>
  <c r="F51" i="11"/>
  <c r="E51" i="11"/>
  <c r="A51" i="11"/>
  <c r="A52" i="11" s="1"/>
  <c r="A53" i="11"/>
  <c r="A54" i="11" s="1"/>
  <c r="A55" i="11" s="1"/>
  <c r="E50" i="11"/>
  <c r="F50" i="11" s="1"/>
  <c r="A50" i="11"/>
  <c r="F49" i="11"/>
  <c r="E49" i="11"/>
  <c r="E40" i="11"/>
  <c r="F40" i="11" s="1"/>
  <c r="D38" i="11"/>
  <c r="D41" i="11" s="1"/>
  <c r="C38" i="11"/>
  <c r="C41" i="11"/>
  <c r="F37" i="11"/>
  <c r="E37" i="11"/>
  <c r="F36" i="11"/>
  <c r="E36" i="11"/>
  <c r="F33" i="11"/>
  <c r="E33" i="11"/>
  <c r="E32" i="11"/>
  <c r="F32" i="11" s="1"/>
  <c r="F31" i="11"/>
  <c r="E31" i="11"/>
  <c r="D29" i="11"/>
  <c r="E29" i="11"/>
  <c r="F29" i="11" s="1"/>
  <c r="C29" i="11"/>
  <c r="E28" i="11"/>
  <c r="F28" i="11" s="1"/>
  <c r="F27" i="11"/>
  <c r="E27" i="11"/>
  <c r="F26" i="11"/>
  <c r="E26" i="11"/>
  <c r="F25" i="11"/>
  <c r="E25" i="11"/>
  <c r="D22" i="11"/>
  <c r="C22" i="11"/>
  <c r="F21" i="11"/>
  <c r="E21" i="11"/>
  <c r="F20" i="11"/>
  <c r="E20" i="1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F120" i="10"/>
  <c r="D120" i="10"/>
  <c r="E120" i="10" s="1"/>
  <c r="C120" i="10"/>
  <c r="D119" i="10"/>
  <c r="E119" i="10" s="1"/>
  <c r="F119" i="10"/>
  <c r="C119" i="10"/>
  <c r="D118" i="10"/>
  <c r="E118" i="10" s="1"/>
  <c r="C118" i="10"/>
  <c r="F118" i="10" s="1"/>
  <c r="D117" i="10"/>
  <c r="E117" i="10" s="1"/>
  <c r="C117" i="10"/>
  <c r="D116" i="10"/>
  <c r="E116" i="10" s="1"/>
  <c r="C116" i="10"/>
  <c r="F116" i="10" s="1"/>
  <c r="D115" i="10"/>
  <c r="C115" i="10"/>
  <c r="D114" i="10"/>
  <c r="E114" i="10" s="1"/>
  <c r="C114" i="10"/>
  <c r="D113" i="10"/>
  <c r="D122" i="10" s="1"/>
  <c r="C113" i="10"/>
  <c r="D112" i="10"/>
  <c r="C112" i="10"/>
  <c r="C121" i="10"/>
  <c r="F108" i="10"/>
  <c r="D108" i="10"/>
  <c r="E108" i="10"/>
  <c r="C108" i="10"/>
  <c r="D107" i="10"/>
  <c r="E107" i="10" s="1"/>
  <c r="C107" i="10"/>
  <c r="F106" i="10"/>
  <c r="E106" i="10"/>
  <c r="F105" i="10"/>
  <c r="E105" i="10"/>
  <c r="F104" i="10"/>
  <c r="E104" i="10"/>
  <c r="E103" i="10"/>
  <c r="F103" i="10" s="1"/>
  <c r="F102" i="10"/>
  <c r="E102" i="10"/>
  <c r="F101" i="10"/>
  <c r="E101" i="10"/>
  <c r="F100" i="10"/>
  <c r="E100" i="10"/>
  <c r="F99" i="10"/>
  <c r="E99" i="10"/>
  <c r="F98" i="10"/>
  <c r="E98" i="10"/>
  <c r="D96" i="10"/>
  <c r="E96" i="10"/>
  <c r="F96" i="10" s="1"/>
  <c r="C96" i="10"/>
  <c r="D95" i="10"/>
  <c r="E95" i="10"/>
  <c r="F95" i="10"/>
  <c r="C95" i="10"/>
  <c r="F94" i="10"/>
  <c r="E94" i="10"/>
  <c r="F93" i="10"/>
  <c r="E93" i="10"/>
  <c r="E92" i="10"/>
  <c r="F92" i="10" s="1"/>
  <c r="F91" i="10"/>
  <c r="E91" i="10"/>
  <c r="E90" i="10"/>
  <c r="F90" i="10" s="1"/>
  <c r="F89" i="10"/>
  <c r="E89" i="10"/>
  <c r="E88" i="10"/>
  <c r="F88" i="10" s="1"/>
  <c r="F87" i="10"/>
  <c r="E87" i="10"/>
  <c r="E86" i="10"/>
  <c r="F86" i="10" s="1"/>
  <c r="F84" i="10"/>
  <c r="D84" i="10"/>
  <c r="E84" i="10" s="1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D59" i="10"/>
  <c r="E59" i="10" s="1"/>
  <c r="C59" i="10"/>
  <c r="F59" i="10" s="1"/>
  <c r="F58" i="10"/>
  <c r="E58" i="10"/>
  <c r="F57" i="10"/>
  <c r="E57" i="10"/>
  <c r="F56" i="10"/>
  <c r="E56" i="10"/>
  <c r="E55" i="10"/>
  <c r="F55" i="10" s="1"/>
  <c r="F54" i="10"/>
  <c r="E54" i="10"/>
  <c r="F53" i="10"/>
  <c r="E53" i="10"/>
  <c r="F52" i="10"/>
  <c r="E52" i="10"/>
  <c r="E51" i="10"/>
  <c r="F51" i="10" s="1"/>
  <c r="F50" i="10"/>
  <c r="E50" i="10"/>
  <c r="F48" i="10"/>
  <c r="D48" i="10"/>
  <c r="E48" i="10" s="1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F36" i="10" s="1"/>
  <c r="D35" i="10"/>
  <c r="E35" i="10" s="1"/>
  <c r="F35" i="10"/>
  <c r="C35" i="10"/>
  <c r="F34" i="10"/>
  <c r="E34" i="10"/>
  <c r="E33" i="10"/>
  <c r="F33" i="10" s="1"/>
  <c r="F32" i="10"/>
  <c r="E32" i="10"/>
  <c r="E31" i="10"/>
  <c r="F31" i="10" s="1"/>
  <c r="F30" i="10"/>
  <c r="E30" i="10"/>
  <c r="E29" i="10"/>
  <c r="F29" i="10" s="1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206" i="9"/>
  <c r="D206" i="9"/>
  <c r="E206" i="9"/>
  <c r="C206" i="9"/>
  <c r="D205" i="9"/>
  <c r="E205" i="9" s="1"/>
  <c r="C205" i="9"/>
  <c r="D204" i="9"/>
  <c r="E204" i="9" s="1"/>
  <c r="F204" i="9" s="1"/>
  <c r="C204" i="9"/>
  <c r="D203" i="9"/>
  <c r="C203" i="9"/>
  <c r="D202" i="9"/>
  <c r="E202" i="9" s="1"/>
  <c r="F202" i="9"/>
  <c r="C202" i="9"/>
  <c r="D201" i="9"/>
  <c r="E201" i="9" s="1"/>
  <c r="C201" i="9"/>
  <c r="D200" i="9"/>
  <c r="C200" i="9"/>
  <c r="D199" i="9"/>
  <c r="C199" i="9"/>
  <c r="D198" i="9"/>
  <c r="D207" i="9" s="1"/>
  <c r="C198" i="9"/>
  <c r="C207" i="9" s="1"/>
  <c r="E207" i="9" s="1"/>
  <c r="D193" i="9"/>
  <c r="C193" i="9"/>
  <c r="D192" i="9"/>
  <c r="E192" i="9" s="1"/>
  <c r="F192" i="9"/>
  <c r="C192" i="9"/>
  <c r="F191" i="9"/>
  <c r="E191" i="9"/>
  <c r="E190" i="9"/>
  <c r="F190" i="9" s="1"/>
  <c r="F189" i="9"/>
  <c r="E189" i="9"/>
  <c r="E188" i="9"/>
  <c r="F188" i="9" s="1"/>
  <c r="F187" i="9"/>
  <c r="E187" i="9"/>
  <c r="E186" i="9"/>
  <c r="F186" i="9" s="1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 s="1"/>
  <c r="C154" i="9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C141" i="9"/>
  <c r="E141" i="9" s="1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 s="1"/>
  <c r="F127" i="9" s="1"/>
  <c r="C127" i="9"/>
  <c r="F126" i="9"/>
  <c r="E126" i="9"/>
  <c r="F125" i="9"/>
  <c r="E125" i="9"/>
  <c r="F124" i="9"/>
  <c r="E124" i="9"/>
  <c r="F123" i="9"/>
  <c r="E123" i="9"/>
  <c r="E122" i="9"/>
  <c r="F122" i="9" s="1"/>
  <c r="F121" i="9"/>
  <c r="E121" i="9"/>
  <c r="F120" i="9"/>
  <c r="E120" i="9"/>
  <c r="F119" i="9"/>
  <c r="E119" i="9"/>
  <c r="E118" i="9"/>
  <c r="F118" i="9" s="1"/>
  <c r="D115" i="9"/>
  <c r="E115" i="9"/>
  <c r="C115" i="9"/>
  <c r="F115" i="9" s="1"/>
  <c r="F114" i="9"/>
  <c r="D114" i="9"/>
  <c r="C114" i="9"/>
  <c r="E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 s="1"/>
  <c r="C102" i="9"/>
  <c r="D101" i="9"/>
  <c r="E101" i="9"/>
  <c r="F101" i="9" s="1"/>
  <c r="C101" i="9"/>
  <c r="F100" i="9"/>
  <c r="E100" i="9"/>
  <c r="F99" i="9"/>
  <c r="E99" i="9"/>
  <c r="E98" i="9"/>
  <c r="F98" i="9" s="1"/>
  <c r="F97" i="9"/>
  <c r="E97" i="9"/>
  <c r="F96" i="9"/>
  <c r="E96" i="9"/>
  <c r="F95" i="9"/>
  <c r="E95" i="9"/>
  <c r="E94" i="9"/>
  <c r="F94" i="9" s="1"/>
  <c r="F93" i="9"/>
  <c r="E93" i="9"/>
  <c r="E92" i="9"/>
  <c r="F92" i="9" s="1"/>
  <c r="D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 s="1"/>
  <c r="C76" i="9"/>
  <c r="D75" i="9"/>
  <c r="E75" i="9" s="1"/>
  <c r="F75" i="9" s="1"/>
  <c r="C75" i="9"/>
  <c r="F74" i="9"/>
  <c r="E74" i="9"/>
  <c r="F73" i="9"/>
  <c r="E73" i="9"/>
  <c r="F72" i="9"/>
  <c r="E72" i="9"/>
  <c r="F71" i="9"/>
  <c r="E71" i="9"/>
  <c r="E70" i="9"/>
  <c r="F70" i="9" s="1"/>
  <c r="F69" i="9"/>
  <c r="E69" i="9"/>
  <c r="E68" i="9"/>
  <c r="F68" i="9" s="1"/>
  <c r="F67" i="9"/>
  <c r="E67" i="9"/>
  <c r="E66" i="9"/>
  <c r="F66" i="9" s="1"/>
  <c r="F63" i="9"/>
  <c r="D63" i="9"/>
  <c r="E63" i="9"/>
  <c r="C63" i="9"/>
  <c r="F62" i="9"/>
  <c r="D62" i="9"/>
  <c r="C62" i="9"/>
  <c r="E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 s="1"/>
  <c r="C50" i="9"/>
  <c r="D49" i="9"/>
  <c r="E49" i="9"/>
  <c r="F49" i="9" s="1"/>
  <c r="C49" i="9"/>
  <c r="F48" i="9"/>
  <c r="E48" i="9"/>
  <c r="F47" i="9"/>
  <c r="E47" i="9"/>
  <c r="E46" i="9"/>
  <c r="F46" i="9" s="1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/>
  <c r="F23" i="9" s="1"/>
  <c r="C23" i="9"/>
  <c r="F22" i="9"/>
  <c r="E22" i="9"/>
  <c r="F21" i="9"/>
  <c r="E21" i="9"/>
  <c r="E20" i="9"/>
  <c r="F20" i="9" s="1"/>
  <c r="F19" i="9"/>
  <c r="E19" i="9"/>
  <c r="F18" i="9"/>
  <c r="E18" i="9"/>
  <c r="F17" i="9"/>
  <c r="E17" i="9"/>
  <c r="E16" i="9"/>
  <c r="F16" i="9" s="1"/>
  <c r="F15" i="9"/>
  <c r="E15" i="9"/>
  <c r="F14" i="9"/>
  <c r="E14" i="9"/>
  <c r="E191" i="8"/>
  <c r="D191" i="8"/>
  <c r="C191" i="8"/>
  <c r="E176" i="8"/>
  <c r="D176" i="8"/>
  <c r="C176" i="8"/>
  <c r="E164" i="8"/>
  <c r="E160" i="8" s="1"/>
  <c r="D164" i="8"/>
  <c r="D160" i="8"/>
  <c r="C164" i="8"/>
  <c r="E162" i="8"/>
  <c r="D162" i="8"/>
  <c r="C162" i="8"/>
  <c r="E161" i="8"/>
  <c r="E166" i="8" s="1"/>
  <c r="E154" i="8" s="1"/>
  <c r="D161" i="8"/>
  <c r="C161" i="8"/>
  <c r="C160" i="8"/>
  <c r="C166" i="8" s="1"/>
  <c r="C153" i="8" s="1"/>
  <c r="E147" i="8"/>
  <c r="D147" i="8"/>
  <c r="D143" i="8" s="1"/>
  <c r="C147" i="8"/>
  <c r="E145" i="8"/>
  <c r="D145" i="8"/>
  <c r="C145" i="8"/>
  <c r="E144" i="8"/>
  <c r="D144" i="8"/>
  <c r="C144" i="8"/>
  <c r="E143" i="8"/>
  <c r="E149" i="8" s="1"/>
  <c r="C143" i="8"/>
  <c r="C149" i="8" s="1"/>
  <c r="C136" i="8" s="1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D109" i="8" s="1"/>
  <c r="D106" i="8"/>
  <c r="C107" i="8"/>
  <c r="E104" i="8"/>
  <c r="E102" i="8"/>
  <c r="D102" i="8"/>
  <c r="D104" i="8"/>
  <c r="C102" i="8"/>
  <c r="C104" i="8" s="1"/>
  <c r="E100" i="8"/>
  <c r="D100" i="8"/>
  <c r="C100" i="8"/>
  <c r="E95" i="8"/>
  <c r="E94" i="8"/>
  <c r="D95" i="8"/>
  <c r="C95" i="8"/>
  <c r="C94" i="8" s="1"/>
  <c r="D94" i="8"/>
  <c r="E89" i="8"/>
  <c r="D89" i="8"/>
  <c r="C89" i="8"/>
  <c r="E87" i="8"/>
  <c r="D87" i="8"/>
  <c r="C87" i="8"/>
  <c r="E84" i="8"/>
  <c r="D84" i="8"/>
  <c r="D79" i="8" s="1"/>
  <c r="C84" i="8"/>
  <c r="E83" i="8"/>
  <c r="D83" i="8"/>
  <c r="C83" i="8"/>
  <c r="C79" i="8"/>
  <c r="E75" i="8"/>
  <c r="D75" i="8"/>
  <c r="C75" i="8"/>
  <c r="E74" i="8"/>
  <c r="D74" i="8"/>
  <c r="C74" i="8"/>
  <c r="E67" i="8"/>
  <c r="D67" i="8"/>
  <c r="C67" i="8"/>
  <c r="E38" i="8"/>
  <c r="E57" i="8"/>
  <c r="E62" i="8" s="1"/>
  <c r="D38" i="8"/>
  <c r="D53" i="8"/>
  <c r="C38" i="8"/>
  <c r="C57" i="8"/>
  <c r="C62" i="8" s="1"/>
  <c r="E33" i="8"/>
  <c r="E34" i="8" s="1"/>
  <c r="D33" i="8"/>
  <c r="D34" i="8" s="1"/>
  <c r="E26" i="8"/>
  <c r="D26" i="8"/>
  <c r="C26" i="8"/>
  <c r="E15" i="8"/>
  <c r="E24" i="8"/>
  <c r="C15" i="8"/>
  <c r="C24" i="8" s="1"/>
  <c r="E13" i="8"/>
  <c r="E25" i="8"/>
  <c r="E27" i="8" s="1"/>
  <c r="D13" i="8"/>
  <c r="D25" i="8"/>
  <c r="D27" i="8"/>
  <c r="C13" i="8"/>
  <c r="C25" i="8"/>
  <c r="C27" i="8" s="1"/>
  <c r="F186" i="7"/>
  <c r="E186" i="7"/>
  <c r="D183" i="7"/>
  <c r="C183" i="7"/>
  <c r="F182" i="7"/>
  <c r="E182" i="7"/>
  <c r="E181" i="7"/>
  <c r="F181" i="7" s="1"/>
  <c r="E180" i="7"/>
  <c r="F180" i="7" s="1"/>
  <c r="E179" i="7"/>
  <c r="F179" i="7" s="1"/>
  <c r="E178" i="7"/>
  <c r="F178" i="7" s="1"/>
  <c r="F177" i="7"/>
  <c r="E177" i="7"/>
  <c r="E176" i="7"/>
  <c r="F176" i="7" s="1"/>
  <c r="E175" i="7"/>
  <c r="F175" i="7" s="1"/>
  <c r="F174" i="7"/>
  <c r="E174" i="7"/>
  <c r="E173" i="7"/>
  <c r="F173" i="7" s="1"/>
  <c r="F172" i="7"/>
  <c r="E172" i="7"/>
  <c r="F171" i="7"/>
  <c r="E171" i="7"/>
  <c r="E170" i="7"/>
  <c r="F170" i="7" s="1"/>
  <c r="D167" i="7"/>
  <c r="C167" i="7"/>
  <c r="E166" i="7"/>
  <c r="F166" i="7" s="1"/>
  <c r="F165" i="7"/>
  <c r="E165" i="7"/>
  <c r="F164" i="7"/>
  <c r="E164" i="7"/>
  <c r="E163" i="7"/>
  <c r="F163" i="7" s="1"/>
  <c r="F162" i="7"/>
  <c r="E162" i="7"/>
  <c r="E161" i="7"/>
  <c r="F161" i="7" s="1"/>
  <c r="F160" i="7"/>
  <c r="E160" i="7"/>
  <c r="F159" i="7"/>
  <c r="E159" i="7"/>
  <c r="E158" i="7"/>
  <c r="F158" i="7" s="1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F144" i="7"/>
  <c r="E144" i="7"/>
  <c r="E143" i="7"/>
  <c r="F143" i="7" s="1"/>
  <c r="E142" i="7"/>
  <c r="F142" i="7" s="1"/>
  <c r="E141" i="7"/>
  <c r="F141" i="7" s="1"/>
  <c r="F140" i="7"/>
  <c r="E140" i="7"/>
  <c r="F139" i="7"/>
  <c r="E139" i="7"/>
  <c r="F138" i="7"/>
  <c r="E138" i="7"/>
  <c r="E137" i="7"/>
  <c r="F137" i="7" s="1"/>
  <c r="F136" i="7"/>
  <c r="E136" i="7"/>
  <c r="F135" i="7"/>
  <c r="E135" i="7"/>
  <c r="E134" i="7"/>
  <c r="F134" i="7" s="1"/>
  <c r="E133" i="7"/>
  <c r="F133" i="7" s="1"/>
  <c r="D130" i="7"/>
  <c r="C130" i="7"/>
  <c r="F129" i="7"/>
  <c r="E129" i="7"/>
  <c r="F128" i="7"/>
  <c r="E128" i="7"/>
  <c r="F127" i="7"/>
  <c r="E127" i="7"/>
  <c r="E126" i="7"/>
  <c r="F126" i="7" s="1"/>
  <c r="F125" i="7"/>
  <c r="E125" i="7"/>
  <c r="E124" i="7"/>
  <c r="F124" i="7" s="1"/>
  <c r="D121" i="7"/>
  <c r="E121" i="7" s="1"/>
  <c r="C121" i="7"/>
  <c r="E120" i="7"/>
  <c r="F120" i="7" s="1"/>
  <c r="E119" i="7"/>
  <c r="F119" i="7" s="1"/>
  <c r="F118" i="7"/>
  <c r="E118" i="7"/>
  <c r="F117" i="7"/>
  <c r="E117" i="7"/>
  <c r="F116" i="7"/>
  <c r="E116" i="7"/>
  <c r="E115" i="7"/>
  <c r="F115" i="7" s="1"/>
  <c r="E114" i="7"/>
  <c r="F114" i="7" s="1"/>
  <c r="E113" i="7"/>
  <c r="F113" i="7" s="1"/>
  <c r="E112" i="7"/>
  <c r="F112" i="7" s="1"/>
  <c r="F111" i="7"/>
  <c r="E111" i="7"/>
  <c r="F110" i="7"/>
  <c r="E110" i="7"/>
  <c r="F109" i="7"/>
  <c r="E109" i="7"/>
  <c r="E108" i="7"/>
  <c r="F108" i="7" s="1"/>
  <c r="F107" i="7"/>
  <c r="E107" i="7"/>
  <c r="F106" i="7"/>
  <c r="E106" i="7"/>
  <c r="E105" i="7"/>
  <c r="F105" i="7" s="1"/>
  <c r="E104" i="7"/>
  <c r="F104" i="7" s="1"/>
  <c r="E103" i="7"/>
  <c r="F103" i="7" s="1"/>
  <c r="F93" i="7"/>
  <c r="E93" i="7"/>
  <c r="D90" i="7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C59" i="7"/>
  <c r="F58" i="7"/>
  <c r="E58" i="7"/>
  <c r="F57" i="7"/>
  <c r="E57" i="7"/>
  <c r="F56" i="7"/>
  <c r="E56" i="7"/>
  <c r="E55" i="7"/>
  <c r="F55" i="7" s="1"/>
  <c r="F54" i="7"/>
  <c r="E54" i="7"/>
  <c r="F53" i="7"/>
  <c r="E53" i="7"/>
  <c r="F50" i="7"/>
  <c r="E50" i="7"/>
  <c r="E47" i="7"/>
  <c r="F47" i="7" s="1"/>
  <c r="F44" i="7"/>
  <c r="E44" i="7"/>
  <c r="D41" i="7"/>
  <c r="E41" i="7" s="1"/>
  <c r="C41" i="7"/>
  <c r="F41" i="7" s="1"/>
  <c r="E40" i="7"/>
  <c r="F40" i="7" s="1"/>
  <c r="F39" i="7"/>
  <c r="E39" i="7"/>
  <c r="F38" i="7"/>
  <c r="E38" i="7"/>
  <c r="D35" i="7"/>
  <c r="C35" i="7"/>
  <c r="E34" i="7"/>
  <c r="F34" i="7" s="1"/>
  <c r="F33" i="7"/>
  <c r="E33" i="7"/>
  <c r="D30" i="7"/>
  <c r="C30" i="7"/>
  <c r="F29" i="7"/>
  <c r="E29" i="7"/>
  <c r="F28" i="7"/>
  <c r="E28" i="7"/>
  <c r="F27" i="7"/>
  <c r="E27" i="7"/>
  <c r="D24" i="7"/>
  <c r="E24" i="7"/>
  <c r="F24" i="7" s="1"/>
  <c r="C24" i="7"/>
  <c r="F23" i="7"/>
  <c r="E23" i="7"/>
  <c r="E22" i="7"/>
  <c r="F22" i="7" s="1"/>
  <c r="E21" i="7"/>
  <c r="F21" i="7" s="1"/>
  <c r="D18" i="7"/>
  <c r="E18" i="7" s="1"/>
  <c r="F18" i="7" s="1"/>
  <c r="C18" i="7"/>
  <c r="E17" i="7"/>
  <c r="F17" i="7" s="1"/>
  <c r="E16" i="7"/>
  <c r="F16" i="7" s="1"/>
  <c r="E15" i="7"/>
  <c r="F15" i="7" s="1"/>
  <c r="D179" i="6"/>
  <c r="C179" i="6"/>
  <c r="F178" i="6"/>
  <c r="E178" i="6"/>
  <c r="F177" i="6"/>
  <c r="E177" i="6"/>
  <c r="E176" i="6"/>
  <c r="F176" i="6" s="1"/>
  <c r="E175" i="6"/>
  <c r="F175" i="6" s="1"/>
  <c r="F174" i="6"/>
  <c r="E174" i="6"/>
  <c r="F173" i="6"/>
  <c r="E173" i="6"/>
  <c r="F172" i="6"/>
  <c r="E172" i="6"/>
  <c r="E171" i="6"/>
  <c r="F171" i="6" s="1"/>
  <c r="E170" i="6"/>
  <c r="F170" i="6" s="1"/>
  <c r="E169" i="6"/>
  <c r="F169" i="6" s="1"/>
  <c r="E168" i="6"/>
  <c r="F168" i="6" s="1"/>
  <c r="D166" i="6"/>
  <c r="C166" i="6"/>
  <c r="F165" i="6"/>
  <c r="E165" i="6"/>
  <c r="F164" i="6"/>
  <c r="E164" i="6"/>
  <c r="E163" i="6"/>
  <c r="F163" i="6" s="1"/>
  <c r="F162" i="6"/>
  <c r="E162" i="6"/>
  <c r="F161" i="6"/>
  <c r="E161" i="6"/>
  <c r="F160" i="6"/>
  <c r="E160" i="6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 s="1"/>
  <c r="F153" i="6"/>
  <c r="C153" i="6"/>
  <c r="F152" i="6"/>
  <c r="E152" i="6"/>
  <c r="F151" i="6"/>
  <c r="E151" i="6"/>
  <c r="F150" i="6"/>
  <c r="E150" i="6"/>
  <c r="F149" i="6"/>
  <c r="E149" i="6"/>
  <c r="F148" i="6"/>
  <c r="E148" i="6"/>
  <c r="E147" i="6"/>
  <c r="F147" i="6" s="1"/>
  <c r="E146" i="6"/>
  <c r="F146" i="6" s="1"/>
  <c r="F145" i="6"/>
  <c r="E145" i="6"/>
  <c r="E144" i="6"/>
  <c r="F144" i="6" s="1"/>
  <c r="E143" i="6"/>
  <c r="F143" i="6" s="1"/>
  <c r="F142" i="6"/>
  <c r="E142" i="6"/>
  <c r="D137" i="6"/>
  <c r="E137" i="6" s="1"/>
  <c r="F137" i="6" s="1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E128" i="6"/>
  <c r="F128" i="6" s="1"/>
  <c r="E127" i="6"/>
  <c r="F127" i="6" s="1"/>
  <c r="E126" i="6"/>
  <c r="F126" i="6" s="1"/>
  <c r="D124" i="6"/>
  <c r="E124" i="6"/>
  <c r="C124" i="6"/>
  <c r="F123" i="6"/>
  <c r="E123" i="6"/>
  <c r="F122" i="6"/>
  <c r="E122" i="6"/>
  <c r="F121" i="6"/>
  <c r="E121" i="6"/>
  <c r="E120" i="6"/>
  <c r="F120" i="6" s="1"/>
  <c r="F119" i="6"/>
  <c r="E119" i="6"/>
  <c r="E118" i="6"/>
  <c r="F118" i="6" s="1"/>
  <c r="E117" i="6"/>
  <c r="F117" i="6" s="1"/>
  <c r="E116" i="6"/>
  <c r="F116" i="6" s="1"/>
  <c r="F115" i="6"/>
  <c r="E115" i="6"/>
  <c r="F114" i="6"/>
  <c r="E114" i="6"/>
  <c r="F113" i="6"/>
  <c r="E113" i="6"/>
  <c r="D111" i="6"/>
  <c r="E111" i="6"/>
  <c r="F111" i="6" s="1"/>
  <c r="C111" i="6"/>
  <c r="F110" i="6"/>
  <c r="E110" i="6"/>
  <c r="F109" i="6"/>
  <c r="E109" i="6"/>
  <c r="E108" i="6"/>
  <c r="F108" i="6" s="1"/>
  <c r="F107" i="6"/>
  <c r="E107" i="6"/>
  <c r="F106" i="6"/>
  <c r="E106" i="6"/>
  <c r="E105" i="6"/>
  <c r="F105" i="6" s="1"/>
  <c r="E104" i="6"/>
  <c r="F104" i="6" s="1"/>
  <c r="E103" i="6"/>
  <c r="F103" i="6" s="1"/>
  <c r="F102" i="6"/>
  <c r="E102" i="6"/>
  <c r="F101" i="6"/>
  <c r="E101" i="6"/>
  <c r="E100" i="6"/>
  <c r="F100" i="6" s="1"/>
  <c r="D94" i="6"/>
  <c r="E94" i="6" s="1"/>
  <c r="C94" i="6"/>
  <c r="F94" i="6" s="1"/>
  <c r="D93" i="6"/>
  <c r="E93" i="6" s="1"/>
  <c r="C93" i="6"/>
  <c r="F93" i="6" s="1"/>
  <c r="D92" i="6"/>
  <c r="C92" i="6"/>
  <c r="D91" i="6"/>
  <c r="E91" i="6" s="1"/>
  <c r="C91" i="6"/>
  <c r="D90" i="6"/>
  <c r="E90" i="6" s="1"/>
  <c r="C90" i="6"/>
  <c r="F90" i="6" s="1"/>
  <c r="D89" i="6"/>
  <c r="E89" i="6" s="1"/>
  <c r="C89" i="6"/>
  <c r="D88" i="6"/>
  <c r="E88" i="6" s="1"/>
  <c r="F88" i="6" s="1"/>
  <c r="C88" i="6"/>
  <c r="D87" i="6"/>
  <c r="E87" i="6"/>
  <c r="C87" i="6"/>
  <c r="D86" i="6"/>
  <c r="E86" i="6"/>
  <c r="C86" i="6"/>
  <c r="F86" i="6" s="1"/>
  <c r="D85" i="6"/>
  <c r="E85" i="6"/>
  <c r="C85" i="6"/>
  <c r="D84" i="6"/>
  <c r="C84" i="6"/>
  <c r="D81" i="6"/>
  <c r="E81" i="6" s="1"/>
  <c r="C81" i="6"/>
  <c r="F80" i="6"/>
  <c r="E80" i="6"/>
  <c r="F79" i="6"/>
  <c r="E79" i="6"/>
  <c r="E78" i="6"/>
  <c r="F78" i="6" s="1"/>
  <c r="E77" i="6"/>
  <c r="F77" i="6" s="1"/>
  <c r="F76" i="6"/>
  <c r="E76" i="6"/>
  <c r="F75" i="6"/>
  <c r="E75" i="6"/>
  <c r="F74" i="6"/>
  <c r="E74" i="6"/>
  <c r="E73" i="6"/>
  <c r="F73" i="6" s="1"/>
  <c r="E72" i="6"/>
  <c r="F72" i="6" s="1"/>
  <c r="F71" i="6"/>
  <c r="E71" i="6"/>
  <c r="E70" i="6"/>
  <c r="F70" i="6" s="1"/>
  <c r="D68" i="6"/>
  <c r="C68" i="6"/>
  <c r="F67" i="6"/>
  <c r="E67" i="6"/>
  <c r="F66" i="6"/>
  <c r="E66" i="6"/>
  <c r="E65" i="6"/>
  <c r="F65" i="6" s="1"/>
  <c r="F64" i="6"/>
  <c r="E64" i="6"/>
  <c r="F63" i="6"/>
  <c r="E63" i="6"/>
  <c r="F62" i="6"/>
  <c r="E62" i="6"/>
  <c r="E61" i="6"/>
  <c r="F61" i="6" s="1"/>
  <c r="E60" i="6"/>
  <c r="F60" i="6" s="1"/>
  <c r="E59" i="6"/>
  <c r="F59" i="6" s="1"/>
  <c r="E58" i="6"/>
  <c r="F58" i="6" s="1"/>
  <c r="E57" i="6"/>
  <c r="F57" i="6" s="1"/>
  <c r="F51" i="6"/>
  <c r="D51" i="6"/>
  <c r="E51" i="6"/>
  <c r="C51" i="6"/>
  <c r="D50" i="6"/>
  <c r="C50" i="6"/>
  <c r="F50" i="6" s="1"/>
  <c r="D49" i="6"/>
  <c r="E49" i="6"/>
  <c r="C49" i="6"/>
  <c r="D48" i="6"/>
  <c r="C48" i="6"/>
  <c r="F47" i="6"/>
  <c r="D47" i="6"/>
  <c r="E47" i="6"/>
  <c r="C47" i="6"/>
  <c r="D46" i="6"/>
  <c r="E46" i="6" s="1"/>
  <c r="C46" i="6"/>
  <c r="D45" i="6"/>
  <c r="C45" i="6"/>
  <c r="E45" i="6" s="1"/>
  <c r="D44" i="6"/>
  <c r="E44" i="6"/>
  <c r="C44" i="6"/>
  <c r="D43" i="6"/>
  <c r="E43" i="6" s="1"/>
  <c r="F43" i="6" s="1"/>
  <c r="C43" i="6"/>
  <c r="D42" i="6"/>
  <c r="E42" i="6" s="1"/>
  <c r="C42" i="6"/>
  <c r="D41" i="6"/>
  <c r="D52" i="6"/>
  <c r="C41" i="6"/>
  <c r="E41" i="6" s="1"/>
  <c r="F41" i="6" s="1"/>
  <c r="D38" i="6"/>
  <c r="E38" i="6" s="1"/>
  <c r="C38" i="6"/>
  <c r="F38" i="6" s="1"/>
  <c r="F37" i="6"/>
  <c r="E37" i="6"/>
  <c r="F36" i="6"/>
  <c r="E36" i="6"/>
  <c r="F35" i="6"/>
  <c r="E35" i="6"/>
  <c r="E34" i="6"/>
  <c r="F34" i="6" s="1"/>
  <c r="F33" i="6"/>
  <c r="E33" i="6"/>
  <c r="F32" i="6"/>
  <c r="E32" i="6"/>
  <c r="F31" i="6"/>
  <c r="E31" i="6"/>
  <c r="E30" i="6"/>
  <c r="F30" i="6" s="1"/>
  <c r="E29" i="6"/>
  <c r="F29" i="6" s="1"/>
  <c r="F28" i="6"/>
  <c r="E28" i="6"/>
  <c r="F27" i="6"/>
  <c r="E27" i="6"/>
  <c r="D25" i="6"/>
  <c r="C25" i="6"/>
  <c r="F24" i="6"/>
  <c r="E24" i="6"/>
  <c r="F23" i="6"/>
  <c r="E23" i="6"/>
  <c r="E22" i="6"/>
  <c r="F22" i="6" s="1"/>
  <c r="E21" i="6"/>
  <c r="F21" i="6" s="1"/>
  <c r="F20" i="6"/>
  <c r="E20" i="6"/>
  <c r="F19" i="6"/>
  <c r="E19" i="6"/>
  <c r="E18" i="6"/>
  <c r="F18" i="6" s="1"/>
  <c r="E17" i="6"/>
  <c r="F17" i="6" s="1"/>
  <c r="F16" i="6"/>
  <c r="E16" i="6"/>
  <c r="F15" i="6"/>
  <c r="E15" i="6"/>
  <c r="E14" i="6"/>
  <c r="F14" i="6" s="1"/>
  <c r="E51" i="5"/>
  <c r="F51" i="5" s="1"/>
  <c r="D48" i="5"/>
  <c r="E48" i="5" s="1"/>
  <c r="C48" i="5"/>
  <c r="F48" i="5" s="1"/>
  <c r="F47" i="5"/>
  <c r="E47" i="5"/>
  <c r="F46" i="5"/>
  <c r="E46" i="5"/>
  <c r="D41" i="5"/>
  <c r="E41" i="5"/>
  <c r="C41" i="5"/>
  <c r="E40" i="5"/>
  <c r="F40" i="5" s="1"/>
  <c r="F39" i="5"/>
  <c r="E39" i="5"/>
  <c r="F38" i="5"/>
  <c r="E38" i="5"/>
  <c r="D33" i="5"/>
  <c r="E33" i="5"/>
  <c r="C33" i="5"/>
  <c r="E32" i="5"/>
  <c r="F32" i="5" s="1"/>
  <c r="E31" i="5"/>
  <c r="F31" i="5" s="1"/>
  <c r="E30" i="5"/>
  <c r="F30" i="5" s="1"/>
  <c r="E29" i="5"/>
  <c r="F29" i="5" s="1"/>
  <c r="F28" i="5"/>
  <c r="E28" i="5"/>
  <c r="F27" i="5"/>
  <c r="E27" i="5"/>
  <c r="F26" i="5"/>
  <c r="E26" i="5"/>
  <c r="E25" i="5"/>
  <c r="F25" i="5" s="1"/>
  <c r="F24" i="5"/>
  <c r="E24" i="5"/>
  <c r="E20" i="5"/>
  <c r="F20" i="5" s="1"/>
  <c r="E19" i="5"/>
  <c r="F19" i="5" s="1"/>
  <c r="F17" i="5"/>
  <c r="E17" i="5"/>
  <c r="D16" i="5"/>
  <c r="D18" i="5"/>
  <c r="C16" i="5"/>
  <c r="C18" i="5"/>
  <c r="F15" i="5"/>
  <c r="E15" i="5"/>
  <c r="E14" i="5"/>
  <c r="F14" i="5" s="1"/>
  <c r="F13" i="5"/>
  <c r="E13" i="5"/>
  <c r="F12" i="5"/>
  <c r="E12" i="5"/>
  <c r="D73" i="4"/>
  <c r="E73" i="4" s="1"/>
  <c r="C73" i="4"/>
  <c r="E72" i="4"/>
  <c r="F72" i="4" s="1"/>
  <c r="E71" i="4"/>
  <c r="F71" i="4" s="1"/>
  <c r="E70" i="4"/>
  <c r="F70" i="4" s="1"/>
  <c r="F67" i="4"/>
  <c r="E67" i="4"/>
  <c r="F64" i="4"/>
  <c r="E64" i="4"/>
  <c r="F63" i="4"/>
  <c r="E63" i="4"/>
  <c r="D61" i="4"/>
  <c r="D65" i="4"/>
  <c r="E65" i="4" s="1"/>
  <c r="C61" i="4"/>
  <c r="C65" i="4"/>
  <c r="F60" i="4"/>
  <c r="E60" i="4"/>
  <c r="F59" i="4"/>
  <c r="E59" i="4"/>
  <c r="D56" i="4"/>
  <c r="C56" i="4"/>
  <c r="C75" i="4" s="1"/>
  <c r="F55" i="4"/>
  <c r="E55" i="4"/>
  <c r="F54" i="4"/>
  <c r="E54" i="4"/>
  <c r="F53" i="4"/>
  <c r="E53" i="4"/>
  <c r="F52" i="4"/>
  <c r="E52" i="4"/>
  <c r="F51" i="4"/>
  <c r="E51" i="4"/>
  <c r="A51" i="4"/>
  <c r="A52" i="4" s="1"/>
  <c r="A53" i="4"/>
  <c r="A54" i="4" s="1"/>
  <c r="A55" i="4" s="1"/>
  <c r="E50" i="4"/>
  <c r="F50" i="4"/>
  <c r="A50" i="4"/>
  <c r="F49" i="4"/>
  <c r="E49" i="4"/>
  <c r="F40" i="4"/>
  <c r="E40" i="4"/>
  <c r="D38" i="4"/>
  <c r="D41" i="4" s="1"/>
  <c r="C38" i="4"/>
  <c r="C41" i="4" s="1"/>
  <c r="F37" i="4"/>
  <c r="E37" i="4"/>
  <c r="F36" i="4"/>
  <c r="E36" i="4"/>
  <c r="F33" i="4"/>
  <c r="E33" i="4"/>
  <c r="F32" i="4"/>
  <c r="E32" i="4"/>
  <c r="F31" i="4"/>
  <c r="E31" i="4"/>
  <c r="D29" i="4"/>
  <c r="E29" i="4" s="1"/>
  <c r="F29" i="4" s="1"/>
  <c r="C29" i="4"/>
  <c r="E28" i="4"/>
  <c r="F28" i="4" s="1"/>
  <c r="F27" i="4"/>
  <c r="E27" i="4"/>
  <c r="F26" i="4"/>
  <c r="E26" i="4"/>
  <c r="F25" i="4"/>
  <c r="E25" i="4"/>
  <c r="D22" i="4"/>
  <c r="D43" i="4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E109" i="22"/>
  <c r="E108" i="22"/>
  <c r="D22" i="22"/>
  <c r="C23" i="22"/>
  <c r="C36" i="22" s="1"/>
  <c r="E23" i="22"/>
  <c r="E36" i="22" s="1"/>
  <c r="D33" i="22"/>
  <c r="C34" i="22"/>
  <c r="E34" i="22"/>
  <c r="E102" i="22"/>
  <c r="E103" i="22" s="1"/>
  <c r="C22" i="22"/>
  <c r="E22" i="22"/>
  <c r="E39" i="22" s="1"/>
  <c r="E223" i="17"/>
  <c r="F20" i="20"/>
  <c r="F40" i="20"/>
  <c r="F45" i="20"/>
  <c r="D41" i="20"/>
  <c r="E19" i="20"/>
  <c r="F19" i="20" s="1"/>
  <c r="E43" i="20"/>
  <c r="C38" i="19"/>
  <c r="C127" i="19"/>
  <c r="C129" i="19" s="1"/>
  <c r="C133" i="19" s="1"/>
  <c r="D192" i="17"/>
  <c r="E129" i="17"/>
  <c r="F129" i="17" s="1"/>
  <c r="E130" i="17"/>
  <c r="E135" i="17"/>
  <c r="F135" i="17" s="1"/>
  <c r="E145" i="17"/>
  <c r="E155" i="17"/>
  <c r="E164" i="17"/>
  <c r="E170" i="17"/>
  <c r="E180" i="17"/>
  <c r="F299" i="17"/>
  <c r="C22" i="19"/>
  <c r="E229" i="17"/>
  <c r="E230" i="17"/>
  <c r="C283" i="18"/>
  <c r="C22" i="18"/>
  <c r="C284" i="18"/>
  <c r="E21" i="18"/>
  <c r="D33" i="18"/>
  <c r="E32" i="18"/>
  <c r="D43" i="18"/>
  <c r="C43" i="18"/>
  <c r="D77" i="18"/>
  <c r="D126" i="18" s="1"/>
  <c r="E23" i="17"/>
  <c r="F23" i="17" s="1"/>
  <c r="E24" i="17"/>
  <c r="F24" i="17" s="1"/>
  <c r="E85" i="17"/>
  <c r="E22" i="18"/>
  <c r="D289" i="18"/>
  <c r="D71" i="18"/>
  <c r="D76" i="18" s="1"/>
  <c r="D65" i="18"/>
  <c r="E60" i="18"/>
  <c r="E69" i="18"/>
  <c r="E70" i="18"/>
  <c r="D283" i="18"/>
  <c r="E283" i="18" s="1"/>
  <c r="E139" i="18"/>
  <c r="D144" i="18"/>
  <c r="E144" i="18" s="1"/>
  <c r="C145" i="18"/>
  <c r="C156" i="18"/>
  <c r="D175" i="18"/>
  <c r="C180" i="18"/>
  <c r="C229" i="18"/>
  <c r="C210" i="18"/>
  <c r="C234" i="18" s="1"/>
  <c r="E205" i="18"/>
  <c r="E244" i="18"/>
  <c r="E245" i="18"/>
  <c r="D252" i="18"/>
  <c r="E302" i="18"/>
  <c r="C303" i="18"/>
  <c r="C306" i="18" s="1"/>
  <c r="C310" i="18" s="1"/>
  <c r="C261" i="18"/>
  <c r="C189" i="18"/>
  <c r="D260" i="18"/>
  <c r="E260" i="18" s="1"/>
  <c r="E195" i="18"/>
  <c r="C253" i="18"/>
  <c r="D306" i="18"/>
  <c r="E326" i="18"/>
  <c r="D330" i="18"/>
  <c r="E330" i="18"/>
  <c r="E215" i="18"/>
  <c r="C217" i="18"/>
  <c r="C241" i="18" s="1"/>
  <c r="E221" i="18"/>
  <c r="D222" i="18"/>
  <c r="E265" i="18"/>
  <c r="E216" i="18"/>
  <c r="E220" i="18"/>
  <c r="C222" i="18"/>
  <c r="E233" i="18"/>
  <c r="E324" i="18"/>
  <c r="D21" i="17"/>
  <c r="D126" i="17" s="1"/>
  <c r="E29" i="17"/>
  <c r="F29" i="17"/>
  <c r="D68" i="17"/>
  <c r="E68" i="17" s="1"/>
  <c r="F68" i="17" s="1"/>
  <c r="E66" i="17"/>
  <c r="F66" i="17"/>
  <c r="E77" i="17"/>
  <c r="C103" i="17"/>
  <c r="E181" i="17"/>
  <c r="C21" i="17"/>
  <c r="D31" i="17"/>
  <c r="D37" i="17"/>
  <c r="D48" i="17"/>
  <c r="D60" i="17"/>
  <c r="C138" i="17"/>
  <c r="C173" i="17"/>
  <c r="F173" i="17" s="1"/>
  <c r="F172" i="17"/>
  <c r="C37" i="17"/>
  <c r="E76" i="17"/>
  <c r="F76" i="17"/>
  <c r="F85" i="17"/>
  <c r="F94" i="17"/>
  <c r="F95" i="17"/>
  <c r="F100" i="17"/>
  <c r="F110" i="17"/>
  <c r="F120" i="17"/>
  <c r="D124" i="17"/>
  <c r="F130" i="17"/>
  <c r="F145" i="17"/>
  <c r="F155" i="17"/>
  <c r="F164" i="17"/>
  <c r="F165" i="17"/>
  <c r="F170" i="17"/>
  <c r="F171" i="17"/>
  <c r="F179" i="17"/>
  <c r="F180" i="17"/>
  <c r="D278" i="17"/>
  <c r="D262" i="17"/>
  <c r="D272" i="17" s="1"/>
  <c r="E272" i="17" s="1"/>
  <c r="F272" i="17" s="1"/>
  <c r="D215" i="17"/>
  <c r="D280" i="17"/>
  <c r="E280" i="17" s="1"/>
  <c r="F280" i="17" s="1"/>
  <c r="D264" i="17"/>
  <c r="D200" i="17"/>
  <c r="E200" i="17" s="1"/>
  <c r="F200" i="17" s="1"/>
  <c r="D193" i="17"/>
  <c r="C283" i="17"/>
  <c r="E283" i="17" s="1"/>
  <c r="C267" i="17"/>
  <c r="C270" i="17" s="1"/>
  <c r="E203" i="17"/>
  <c r="F203" i="17"/>
  <c r="C205" i="17"/>
  <c r="E101" i="17"/>
  <c r="F101" i="17" s="1"/>
  <c r="E109" i="17"/>
  <c r="F109" i="17" s="1"/>
  <c r="E136" i="17"/>
  <c r="F136" i="17" s="1"/>
  <c r="E144" i="17"/>
  <c r="F144" i="17" s="1"/>
  <c r="E179" i="17"/>
  <c r="C277" i="17"/>
  <c r="C284" i="17" s="1"/>
  <c r="C261" i="17"/>
  <c r="C254" i="17"/>
  <c r="C214" i="17"/>
  <c r="C278" i="17"/>
  <c r="C262" i="17"/>
  <c r="C255" i="17"/>
  <c r="C215" i="17"/>
  <c r="C216" i="17" s="1"/>
  <c r="E189" i="17"/>
  <c r="F189" i="17"/>
  <c r="C190" i="17"/>
  <c r="C280" i="17"/>
  <c r="C264" i="17"/>
  <c r="E191" i="17"/>
  <c r="F191" i="17"/>
  <c r="C192" i="17"/>
  <c r="C290" i="17"/>
  <c r="C274" i="17"/>
  <c r="E198" i="17"/>
  <c r="F198" i="17" s="1"/>
  <c r="C285" i="17"/>
  <c r="C269" i="17"/>
  <c r="E204" i="17"/>
  <c r="F204" i="17"/>
  <c r="E290" i="17"/>
  <c r="D199" i="17"/>
  <c r="E199" i="17" s="1"/>
  <c r="F199" i="17" s="1"/>
  <c r="D286" i="17"/>
  <c r="D205" i="17"/>
  <c r="E205" i="17" s="1"/>
  <c r="F205" i="17" s="1"/>
  <c r="F223" i="17"/>
  <c r="F229" i="17"/>
  <c r="F230" i="17"/>
  <c r="E306" i="17"/>
  <c r="E226" i="17"/>
  <c r="F226" i="17" s="1"/>
  <c r="E250" i="17"/>
  <c r="F250" i="17"/>
  <c r="D267" i="17"/>
  <c r="D269" i="17"/>
  <c r="E269" i="17"/>
  <c r="F269" i="17" s="1"/>
  <c r="D274" i="17"/>
  <c r="E274" i="17" s="1"/>
  <c r="F36" i="14"/>
  <c r="F38" i="14"/>
  <c r="F40" i="14" s="1"/>
  <c r="C33" i="14"/>
  <c r="C36" i="14" s="1"/>
  <c r="C38" i="14"/>
  <c r="C40" i="14"/>
  <c r="E33" i="14"/>
  <c r="E36" i="14" s="1"/>
  <c r="E38" i="14"/>
  <c r="E40" i="14" s="1"/>
  <c r="G33" i="14"/>
  <c r="G36" i="14" s="1"/>
  <c r="C21" i="13"/>
  <c r="E21" i="13"/>
  <c r="D21" i="13"/>
  <c r="D15" i="13"/>
  <c r="D48" i="13"/>
  <c r="D42" i="13" s="1"/>
  <c r="C15" i="13"/>
  <c r="E15" i="13"/>
  <c r="E48" i="13"/>
  <c r="E42" i="13"/>
  <c r="F17" i="12"/>
  <c r="C20" i="12"/>
  <c r="D20" i="12"/>
  <c r="E15" i="12"/>
  <c r="F15" i="12" s="1"/>
  <c r="E41" i="11"/>
  <c r="F41" i="11" s="1"/>
  <c r="F65" i="11"/>
  <c r="E22" i="11"/>
  <c r="E38" i="11"/>
  <c r="F38" i="11" s="1"/>
  <c r="E56" i="11"/>
  <c r="F56" i="11" s="1"/>
  <c r="E61" i="11"/>
  <c r="F61" i="11" s="1"/>
  <c r="E112" i="10"/>
  <c r="F112" i="10" s="1"/>
  <c r="E113" i="10"/>
  <c r="F113" i="10" s="1"/>
  <c r="E198" i="9"/>
  <c r="E199" i="9"/>
  <c r="F199" i="9" s="1"/>
  <c r="D21" i="8"/>
  <c r="C138" i="8"/>
  <c r="C21" i="8"/>
  <c r="E20" i="8"/>
  <c r="E21" i="8"/>
  <c r="E140" i="8"/>
  <c r="E138" i="8"/>
  <c r="E136" i="8"/>
  <c r="E139" i="8"/>
  <c r="E137" i="8"/>
  <c r="E135" i="8"/>
  <c r="E141" i="8" s="1"/>
  <c r="C157" i="8"/>
  <c r="C155" i="8"/>
  <c r="C156" i="8"/>
  <c r="C154" i="8"/>
  <c r="C152" i="8"/>
  <c r="C158" i="8" s="1"/>
  <c r="D15" i="8"/>
  <c r="C17" i="8"/>
  <c r="E17" i="8"/>
  <c r="C43" i="8"/>
  <c r="E43" i="8"/>
  <c r="D49" i="8"/>
  <c r="C53" i="8"/>
  <c r="E53" i="8"/>
  <c r="D57" i="8"/>
  <c r="D62" i="8"/>
  <c r="D43" i="8"/>
  <c r="C49" i="8"/>
  <c r="E49" i="8"/>
  <c r="E90" i="7"/>
  <c r="F90" i="7" s="1"/>
  <c r="E183" i="7"/>
  <c r="C21" i="5"/>
  <c r="D21" i="5"/>
  <c r="E21" i="5" s="1"/>
  <c r="F21" i="5" s="1"/>
  <c r="E18" i="5"/>
  <c r="F18" i="5"/>
  <c r="E16" i="5"/>
  <c r="F16" i="5"/>
  <c r="F65" i="4"/>
  <c r="E22" i="4"/>
  <c r="E56" i="4"/>
  <c r="F56" i="4" s="1"/>
  <c r="E61" i="4"/>
  <c r="F61" i="4"/>
  <c r="E53" i="22"/>
  <c r="E45" i="22"/>
  <c r="E29" i="22"/>
  <c r="E110" i="22"/>
  <c r="C54" i="22"/>
  <c r="C46" i="22"/>
  <c r="C40" i="22"/>
  <c r="C30" i="22"/>
  <c r="C45" i="22"/>
  <c r="C35" i="22"/>
  <c r="C29" i="22"/>
  <c r="E111" i="22"/>
  <c r="E54" i="22"/>
  <c r="E46" i="22"/>
  <c r="E40" i="22"/>
  <c r="E30" i="22"/>
  <c r="D110" i="22"/>
  <c r="D53" i="22"/>
  <c r="D45" i="22"/>
  <c r="D39" i="22"/>
  <c r="D35" i="22"/>
  <c r="D29" i="22"/>
  <c r="D112" i="22" s="1"/>
  <c r="D168" i="18"/>
  <c r="C44" i="18"/>
  <c r="E43" i="18"/>
  <c r="C223" i="18"/>
  <c r="D127" i="18"/>
  <c r="D125" i="18"/>
  <c r="D123" i="18"/>
  <c r="D112" i="18"/>
  <c r="D110" i="18"/>
  <c r="D115" i="18"/>
  <c r="D113" i="18"/>
  <c r="D111" i="18"/>
  <c r="E267" i="17"/>
  <c r="F267" i="17"/>
  <c r="D270" i="17"/>
  <c r="F290" i="17"/>
  <c r="C271" i="17"/>
  <c r="C268" i="17"/>
  <c r="C263" i="17"/>
  <c r="F283" i="17"/>
  <c r="D300" i="17"/>
  <c r="E264" i="17"/>
  <c r="C304" i="17"/>
  <c r="D61" i="17"/>
  <c r="E37" i="17"/>
  <c r="F37" i="17" s="1"/>
  <c r="D49" i="17"/>
  <c r="D50" i="17" s="1"/>
  <c r="F264" i="17"/>
  <c r="C272" i="17"/>
  <c r="C287" i="17"/>
  <c r="C279" i="17"/>
  <c r="D194" i="17"/>
  <c r="D255" i="17"/>
  <c r="E255" i="17" s="1"/>
  <c r="F255" i="17" s="1"/>
  <c r="E278" i="17"/>
  <c r="F278" i="17" s="1"/>
  <c r="D288" i="17"/>
  <c r="E31" i="17"/>
  <c r="F31" i="17" s="1"/>
  <c r="D32" i="17"/>
  <c r="C175" i="17"/>
  <c r="G38" i="14"/>
  <c r="G40" i="14" s="1"/>
  <c r="I33" i="14"/>
  <c r="I36" i="14" s="1"/>
  <c r="I38" i="14" s="1"/>
  <c r="I40" i="14"/>
  <c r="C24" i="13"/>
  <c r="C20" i="13"/>
  <c r="C17" i="13"/>
  <c r="C28" i="13" s="1"/>
  <c r="E24" i="13"/>
  <c r="E20" i="13" s="1"/>
  <c r="E17" i="13"/>
  <c r="E28" i="13"/>
  <c r="E22" i="13" s="1"/>
  <c r="D24" i="13"/>
  <c r="D20" i="13"/>
  <c r="D17" i="13"/>
  <c r="D28" i="13" s="1"/>
  <c r="D22" i="13" s="1"/>
  <c r="C34" i="12"/>
  <c r="C42" i="12" s="1"/>
  <c r="D34" i="12"/>
  <c r="E20" i="12"/>
  <c r="F20" i="12" s="1"/>
  <c r="D24" i="8"/>
  <c r="D20" i="8"/>
  <c r="D17" i="8"/>
  <c r="D112" i="8" s="1"/>
  <c r="D111" i="8" s="1"/>
  <c r="E112" i="8"/>
  <c r="E111" i="8" s="1"/>
  <c r="E28" i="8"/>
  <c r="E22" i="8" s="1"/>
  <c r="D55" i="22"/>
  <c r="D47" i="22"/>
  <c r="D37" i="22"/>
  <c r="E56" i="22"/>
  <c r="C48" i="22"/>
  <c r="C38" i="22"/>
  <c r="C55" i="22"/>
  <c r="C37" i="22"/>
  <c r="E112" i="22"/>
  <c r="C99" i="18"/>
  <c r="C95" i="18"/>
  <c r="C98" i="18"/>
  <c r="C96" i="18"/>
  <c r="C83" i="18"/>
  <c r="E32" i="17"/>
  <c r="F32" i="17" s="1"/>
  <c r="D196" i="17"/>
  <c r="C176" i="17"/>
  <c r="F176" i="17" s="1"/>
  <c r="E70" i="13"/>
  <c r="E72" i="13" s="1"/>
  <c r="E69" i="13" s="1"/>
  <c r="C70" i="13"/>
  <c r="C72" i="13"/>
  <c r="C69" i="13" s="1"/>
  <c r="C22" i="13"/>
  <c r="D42" i="12"/>
  <c r="E99" i="8"/>
  <c r="E101" i="8" s="1"/>
  <c r="E98" i="8"/>
  <c r="D28" i="8"/>
  <c r="D99" i="8" s="1"/>
  <c r="D101" i="8" s="1"/>
  <c r="D98" i="8" s="1"/>
  <c r="D49" i="12"/>
  <c r="D22" i="8"/>
  <c r="F41" i="4" l="1"/>
  <c r="D116" i="18"/>
  <c r="E168" i="18"/>
  <c r="D127" i="17"/>
  <c r="F42" i="12"/>
  <c r="D174" i="17"/>
  <c r="E68" i="6"/>
  <c r="F68" i="6"/>
  <c r="D138" i="17"/>
  <c r="E138" i="17" s="1"/>
  <c r="F138" i="17" s="1"/>
  <c r="D207" i="17"/>
  <c r="E137" i="17"/>
  <c r="F137" i="17" s="1"/>
  <c r="D277" i="17"/>
  <c r="D261" i="17"/>
  <c r="D190" i="17"/>
  <c r="E190" i="17" s="1"/>
  <c r="F190" i="17" s="1"/>
  <c r="D214" i="17"/>
  <c r="D316" i="18"/>
  <c r="E314" i="18"/>
  <c r="C39" i="20"/>
  <c r="F25" i="20"/>
  <c r="E42" i="12"/>
  <c r="D160" i="17"/>
  <c r="D62" i="17"/>
  <c r="E262" i="17"/>
  <c r="F262" i="17" s="1"/>
  <c r="E48" i="22"/>
  <c r="E38" i="22"/>
  <c r="E113" i="22"/>
  <c r="C112" i="8"/>
  <c r="C111" i="8" s="1"/>
  <c r="C28" i="8"/>
  <c r="C99" i="8" s="1"/>
  <c r="C101" i="8" s="1"/>
  <c r="C98" i="8" s="1"/>
  <c r="C139" i="8"/>
  <c r="F274" i="17"/>
  <c r="C300" i="17"/>
  <c r="D125" i="17"/>
  <c r="F146" i="17"/>
  <c r="D66" i="18"/>
  <c r="D295" i="18" s="1"/>
  <c r="D294" i="18"/>
  <c r="D95" i="6"/>
  <c r="E84" i="6"/>
  <c r="C56" i="22"/>
  <c r="E124" i="17"/>
  <c r="C105" i="17"/>
  <c r="D310" i="18"/>
  <c r="E310" i="18" s="1"/>
  <c r="E306" i="18"/>
  <c r="D259" i="18"/>
  <c r="C39" i="22"/>
  <c r="C53" i="22"/>
  <c r="C43" i="4"/>
  <c r="F22" i="4"/>
  <c r="E41" i="4"/>
  <c r="C188" i="7"/>
  <c r="D161" i="17"/>
  <c r="E21" i="17"/>
  <c r="F21" i="17" s="1"/>
  <c r="C159" i="17"/>
  <c r="F159" i="17" s="1"/>
  <c r="F158" i="17"/>
  <c r="E158" i="17"/>
  <c r="C49" i="12"/>
  <c r="E49" i="12" s="1"/>
  <c r="E156" i="18"/>
  <c r="C157" i="18"/>
  <c r="E157" i="18" s="1"/>
  <c r="C137" i="8"/>
  <c r="C140" i="8"/>
  <c r="C135" i="8"/>
  <c r="D54" i="22"/>
  <c r="D40" i="22"/>
  <c r="D46" i="22"/>
  <c r="D30" i="22"/>
  <c r="D36" i="22"/>
  <c r="D111" i="22"/>
  <c r="C77" i="22"/>
  <c r="C102" i="22"/>
  <c r="C103" i="22" s="1"/>
  <c r="D195" i="17"/>
  <c r="C47" i="22"/>
  <c r="E152" i="8"/>
  <c r="F270" i="17"/>
  <c r="C140" i="17"/>
  <c r="C246" i="18"/>
  <c r="D180" i="18"/>
  <c r="E180" i="18" s="1"/>
  <c r="D145" i="18"/>
  <c r="F48" i="6"/>
  <c r="E48" i="6"/>
  <c r="F167" i="7"/>
  <c r="F50" i="15"/>
  <c r="E50" i="15"/>
  <c r="D197" i="17"/>
  <c r="D223" i="18"/>
  <c r="D246" i="18"/>
  <c r="E36" i="18"/>
  <c r="D44" i="18"/>
  <c r="E33" i="18"/>
  <c r="E52" i="6"/>
  <c r="D77" i="8"/>
  <c r="D71" i="8" s="1"/>
  <c r="D88" i="8"/>
  <c r="D90" i="8" s="1"/>
  <c r="D86" i="8" s="1"/>
  <c r="C181" i="18"/>
  <c r="F45" i="6"/>
  <c r="E88" i="8"/>
  <c r="E90" i="8" s="1"/>
  <c r="E86" i="8" s="1"/>
  <c r="E77" i="8"/>
  <c r="E71" i="8" s="1"/>
  <c r="D189" i="18"/>
  <c r="E189" i="18" s="1"/>
  <c r="D261" i="18"/>
  <c r="E261" i="18" s="1"/>
  <c r="E188" i="18"/>
  <c r="F34" i="12"/>
  <c r="F215" i="17"/>
  <c r="C168" i="18"/>
  <c r="E55" i="22"/>
  <c r="E47" i="22"/>
  <c r="E37" i="22"/>
  <c r="E285" i="17"/>
  <c r="F285" i="17" s="1"/>
  <c r="C288" i="17"/>
  <c r="E188" i="17"/>
  <c r="F188" i="17" s="1"/>
  <c r="D206" i="17"/>
  <c r="E206" i="17" s="1"/>
  <c r="F206" i="17" s="1"/>
  <c r="D103" i="17"/>
  <c r="E172" i="17"/>
  <c r="C22" i="8"/>
  <c r="C20" i="8"/>
  <c r="C43" i="11"/>
  <c r="F22" i="11"/>
  <c r="E43" i="4"/>
  <c r="C88" i="8"/>
  <c r="C90" i="8" s="1"/>
  <c r="C86" i="8" s="1"/>
  <c r="C77" i="8"/>
  <c r="C71" i="8" s="1"/>
  <c r="E155" i="8"/>
  <c r="E153" i="8"/>
  <c r="E156" i="8"/>
  <c r="F307" i="17"/>
  <c r="E50" i="6"/>
  <c r="D282" i="17"/>
  <c r="E20" i="17"/>
  <c r="F20" i="17" s="1"/>
  <c r="E240" i="18"/>
  <c r="D253" i="18"/>
  <c r="E253" i="18" s="1"/>
  <c r="D89" i="17"/>
  <c r="E89" i="17" s="1"/>
  <c r="F89" i="17" s="1"/>
  <c r="E88" i="17"/>
  <c r="F88" i="17" s="1"/>
  <c r="C193" i="17"/>
  <c r="F123" i="17"/>
  <c r="C124" i="17"/>
  <c r="E34" i="12"/>
  <c r="D70" i="13"/>
  <c r="D72" i="13" s="1"/>
  <c r="D69" i="13" s="1"/>
  <c r="D35" i="5"/>
  <c r="D175" i="17"/>
  <c r="D105" i="17"/>
  <c r="E215" i="17"/>
  <c r="C91" i="17"/>
  <c r="C273" i="17"/>
  <c r="C97" i="18"/>
  <c r="C102" i="18" s="1"/>
  <c r="C103" i="18" s="1"/>
  <c r="C100" i="18"/>
  <c r="C85" i="18"/>
  <c r="C258" i="18"/>
  <c r="C86" i="18"/>
  <c r="C87" i="18"/>
  <c r="C101" i="18"/>
  <c r="C84" i="18"/>
  <c r="C88" i="18"/>
  <c r="C89" i="18"/>
  <c r="E222" i="18"/>
  <c r="E157" i="8"/>
  <c r="F207" i="9"/>
  <c r="D114" i="18"/>
  <c r="D124" i="18"/>
  <c r="D109" i="18"/>
  <c r="D121" i="18"/>
  <c r="D122" i="18"/>
  <c r="F43" i="20"/>
  <c r="E46" i="20"/>
  <c r="F46" i="20" s="1"/>
  <c r="F33" i="5"/>
  <c r="C35" i="5"/>
  <c r="F41" i="5"/>
  <c r="F166" i="6"/>
  <c r="E166" i="6"/>
  <c r="E59" i="7"/>
  <c r="F59" i="7" s="1"/>
  <c r="F121" i="7"/>
  <c r="C109" i="8"/>
  <c r="C106" i="8" s="1"/>
  <c r="E89" i="9"/>
  <c r="F89" i="9"/>
  <c r="F200" i="9"/>
  <c r="E75" i="11"/>
  <c r="C207" i="17"/>
  <c r="D239" i="17"/>
  <c r="E239" i="17" s="1"/>
  <c r="F239" i="17" s="1"/>
  <c r="F22" i="20"/>
  <c r="E25" i="20"/>
  <c r="D102" i="22"/>
  <c r="D101" i="22"/>
  <c r="D103" i="22" s="1"/>
  <c r="C286" i="17"/>
  <c r="E270" i="17"/>
  <c r="C211" i="18"/>
  <c r="C235" i="18" s="1"/>
  <c r="E35" i="22"/>
  <c r="D265" i="17"/>
  <c r="E192" i="17"/>
  <c r="F192" i="17" s="1"/>
  <c r="D75" i="4"/>
  <c r="E75" i="4" s="1"/>
  <c r="F75" i="4" s="1"/>
  <c r="F85" i="6"/>
  <c r="F91" i="6"/>
  <c r="E36" i="9"/>
  <c r="D55" i="18"/>
  <c r="E54" i="18"/>
  <c r="H33" i="14"/>
  <c r="H36" i="14" s="1"/>
  <c r="H38" i="14" s="1"/>
  <c r="H40" i="14" s="1"/>
  <c r="F81" i="6"/>
  <c r="E92" i="6"/>
  <c r="F92" i="6" s="1"/>
  <c r="E35" i="7"/>
  <c r="F35" i="7" s="1"/>
  <c r="D95" i="7"/>
  <c r="D149" i="8"/>
  <c r="F201" i="9"/>
  <c r="C208" i="9"/>
  <c r="F208" i="9" s="1"/>
  <c r="F59" i="17"/>
  <c r="C60" i="17"/>
  <c r="E237" i="17"/>
  <c r="F237" i="17" s="1"/>
  <c r="C52" i="6"/>
  <c r="F46" i="6"/>
  <c r="F60" i="10"/>
  <c r="C122" i="10"/>
  <c r="D242" i="18"/>
  <c r="E242" i="18" s="1"/>
  <c r="D217" i="18"/>
  <c r="E218" i="18"/>
  <c r="E303" i="18"/>
  <c r="C48" i="13"/>
  <c r="C42" i="13" s="1"/>
  <c r="E25" i="6"/>
  <c r="F25" i="6"/>
  <c r="F49" i="6"/>
  <c r="C95" i="6"/>
  <c r="F84" i="6"/>
  <c r="F87" i="6"/>
  <c r="E30" i="7"/>
  <c r="F30" i="7"/>
  <c r="F183" i="7"/>
  <c r="F198" i="9"/>
  <c r="C31" i="14"/>
  <c r="H17" i="14"/>
  <c r="I17" i="14"/>
  <c r="C243" i="18"/>
  <c r="E219" i="18"/>
  <c r="E38" i="4"/>
  <c r="F38" i="4" s="1"/>
  <c r="F89" i="6"/>
  <c r="F124" i="6"/>
  <c r="E179" i="6"/>
  <c r="F179" i="6" s="1"/>
  <c r="E200" i="9"/>
  <c r="F117" i="10"/>
  <c r="F32" i="12"/>
  <c r="E23" i="15"/>
  <c r="F23" i="15" s="1"/>
  <c r="F100" i="15"/>
  <c r="F44" i="6"/>
  <c r="E167" i="7"/>
  <c r="E79" i="8"/>
  <c r="D229" i="18"/>
  <c r="E229" i="18" s="1"/>
  <c r="D210" i="18"/>
  <c r="E36" i="20"/>
  <c r="F36" i="20" s="1"/>
  <c r="D46" i="20"/>
  <c r="F73" i="4"/>
  <c r="F42" i="6"/>
  <c r="E130" i="7"/>
  <c r="F130" i="7" s="1"/>
  <c r="E13" i="16"/>
  <c r="F13" i="16"/>
  <c r="E111" i="17"/>
  <c r="F111" i="17" s="1"/>
  <c r="C95" i="7"/>
  <c r="D166" i="8"/>
  <c r="E166" i="9"/>
  <c r="F166" i="9"/>
  <c r="F70" i="15"/>
  <c r="F92" i="15"/>
  <c r="E52" i="17"/>
  <c r="F52" i="17" s="1"/>
  <c r="E294" i="17"/>
  <c r="F294" i="17" s="1"/>
  <c r="E298" i="17"/>
  <c r="C71" i="18"/>
  <c r="C76" i="18" s="1"/>
  <c r="C289" i="18"/>
  <c r="E289" i="18" s="1"/>
  <c r="C65" i="18"/>
  <c r="E65" i="18" s="1"/>
  <c r="F16" i="20"/>
  <c r="E193" i="9"/>
  <c r="F193" i="9" s="1"/>
  <c r="E203" i="9"/>
  <c r="F203" i="9" s="1"/>
  <c r="F114" i="10"/>
  <c r="F55" i="15"/>
  <c r="E55" i="15"/>
  <c r="E59" i="17"/>
  <c r="E73" i="18"/>
  <c r="E176" i="18"/>
  <c r="D188" i="7"/>
  <c r="E188" i="7" s="1"/>
  <c r="F205" i="9"/>
  <c r="F107" i="10"/>
  <c r="D121" i="10"/>
  <c r="E121" i="10" s="1"/>
  <c r="F121" i="10" s="1"/>
  <c r="E115" i="10"/>
  <c r="F115" i="10" s="1"/>
  <c r="D80" i="13"/>
  <c r="D77" i="13" s="1"/>
  <c r="F45" i="15"/>
  <c r="E45" i="15"/>
  <c r="F65" i="15"/>
  <c r="E75" i="15"/>
  <c r="F75" i="15" s="1"/>
  <c r="F21" i="16"/>
  <c r="E178" i="18"/>
  <c r="E73" i="11"/>
  <c r="F73" i="11" s="1"/>
  <c r="E47" i="12"/>
  <c r="F47" i="12"/>
  <c r="C48" i="17"/>
  <c r="E21" i="21"/>
  <c r="F21" i="21"/>
  <c r="D208" i="9"/>
  <c r="E208" i="9" s="1"/>
  <c r="D43" i="11"/>
  <c r="C75" i="11"/>
  <c r="F37" i="15"/>
  <c r="E37" i="15"/>
  <c r="F107" i="15"/>
  <c r="E47" i="17"/>
  <c r="F47" i="17" s="1"/>
  <c r="C175" i="18"/>
  <c r="E175" i="18" s="1"/>
  <c r="E288" i="17" l="1"/>
  <c r="F288" i="17" s="1"/>
  <c r="C291" i="17"/>
  <c r="C289" i="17"/>
  <c r="C109" i="22"/>
  <c r="C111" i="22"/>
  <c r="C108" i="22"/>
  <c r="C110" i="22"/>
  <c r="E217" i="18"/>
  <c r="D241" i="18"/>
  <c r="E241" i="18" s="1"/>
  <c r="E294" i="18"/>
  <c r="E300" i="17"/>
  <c r="F300" i="17" s="1"/>
  <c r="D320" i="18"/>
  <c r="E320" i="18" s="1"/>
  <c r="E316" i="18"/>
  <c r="F35" i="5"/>
  <c r="C43" i="5"/>
  <c r="E43" i="11"/>
  <c r="F43" i="11" s="1"/>
  <c r="C259" i="18"/>
  <c r="C263" i="18" s="1"/>
  <c r="E76" i="18"/>
  <c r="E95" i="7"/>
  <c r="E55" i="18"/>
  <c r="D284" i="18"/>
  <c r="E284" i="18" s="1"/>
  <c r="C208" i="17"/>
  <c r="D140" i="17"/>
  <c r="C282" i="17"/>
  <c r="C266" i="17"/>
  <c r="C194" i="17"/>
  <c r="E193" i="17"/>
  <c r="F193" i="17" s="1"/>
  <c r="D156" i="8"/>
  <c r="D155" i="8"/>
  <c r="D153" i="8"/>
  <c r="D152" i="8"/>
  <c r="D157" i="8"/>
  <c r="D154" i="8"/>
  <c r="F52" i="6"/>
  <c r="D128" i="18"/>
  <c r="D181" i="18"/>
  <c r="E181" i="18" s="1"/>
  <c r="E145" i="18"/>
  <c r="D169" i="18"/>
  <c r="E169" i="18" s="1"/>
  <c r="C112" i="22"/>
  <c r="C141" i="8"/>
  <c r="F43" i="4"/>
  <c r="C106" i="17"/>
  <c r="E39" i="20"/>
  <c r="E41" i="20" s="1"/>
  <c r="C41" i="20"/>
  <c r="F41" i="20" s="1"/>
  <c r="F39" i="20"/>
  <c r="D208" i="17"/>
  <c r="E207" i="17"/>
  <c r="F207" i="17" s="1"/>
  <c r="D139" i="17"/>
  <c r="D117" i="18"/>
  <c r="C160" i="17"/>
  <c r="C90" i="17"/>
  <c r="C125" i="17"/>
  <c r="E48" i="17"/>
  <c r="F48" i="17" s="1"/>
  <c r="C49" i="17"/>
  <c r="D162" i="17"/>
  <c r="E66" i="18"/>
  <c r="E214" i="17"/>
  <c r="F214" i="17" s="1"/>
  <c r="D254" i="17"/>
  <c r="D216" i="17"/>
  <c r="E216" i="17" s="1"/>
  <c r="F216" i="17" s="1"/>
  <c r="D234" i="18"/>
  <c r="E234" i="18" s="1"/>
  <c r="D211" i="18"/>
  <c r="E210" i="18"/>
  <c r="E71" i="18"/>
  <c r="C92" i="17"/>
  <c r="E246" i="18"/>
  <c r="C141" i="17"/>
  <c r="D38" i="22"/>
  <c r="D113" i="22"/>
  <c r="D56" i="22"/>
  <c r="D48" i="22"/>
  <c r="D263" i="18"/>
  <c r="E263" i="18" s="1"/>
  <c r="E259" i="18"/>
  <c r="C113" i="22"/>
  <c r="D63" i="17"/>
  <c r="C169" i="18"/>
  <c r="I31" i="14"/>
  <c r="H31" i="14"/>
  <c r="D91" i="17"/>
  <c r="E95" i="6"/>
  <c r="F95" i="6" s="1"/>
  <c r="C90" i="18"/>
  <c r="C91" i="18" s="1"/>
  <c r="C105" i="18" s="1"/>
  <c r="E35" i="5"/>
  <c r="D43" i="5"/>
  <c r="C66" i="18"/>
  <c r="C294" i="18"/>
  <c r="C161" i="17"/>
  <c r="F122" i="10"/>
  <c r="E122" i="10"/>
  <c r="F124" i="17"/>
  <c r="C126" i="17"/>
  <c r="E282" i="17"/>
  <c r="E223" i="18"/>
  <c r="D247" i="18"/>
  <c r="F188" i="7"/>
  <c r="D263" i="17"/>
  <c r="E263" i="17" s="1"/>
  <c r="F263" i="17" s="1"/>
  <c r="D271" i="17"/>
  <c r="D268" i="17"/>
  <c r="E268" i="17" s="1"/>
  <c r="F268" i="17" s="1"/>
  <c r="E261" i="17"/>
  <c r="F261" i="17" s="1"/>
  <c r="F95" i="7"/>
  <c r="F286" i="17"/>
  <c r="E286" i="17"/>
  <c r="D176" i="17"/>
  <c r="E176" i="17" s="1"/>
  <c r="E175" i="17"/>
  <c r="F175" i="17" s="1"/>
  <c r="C61" i="17"/>
  <c r="E60" i="17"/>
  <c r="F60" i="17" s="1"/>
  <c r="D85" i="18"/>
  <c r="E85" i="18" s="1"/>
  <c r="D84" i="18"/>
  <c r="D258" i="18"/>
  <c r="D99" i="18"/>
  <c r="E99" i="18" s="1"/>
  <c r="D100" i="18"/>
  <c r="E100" i="18" s="1"/>
  <c r="D97" i="18"/>
  <c r="E97" i="18" s="1"/>
  <c r="D98" i="18"/>
  <c r="E98" i="18" s="1"/>
  <c r="D95" i="18"/>
  <c r="D83" i="18"/>
  <c r="E44" i="18"/>
  <c r="D101" i="18"/>
  <c r="E101" i="18" s="1"/>
  <c r="D96" i="18"/>
  <c r="D89" i="18"/>
  <c r="E89" i="18" s="1"/>
  <c r="D88" i="18"/>
  <c r="E88" i="18" s="1"/>
  <c r="D86" i="18"/>
  <c r="E86" i="18" s="1"/>
  <c r="D87" i="18"/>
  <c r="E87" i="18" s="1"/>
  <c r="F75" i="11"/>
  <c r="C77" i="18"/>
  <c r="E243" i="18"/>
  <c r="C252" i="18"/>
  <c r="D139" i="8"/>
  <c r="D136" i="8"/>
  <c r="D140" i="8"/>
  <c r="D138" i="8"/>
  <c r="D137" i="8"/>
  <c r="D135" i="8"/>
  <c r="C267" i="18"/>
  <c r="C264" i="18"/>
  <c r="C266" i="18" s="1"/>
  <c r="D106" i="17"/>
  <c r="E105" i="17"/>
  <c r="F105" i="17" s="1"/>
  <c r="D254" i="18"/>
  <c r="E103" i="17"/>
  <c r="F103" i="17" s="1"/>
  <c r="D104" i="17"/>
  <c r="D281" i="17"/>
  <c r="E158" i="8"/>
  <c r="F49" i="12"/>
  <c r="D90" i="17"/>
  <c r="E90" i="17" s="1"/>
  <c r="D279" i="17"/>
  <c r="E279" i="17" s="1"/>
  <c r="F279" i="17" s="1"/>
  <c r="E277" i="17"/>
  <c r="F277" i="17" s="1"/>
  <c r="D287" i="17"/>
  <c r="D284" i="17"/>
  <c r="E284" i="17" s="1"/>
  <c r="F284" i="17" s="1"/>
  <c r="E159" i="17"/>
  <c r="E95" i="18" l="1"/>
  <c r="E140" i="17"/>
  <c r="F140" i="17" s="1"/>
  <c r="D141" i="17"/>
  <c r="E247" i="18"/>
  <c r="C162" i="17"/>
  <c r="E96" i="18"/>
  <c r="D102" i="18"/>
  <c r="E102" i="18" s="1"/>
  <c r="F126" i="17"/>
  <c r="C127" i="17"/>
  <c r="E126" i="17"/>
  <c r="D141" i="8"/>
  <c r="D158" i="8"/>
  <c r="C196" i="17"/>
  <c r="E194" i="17"/>
  <c r="F194" i="17" s="1"/>
  <c r="E104" i="17"/>
  <c r="D90" i="18"/>
  <c r="E90" i="18" s="1"/>
  <c r="E84" i="18"/>
  <c r="D129" i="18"/>
  <c r="E160" i="17"/>
  <c r="F160" i="17" s="1"/>
  <c r="D323" i="17"/>
  <c r="D183" i="17"/>
  <c r="E162" i="17"/>
  <c r="C265" i="17"/>
  <c r="E266" i="17"/>
  <c r="F266" i="17" s="1"/>
  <c r="E287" i="17"/>
  <c r="F287" i="17" s="1"/>
  <c r="D291" i="17"/>
  <c r="D289" i="17"/>
  <c r="E289" i="17" s="1"/>
  <c r="F289" i="17" s="1"/>
  <c r="E83" i="18"/>
  <c r="D91" i="18"/>
  <c r="D70" i="17"/>
  <c r="D235" i="18"/>
  <c r="E235" i="18" s="1"/>
  <c r="E211" i="18"/>
  <c r="C281" i="17"/>
  <c r="F282" i="17"/>
  <c r="F106" i="17"/>
  <c r="C210" i="17"/>
  <c r="E106" i="17"/>
  <c r="C62" i="17"/>
  <c r="C174" i="17"/>
  <c r="C209" i="17"/>
  <c r="F61" i="17"/>
  <c r="C139" i="17"/>
  <c r="E139" i="17" s="1"/>
  <c r="C104" i="17"/>
  <c r="E61" i="17"/>
  <c r="E254" i="17"/>
  <c r="F254" i="17" s="1"/>
  <c r="E125" i="17"/>
  <c r="F125" i="17" s="1"/>
  <c r="C254" i="18"/>
  <c r="E254" i="18" s="1"/>
  <c r="E252" i="18"/>
  <c r="C295" i="18"/>
  <c r="E295" i="18" s="1"/>
  <c r="C247" i="18"/>
  <c r="C113" i="17"/>
  <c r="C324" i="17"/>
  <c r="C195" i="17"/>
  <c r="E208" i="17"/>
  <c r="F208" i="17" s="1"/>
  <c r="D209" i="17"/>
  <c r="E209" i="17" s="1"/>
  <c r="D210" i="17"/>
  <c r="C305" i="17"/>
  <c r="C269" i="18"/>
  <c r="C268" i="18"/>
  <c r="D304" i="17"/>
  <c r="D273" i="17"/>
  <c r="E273" i="17" s="1"/>
  <c r="F273" i="17" s="1"/>
  <c r="E271" i="17"/>
  <c r="F271" i="17" s="1"/>
  <c r="F90" i="17"/>
  <c r="C211" i="17"/>
  <c r="C322" i="17"/>
  <c r="C50" i="17"/>
  <c r="E49" i="17"/>
  <c r="F49" i="17" s="1"/>
  <c r="D92" i="17"/>
  <c r="E91" i="17"/>
  <c r="F91" i="17" s="1"/>
  <c r="C50" i="5"/>
  <c r="C109" i="18"/>
  <c r="C112" i="18"/>
  <c r="E112" i="18" s="1"/>
  <c r="C126" i="18"/>
  <c r="E126" i="18" s="1"/>
  <c r="C110" i="18"/>
  <c r="C124" i="18"/>
  <c r="E124" i="18" s="1"/>
  <c r="C127" i="18"/>
  <c r="E127" i="18" s="1"/>
  <c r="C113" i="18"/>
  <c r="E113" i="18" s="1"/>
  <c r="C111" i="18"/>
  <c r="E111" i="18" s="1"/>
  <c r="C125" i="18"/>
  <c r="E125" i="18" s="1"/>
  <c r="C123" i="18"/>
  <c r="E123" i="18" s="1"/>
  <c r="C114" i="18"/>
  <c r="E114" i="18" s="1"/>
  <c r="C122" i="18"/>
  <c r="C115" i="18"/>
  <c r="E115" i="18" s="1"/>
  <c r="C121" i="18"/>
  <c r="E77" i="18"/>
  <c r="E258" i="18"/>
  <c r="D264" i="18"/>
  <c r="E43" i="5"/>
  <c r="F43" i="5" s="1"/>
  <c r="D50" i="5"/>
  <c r="E161" i="17"/>
  <c r="F161" i="17" s="1"/>
  <c r="F62" i="17" l="1"/>
  <c r="C63" i="17"/>
  <c r="E62" i="17"/>
  <c r="E121" i="18"/>
  <c r="F211" i="17"/>
  <c r="C309" i="17"/>
  <c r="E265" i="17"/>
  <c r="F265" i="17" s="1"/>
  <c r="C183" i="17"/>
  <c r="F183" i="17" s="1"/>
  <c r="F162" i="17"/>
  <c r="C323" i="17"/>
  <c r="F323" i="17" s="1"/>
  <c r="E50" i="5"/>
  <c r="C128" i="18"/>
  <c r="E128" i="18" s="1"/>
  <c r="E122" i="18"/>
  <c r="C116" i="18"/>
  <c r="E116" i="18" s="1"/>
  <c r="E110" i="18"/>
  <c r="E210" i="17"/>
  <c r="F210" i="17" s="1"/>
  <c r="D211" i="17"/>
  <c r="E211" i="17" s="1"/>
  <c r="F104" i="17"/>
  <c r="E91" i="18"/>
  <c r="D131" i="18"/>
  <c r="E92" i="17"/>
  <c r="F92" i="17" s="1"/>
  <c r="D324" i="17"/>
  <c r="D113" i="17"/>
  <c r="E113" i="17" s="1"/>
  <c r="F113" i="17" s="1"/>
  <c r="E141" i="17"/>
  <c r="F141" i="17" s="1"/>
  <c r="D322" i="17"/>
  <c r="E322" i="17" s="1"/>
  <c r="F322" i="17" s="1"/>
  <c r="D148" i="17"/>
  <c r="E148" i="17" s="1"/>
  <c r="E264" i="18"/>
  <c r="D266" i="18"/>
  <c r="C117" i="18"/>
  <c r="E109" i="18"/>
  <c r="C70" i="17"/>
  <c r="E70" i="17" s="1"/>
  <c r="E50" i="17"/>
  <c r="F50" i="17" s="1"/>
  <c r="E304" i="17"/>
  <c r="F304" i="17" s="1"/>
  <c r="E195" i="17"/>
  <c r="F195" i="17" s="1"/>
  <c r="F209" i="17"/>
  <c r="D305" i="17"/>
  <c r="E291" i="17"/>
  <c r="F291" i="17" s="1"/>
  <c r="E196" i="17"/>
  <c r="F196" i="17" s="1"/>
  <c r="E281" i="17"/>
  <c r="F281" i="17" s="1"/>
  <c r="C271" i="18"/>
  <c r="C325" i="17"/>
  <c r="E174" i="17"/>
  <c r="F174" i="17" s="1"/>
  <c r="D103" i="18"/>
  <c r="E103" i="18" s="1"/>
  <c r="F139" i="17"/>
  <c r="C197" i="17"/>
  <c r="C148" i="17"/>
  <c r="E127" i="17"/>
  <c r="F127" i="17" s="1"/>
  <c r="F50" i="5"/>
  <c r="E183" i="17" l="1"/>
  <c r="C310" i="17"/>
  <c r="E63" i="17"/>
  <c r="F63" i="17" s="1"/>
  <c r="D105" i="18"/>
  <c r="E105" i="18" s="1"/>
  <c r="D309" i="17"/>
  <c r="E305" i="17"/>
  <c r="F305" i="17" s="1"/>
  <c r="F148" i="17"/>
  <c r="E197" i="17"/>
  <c r="F197" i="17" s="1"/>
  <c r="F70" i="17"/>
  <c r="E324" i="17"/>
  <c r="F324" i="17" s="1"/>
  <c r="D325" i="17"/>
  <c r="E325" i="17" s="1"/>
  <c r="F325" i="17" s="1"/>
  <c r="E117" i="18"/>
  <c r="C129" i="18"/>
  <c r="E129" i="18" s="1"/>
  <c r="E323" i="17"/>
  <c r="E266" i="18"/>
  <c r="D267" i="18"/>
  <c r="C131" i="18" l="1"/>
  <c r="E131" i="18" s="1"/>
  <c r="E309" i="17"/>
  <c r="F309" i="17" s="1"/>
  <c r="D310" i="17"/>
  <c r="E267" i="18"/>
  <c r="D269" i="18"/>
  <c r="E269" i="18" s="1"/>
  <c r="D268" i="18"/>
  <c r="C312" i="17"/>
  <c r="C313" i="17" l="1"/>
  <c r="D271" i="18"/>
  <c r="E271" i="18" s="1"/>
  <c r="E268" i="18"/>
  <c r="D312" i="17"/>
  <c r="E310" i="17"/>
  <c r="F310" i="17" s="1"/>
  <c r="E312" i="17" l="1"/>
  <c r="F312" i="17" s="1"/>
  <c r="D313" i="17"/>
  <c r="C315" i="17"/>
  <c r="C314" i="17"/>
  <c r="C251" i="17"/>
  <c r="C256" i="17"/>
  <c r="C318" i="17" l="1"/>
  <c r="C257" i="17"/>
  <c r="D314" i="17"/>
  <c r="D315" i="17"/>
  <c r="E315" i="17" s="1"/>
  <c r="F315" i="17" s="1"/>
  <c r="E313" i="17"/>
  <c r="F313" i="17" s="1"/>
  <c r="D251" i="17"/>
  <c r="E251" i="17" s="1"/>
  <c r="F251" i="17" s="1"/>
  <c r="D256" i="17"/>
  <c r="E314" i="17" l="1"/>
  <c r="F314" i="17" s="1"/>
  <c r="D318" i="17"/>
  <c r="E318" i="17" s="1"/>
  <c r="F318" i="17"/>
  <c r="E256" i="17"/>
  <c r="F256" i="17" s="1"/>
  <c r="D257" i="17"/>
  <c r="E257" i="17" s="1"/>
  <c r="F257" i="17" s="1"/>
</calcChain>
</file>

<file path=xl/sharedStrings.xml><?xml version="1.0" encoding="utf-8"?>
<sst xmlns="http://schemas.openxmlformats.org/spreadsheetml/2006/main" count="2333" uniqueCount="1007">
  <si>
    <t>DAY KIMBALL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</si>
  <si>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</si>
  <si>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</si>
  <si>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</si>
  <si>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</si>
  <si>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</si>
  <si>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</si>
  <si>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</si>
  <si>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</si>
  <si>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</si>
  <si>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</si>
  <si>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</si>
  <si>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</si>
  <si>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</si>
  <si>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</si>
  <si>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</si>
  <si>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</si>
  <si>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</si>
  <si>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</si>
  <si>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</si>
  <si>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</si>
  <si>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</si>
  <si>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</si>
  <si>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</si>
  <si>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</si>
  <si>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</si>
  <si>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</si>
  <si>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</si>
  <si>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</si>
  <si>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</si>
  <si>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</si>
  <si>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</si>
  <si>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</si>
  <si>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</si>
  <si>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</si>
  <si>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</si>
  <si>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</si>
  <si>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</si>
  <si>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</si>
  <si>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</si>
  <si>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</si>
  <si>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</si>
  <si>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</si>
  <si>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</si>
  <si>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</si>
  <si>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</si>
  <si>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</si>
  <si>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</si>
  <si>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</si>
  <si>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</si>
  <si>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</si>
  <si>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</si>
  <si>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</si>
  <si>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</si>
  <si>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</si>
  <si>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</si>
  <si>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</si>
  <si>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</si>
  <si>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</si>
  <si>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</si>
  <si>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</si>
  <si>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</si>
  <si>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</si>
  <si>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</si>
  <si>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</si>
  <si>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</si>
  <si>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</si>
  <si>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</si>
  <si>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</si>
  <si>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</si>
  <si>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</si>
  <si>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</si>
  <si>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</si>
  <si>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</si>
  <si>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</si>
  <si>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</si>
  <si>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</si>
  <si>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</si>
  <si>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</si>
  <si>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</si>
  <si>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</si>
  <si>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</si>
  <si>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</si>
  <si>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</si>
  <si>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</si>
  <si>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</si>
  <si>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</si>
  <si>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</si>
  <si>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</si>
  <si>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</si>
  <si>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</si>
  <si>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</si>
  <si>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</si>
  <si>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</si>
  <si>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</si>
  <si>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</si>
  <si>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</si>
  <si>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</si>
  <si>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</si>
  <si>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</si>
  <si>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</si>
  <si>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</si>
  <si>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</si>
  <si>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</si>
  <si>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</si>
  <si>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</si>
  <si>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</si>
  <si>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</si>
  <si>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</si>
  <si>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</si>
  <si>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</si>
  <si>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</si>
  <si>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</si>
  <si>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</si>
  <si>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</si>
  <si>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</si>
  <si>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</si>
  <si>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</si>
  <si>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</si>
  <si>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</si>
  <si>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</si>
  <si>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</si>
  <si>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</si>
  <si>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</si>
  <si>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</si>
  <si>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</si>
  <si>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</si>
  <si>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</si>
  <si>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</si>
  <si>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</si>
  <si>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</si>
  <si>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</si>
  <si>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</si>
  <si>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</si>
  <si>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</si>
  <si>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</si>
  <si>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</si>
  <si>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</si>
  <si>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</si>
  <si>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</si>
  <si>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</si>
  <si>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</si>
  <si>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</si>
  <si>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</si>
  <si>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</si>
  <si>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</si>
  <si>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</si>
  <si>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</si>
  <si>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</si>
  <si>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</si>
  <si>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</si>
  <si>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</si>
  <si>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</si>
  <si>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</si>
  <si>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</si>
  <si>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</si>
  <si>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</si>
  <si>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</si>
  <si>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</si>
  <si>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</si>
  <si>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</si>
  <si>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</si>
  <si>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</si>
  <si>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</si>
  <si>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</si>
  <si>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</si>
  <si>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</si>
  <si>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</si>
  <si>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</si>
  <si>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</si>
  <si>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</si>
  <si>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</si>
  <si>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</si>
  <si>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</si>
  <si>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</si>
  <si>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</si>
  <si>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</si>
  <si>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</si>
  <si>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</si>
  <si>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</si>
  <si>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</si>
  <si>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</si>
  <si>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</si>
  <si>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</si>
  <si>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</si>
  <si>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</si>
  <si>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</si>
  <si>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</si>
  <si>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</si>
  <si>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</si>
  <si>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</si>
  <si>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</si>
  <si>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</si>
  <si>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</si>
  <si>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</si>
  <si>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</si>
  <si>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</si>
  <si>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</si>
  <si>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</si>
  <si>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</si>
  <si>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</si>
  <si>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</si>
  <si>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</si>
  <si>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</si>
  <si>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</si>
  <si>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</si>
  <si>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</si>
  <si>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</si>
  <si>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</si>
  <si>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</si>
  <si>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</si>
  <si>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</si>
  <si>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</si>
  <si>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</si>
  <si>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</si>
  <si>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</si>
  <si>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</si>
  <si>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</si>
  <si>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</si>
  <si>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</si>
  <si>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</si>
  <si>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</si>
  <si>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</si>
  <si>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</si>
  <si>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</si>
  <si>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</si>
  <si>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</si>
  <si>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</si>
  <si>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</si>
  <si>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</si>
  <si>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</si>
  <si>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</si>
  <si>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</si>
  <si>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</si>
  <si>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</si>
  <si>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</si>
  <si>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</si>
  <si>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</si>
  <si>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</si>
  <si>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</si>
  <si>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</si>
  <si>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</si>
  <si>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</si>
  <si>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</si>
  <si>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</si>
  <si>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</si>
  <si>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</si>
  <si>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</si>
  <si>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</si>
  <si>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</si>
  <si>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</si>
  <si>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</si>
  <si>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</si>
  <si>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</si>
  <si>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</si>
  <si>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</si>
  <si>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</si>
  <si>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</si>
  <si>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</si>
  <si>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</si>
  <si>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</si>
  <si>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</si>
  <si>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</si>
  <si>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</si>
  <si>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</si>
  <si>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</si>
  <si>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</si>
  <si>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</si>
  <si>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</si>
  <si>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</si>
  <si>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</si>
  <si>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</si>
  <si>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</si>
  <si>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</si>
  <si>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</si>
  <si>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</si>
  <si>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</si>
  <si>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</si>
  <si>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</si>
  <si>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</si>
  <si>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</si>
  <si>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</si>
  <si>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</si>
  <si>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</si>
  <si>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</si>
  <si>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</si>
  <si>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</si>
  <si>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</si>
  <si>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</si>
  <si>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</si>
  <si>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</si>
  <si>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</si>
  <si>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</si>
  <si>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</si>
  <si>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</si>
  <si>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</si>
  <si>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</si>
  <si>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</si>
  <si>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</si>
  <si>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</si>
  <si>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</si>
  <si>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</si>
  <si>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</si>
  <si>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</si>
  <si>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</si>
  <si>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</si>
  <si>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</si>
  <si>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</si>
  <si>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</si>
  <si>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</si>
  <si>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</si>
  <si>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</si>
  <si>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</si>
  <si>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</si>
  <si>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</si>
  <si>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</si>
  <si>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</si>
  <si>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</si>
  <si>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</si>
  <si>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</si>
  <si>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</si>
  <si>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</si>
  <si>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</si>
  <si>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</si>
  <si>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</si>
  <si>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</si>
  <si>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</si>
  <si>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</si>
  <si>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</si>
  <si>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</si>
  <si>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</si>
  <si>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</si>
  <si>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</si>
  <si>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</si>
  <si>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</si>
  <si>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</si>
  <si>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</si>
  <si>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</si>
  <si>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</si>
  <si>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</si>
  <si>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</si>
  <si>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</si>
  <si>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</si>
  <si>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</si>
  <si>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</si>
  <si>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</si>
  <si>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</si>
  <si>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</si>
  <si>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</si>
  <si>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</si>
  <si>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</si>
  <si>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</si>
  <si>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</si>
  <si>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</si>
  <si>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</si>
  <si>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</si>
  <si>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</si>
  <si>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</si>
  <si>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</si>
  <si>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</si>
  <si>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</si>
  <si>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</si>
  <si>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</si>
  <si>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</si>
  <si>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</si>
  <si>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</si>
  <si>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</si>
  <si>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</si>
  <si>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</si>
  <si>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</si>
  <si>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</si>
  <si>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</si>
  <si>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</si>
  <si>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</si>
  <si>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</si>
  <si>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</si>
  <si>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</si>
  <si>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</si>
  <si>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</si>
  <si>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</si>
  <si>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</si>
  <si>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</si>
  <si>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</si>
  <si>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</si>
  <si>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</si>
  <si>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</si>
  <si>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</si>
  <si>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</si>
  <si>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</si>
  <si>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</si>
  <si>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</si>
  <si>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</si>
  <si>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</si>
  <si>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</si>
  <si>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</si>
  <si>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</si>
  <si>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</si>
  <si>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</si>
  <si>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</si>
  <si>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</si>
  <si>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</si>
  <si>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</si>
  <si>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</si>
  <si>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</si>
  <si>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</si>
  <si>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</si>
  <si>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</si>
  <si>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</si>
  <si>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</si>
  <si>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</si>
  <si>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</si>
  <si>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</si>
  <si>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</si>
  <si>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</si>
  <si>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</si>
  <si>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</si>
  <si>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</si>
  <si>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</si>
  <si>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</si>
  <si>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</si>
  <si>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</si>
  <si>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</si>
  <si>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</si>
  <si>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</si>
  <si>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</si>
  <si>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</si>
  <si>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</si>
  <si>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</si>
  <si>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</si>
  <si>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</si>
  <si>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</si>
  <si>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</si>
  <si>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</si>
  <si>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</si>
  <si>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</si>
  <si>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</si>
  <si>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</si>
  <si>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</si>
  <si>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</si>
  <si>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</si>
  <si>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</si>
  <si>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</si>
  <si>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</si>
  <si>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</si>
  <si>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</si>
  <si>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</si>
  <si>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</si>
  <si>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</si>
  <si>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</si>
  <si>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</si>
  <si>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</si>
  <si>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</si>
  <si>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</si>
  <si>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</si>
  <si>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</si>
  <si>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</si>
  <si>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</si>
  <si>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</si>
  <si>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</si>
  <si>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</si>
  <si>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</si>
  <si>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</si>
  <si>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</si>
  <si>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</si>
  <si>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</si>
  <si>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</si>
  <si>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</si>
  <si>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</si>
  <si>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</si>
  <si>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</si>
  <si>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</si>
  <si>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</si>
  <si>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</si>
  <si>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</si>
  <si>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</si>
  <si>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</si>
  <si>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</si>
  <si>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</si>
  <si>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</si>
  <si>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</si>
  <si>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</si>
  <si>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</si>
  <si>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</si>
  <si>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</si>
  <si>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</si>
  <si>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</si>
  <si>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</si>
  <si>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</si>
  <si>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</si>
  <si>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</si>
  <si>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</si>
  <si>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</si>
  <si>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</si>
  <si>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</si>
  <si>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</si>
  <si>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</si>
  <si>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</si>
  <si>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</si>
  <si>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</si>
  <si>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</si>
  <si>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</si>
  <si>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</si>
  <si>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</si>
  <si>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</si>
  <si>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</si>
  <si>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</si>
  <si>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</si>
  <si>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</si>
  <si>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</si>
  <si>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</si>
  <si>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</si>
  <si>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</si>
  <si>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</si>
  <si>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</si>
  <si>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</si>
  <si>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</si>
  <si>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</si>
  <si>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</si>
  <si>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</si>
  <si>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</si>
  <si>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</si>
  <si>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</si>
  <si>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</si>
  <si>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</si>
  <si>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</si>
  <si>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</si>
  <si>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</si>
  <si>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</si>
  <si>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</si>
  <si>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</si>
  <si>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</si>
  <si>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</si>
  <si>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</si>
  <si>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</si>
  <si>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</si>
  <si>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</si>
  <si>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</si>
  <si>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</si>
  <si>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</si>
  <si>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</si>
  <si>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</si>
  <si>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</si>
  <si>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</si>
  <si>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</si>
  <si>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</si>
  <si>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</si>
  <si>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</si>
  <si>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</si>
  <si>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</si>
  <si>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</si>
  <si>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</si>
  <si>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</si>
  <si>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</si>
  <si>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</si>
  <si>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</si>
  <si>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</si>
  <si>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</si>
  <si>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</si>
  <si>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</si>
  <si>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</si>
  <si>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</si>
  <si>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</si>
  <si>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</si>
  <si>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</si>
  <si>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</si>
  <si>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</si>
  <si>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</si>
  <si>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</si>
  <si>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</si>
  <si>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</si>
  <si>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</si>
  <si>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</si>
  <si>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</si>
  <si>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</si>
  <si>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</si>
  <si>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</si>
  <si>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</si>
  <si>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</si>
  <si>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</si>
  <si>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</si>
  <si>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</si>
  <si>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</si>
  <si>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</si>
  <si>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</si>
  <si>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</si>
  <si>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</si>
  <si>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</si>
  <si>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</si>
  <si>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</si>
  <si>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</si>
  <si>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</si>
  <si>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</si>
  <si>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</si>
  <si>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</si>
  <si>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</si>
  <si>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</si>
  <si>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</si>
  <si>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</si>
  <si>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</si>
  <si>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</si>
  <si>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</si>
  <si>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</si>
  <si>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</si>
  <si>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</si>
  <si>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</si>
  <si>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</si>
  <si>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</si>
  <si>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</si>
  <si>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</si>
  <si>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</si>
  <si>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</si>
  <si>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</si>
  <si>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</si>
  <si>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</si>
  <si>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</si>
  <si>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</si>
  <si>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</si>
  <si>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</si>
  <si>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</si>
  <si>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</si>
  <si>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Day Kimball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</si>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</sst>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2156339</v>
      </c>
      <c r="D13" s="22">
        <v>5285678</v>
      </c>
      <c r="E13" s="22">
        <f t="shared" ref="E13:E22" si="0">D13-C13</f>
        <v>3129339</v>
      </c>
      <c r="F13" s="23">
        <f t="shared" ref="F13:F22" si="1">IF(C13=0,0,E13/C13)</f>
        <v>1.4512277522226329</v>
      </c>
    </row>
    <row r="14" spans="1:8" ht="24" customHeight="1" x14ac:dyDescent="0.2">
      <c r="A14" s="20">
        <v>2</v>
      </c>
      <c r="B14" s="21" t="s">
        <v>17</v>
      </c>
      <c r="C14" s="22">
        <v>6363563</v>
      </c>
      <c r="D14" s="22">
        <v>2705332</v>
      </c>
      <c r="E14" s="22">
        <f t="shared" si="0"/>
        <v>-3658231</v>
      </c>
      <c r="F14" s="23">
        <f t="shared" si="1"/>
        <v>-0.57487149887570843</v>
      </c>
    </row>
    <row r="15" spans="1:8" ht="24" customHeight="1" x14ac:dyDescent="0.2">
      <c r="A15" s="20">
        <v>3</v>
      </c>
      <c r="B15" s="21" t="s">
        <v>18</v>
      </c>
      <c r="C15" s="22">
        <v>12743539</v>
      </c>
      <c r="D15" s="22">
        <v>12792119</v>
      </c>
      <c r="E15" s="22">
        <f t="shared" si="0"/>
        <v>48580</v>
      </c>
      <c r="F15" s="23">
        <f t="shared" si="1"/>
        <v>3.812127855535264E-3</v>
      </c>
    </row>
    <row r="16" spans="1:8" ht="24" customHeight="1" x14ac:dyDescent="0.2">
      <c r="A16" s="20">
        <v>4</v>
      </c>
      <c r="B16" s="21" t="s">
        <v>19</v>
      </c>
      <c r="C16" s="22">
        <v>324188</v>
      </c>
      <c r="D16" s="22">
        <v>7166565</v>
      </c>
      <c r="E16" s="22">
        <f t="shared" si="0"/>
        <v>6842377</v>
      </c>
      <c r="F16" s="23">
        <f t="shared" si="1"/>
        <v>21.106200723037251</v>
      </c>
    </row>
    <row r="17" spans="1:11" ht="24" customHeight="1" x14ac:dyDescent="0.2">
      <c r="A17" s="20">
        <v>5</v>
      </c>
      <c r="B17" s="21" t="s">
        <v>20</v>
      </c>
      <c r="C17" s="22">
        <v>5368355</v>
      </c>
      <c r="D17" s="22">
        <v>6465</v>
      </c>
      <c r="E17" s="22">
        <f t="shared" si="0"/>
        <v>-5361890</v>
      </c>
      <c r="F17" s="23">
        <f t="shared" si="1"/>
        <v>-0.9987957204767568</v>
      </c>
    </row>
    <row r="18" spans="1:11" ht="24" customHeight="1" x14ac:dyDescent="0.2">
      <c r="A18" s="20">
        <v>6</v>
      </c>
      <c r="B18" s="21" t="s">
        <v>21</v>
      </c>
      <c r="C18" s="22">
        <v>2645109</v>
      </c>
      <c r="D18" s="22">
        <v>0</v>
      </c>
      <c r="E18" s="22">
        <f t="shared" si="0"/>
        <v>-2645109</v>
      </c>
      <c r="F18" s="23">
        <f t="shared" si="1"/>
        <v>-1</v>
      </c>
    </row>
    <row r="19" spans="1:11" ht="24" customHeight="1" x14ac:dyDescent="0.2">
      <c r="A19" s="20">
        <v>7</v>
      </c>
      <c r="B19" s="21" t="s">
        <v>22</v>
      </c>
      <c r="C19" s="22">
        <v>1980560</v>
      </c>
      <c r="D19" s="22">
        <v>2126383</v>
      </c>
      <c r="E19" s="22">
        <f t="shared" si="0"/>
        <v>145823</v>
      </c>
      <c r="F19" s="23">
        <f t="shared" si="1"/>
        <v>7.3627155955891269E-2</v>
      </c>
    </row>
    <row r="20" spans="1:11" ht="24" customHeight="1" x14ac:dyDescent="0.2">
      <c r="A20" s="20">
        <v>8</v>
      </c>
      <c r="B20" s="21" t="s">
        <v>23</v>
      </c>
      <c r="C20" s="22">
        <v>301350</v>
      </c>
      <c r="D20" s="22">
        <v>489720</v>
      </c>
      <c r="E20" s="22">
        <f t="shared" si="0"/>
        <v>188370</v>
      </c>
      <c r="F20" s="23">
        <f t="shared" si="1"/>
        <v>0.6250871080139373</v>
      </c>
    </row>
    <row r="21" spans="1:11" ht="24" customHeight="1" x14ac:dyDescent="0.2">
      <c r="A21" s="20">
        <v>9</v>
      </c>
      <c r="B21" s="21" t="s">
        <v>24</v>
      </c>
      <c r="C21" s="22">
        <v>1534648</v>
      </c>
      <c r="D21" s="22">
        <v>1462227</v>
      </c>
      <c r="E21" s="22">
        <f t="shared" si="0"/>
        <v>-72421</v>
      </c>
      <c r="F21" s="23">
        <f t="shared" si="1"/>
        <v>-4.719062612403626E-2</v>
      </c>
    </row>
    <row r="22" spans="1:11" ht="24" customHeight="1" x14ac:dyDescent="0.25">
      <c r="A22" s="24"/>
      <c r="B22" s="25" t="s">
        <v>25</v>
      </c>
      <c r="C22" s="26">
        <f>SUM(C13:C21)</f>
        <v>33417651</v>
      </c>
      <c r="D22" s="26">
        <f>SUM(D13:D21)</f>
        <v>32034489</v>
      </c>
      <c r="E22" s="26">
        <f t="shared" si="0"/>
        <v>-1383162</v>
      </c>
      <c r="F22" s="27">
        <f t="shared" si="1"/>
        <v>-4.1390162342649396E-2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4310243</v>
      </c>
      <c r="D25" s="22">
        <v>4538749</v>
      </c>
      <c r="E25" s="22">
        <f>D25-C25</f>
        <v>228506</v>
      </c>
      <c r="F25" s="23">
        <f>IF(C25=0,0,E25/C25)</f>
        <v>5.3014644417959729E-2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1292108</v>
      </c>
      <c r="D27" s="22">
        <v>2340577</v>
      </c>
      <c r="E27" s="22">
        <f>D27-C27</f>
        <v>1048469</v>
      </c>
      <c r="F27" s="23">
        <f>IF(C27=0,0,E27/C27)</f>
        <v>0.81144068452482299</v>
      </c>
    </row>
    <row r="28" spans="1:11" ht="24" customHeight="1" x14ac:dyDescent="0.2">
      <c r="A28" s="20">
        <v>4</v>
      </c>
      <c r="B28" s="21" t="s">
        <v>31</v>
      </c>
      <c r="C28" s="22">
        <v>6150091</v>
      </c>
      <c r="D28" s="22">
        <v>3941338</v>
      </c>
      <c r="E28" s="22">
        <f>D28-C28</f>
        <v>-2208753</v>
      </c>
      <c r="F28" s="23">
        <f>IF(C28=0,0,E28/C28)</f>
        <v>-0.35914151514180848</v>
      </c>
    </row>
    <row r="29" spans="1:11" ht="24" customHeight="1" x14ac:dyDescent="0.25">
      <c r="A29" s="24"/>
      <c r="B29" s="25" t="s">
        <v>32</v>
      </c>
      <c r="C29" s="26">
        <f>SUM(C25:C28)</f>
        <v>11752442</v>
      </c>
      <c r="D29" s="26">
        <f>SUM(D25:D28)</f>
        <v>10820664</v>
      </c>
      <c r="E29" s="26">
        <f>D29-C29</f>
        <v>-931778</v>
      </c>
      <c r="F29" s="27">
        <f>IF(C29=0,0,E29/C29)</f>
        <v>-7.9283777788480045E-2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15338235</v>
      </c>
      <c r="D32" s="22">
        <v>11533351</v>
      </c>
      <c r="E32" s="22">
        <f>D32-C32</f>
        <v>-3804884</v>
      </c>
      <c r="F32" s="23">
        <f>IF(C32=0,0,E32/C32)</f>
        <v>-0.24806530868773363</v>
      </c>
    </row>
    <row r="33" spans="1:8" ht="24" customHeight="1" x14ac:dyDescent="0.2">
      <c r="A33" s="20">
        <v>7</v>
      </c>
      <c r="B33" s="21" t="s">
        <v>35</v>
      </c>
      <c r="C33" s="22">
        <v>541087</v>
      </c>
      <c r="D33" s="22">
        <v>1318867</v>
      </c>
      <c r="E33" s="22">
        <f>D33-C33</f>
        <v>777780</v>
      </c>
      <c r="F33" s="23">
        <f>IF(C33=0,0,E33/C33)</f>
        <v>1.4374398202137548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100821888</v>
      </c>
      <c r="D36" s="22">
        <v>101703018</v>
      </c>
      <c r="E36" s="22">
        <f>D36-C36</f>
        <v>881130</v>
      </c>
      <c r="F36" s="23">
        <f>IF(C36=0,0,E36/C36)</f>
        <v>8.7394713338436979E-3</v>
      </c>
    </row>
    <row r="37" spans="1:8" ht="24" customHeight="1" x14ac:dyDescent="0.2">
      <c r="A37" s="20">
        <v>2</v>
      </c>
      <c r="B37" s="21" t="s">
        <v>39</v>
      </c>
      <c r="C37" s="22">
        <v>67985808</v>
      </c>
      <c r="D37" s="22">
        <v>70767132</v>
      </c>
      <c r="E37" s="22">
        <f>D37-C37</f>
        <v>2781324</v>
      </c>
      <c r="F37" s="23">
        <f>IF(C37=0,0,E37/C37)</f>
        <v>4.0910361762560798E-2</v>
      </c>
    </row>
    <row r="38" spans="1:8" ht="24" customHeight="1" x14ac:dyDescent="0.25">
      <c r="A38" s="24"/>
      <c r="B38" s="25" t="s">
        <v>40</v>
      </c>
      <c r="C38" s="26">
        <f>C36-C37</f>
        <v>32836080</v>
      </c>
      <c r="D38" s="26">
        <f>D36-D37</f>
        <v>30935886</v>
      </c>
      <c r="E38" s="26">
        <f>D38-C38</f>
        <v>-1900194</v>
      </c>
      <c r="F38" s="27">
        <f>IF(C38=0,0,E38/C38)</f>
        <v>-5.786908790574271E-2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3849846</v>
      </c>
      <c r="D40" s="22">
        <v>10356162</v>
      </c>
      <c r="E40" s="22">
        <f>D40-C40</f>
        <v>6506316</v>
      </c>
      <c r="F40" s="23">
        <f>IF(C40=0,0,E40/C40)</f>
        <v>1.6900198085845513</v>
      </c>
    </row>
    <row r="41" spans="1:8" ht="24" customHeight="1" x14ac:dyDescent="0.25">
      <c r="A41" s="24"/>
      <c r="B41" s="25" t="s">
        <v>42</v>
      </c>
      <c r="C41" s="26">
        <f>+C38+C40</f>
        <v>36685926</v>
      </c>
      <c r="D41" s="26">
        <f>+D38+D40</f>
        <v>41292048</v>
      </c>
      <c r="E41" s="26">
        <f>D41-C41</f>
        <v>4606122</v>
      </c>
      <c r="F41" s="27">
        <f>IF(C41=0,0,E41/C41)</f>
        <v>0.12555556046206928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97735341</v>
      </c>
      <c r="D43" s="26">
        <f>D22+D29+D31+D32+D33+D41</f>
        <v>96999419</v>
      </c>
      <c r="E43" s="26">
        <f>D43-C43</f>
        <v>-735922</v>
      </c>
      <c r="F43" s="27">
        <f>IF(C43=0,0,E43/C43)</f>
        <v>-7.529743002584909E-3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6961922</v>
      </c>
      <c r="D49" s="22">
        <v>9451225</v>
      </c>
      <c r="E49" s="22">
        <f t="shared" ref="E49:E56" si="2">D49-C49</f>
        <v>2489303</v>
      </c>
      <c r="F49" s="23">
        <f t="shared" ref="F49:F56" si="3">IF(C49=0,0,E49/C49)</f>
        <v>0.35755973709558941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1268378</v>
      </c>
      <c r="D50" s="22">
        <v>1186976</v>
      </c>
      <c r="E50" s="22">
        <f t="shared" si="2"/>
        <v>-81402</v>
      </c>
      <c r="F50" s="23">
        <f t="shared" si="3"/>
        <v>-6.4178028947206589E-2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1067507</v>
      </c>
      <c r="E51" s="22">
        <f t="shared" si="2"/>
        <v>1067507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767324</v>
      </c>
      <c r="D53" s="22">
        <v>804612</v>
      </c>
      <c r="E53" s="22">
        <f t="shared" si="2"/>
        <v>37288</v>
      </c>
      <c r="F53" s="23">
        <f t="shared" si="3"/>
        <v>4.8594856931361459E-2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7935558</v>
      </c>
      <c r="D55" s="22">
        <v>11062165</v>
      </c>
      <c r="E55" s="22">
        <f t="shared" si="2"/>
        <v>3126607</v>
      </c>
      <c r="F55" s="23">
        <f t="shared" si="3"/>
        <v>0.39399964060498327</v>
      </c>
    </row>
    <row r="56" spans="1:6" ht="24" customHeight="1" x14ac:dyDescent="0.25">
      <c r="A56" s="24"/>
      <c r="B56" s="25" t="s">
        <v>54</v>
      </c>
      <c r="C56" s="26">
        <f>SUM(C49:C55)</f>
        <v>16933182</v>
      </c>
      <c r="D56" s="26">
        <f>SUM(D49:D55)</f>
        <v>23572485</v>
      </c>
      <c r="E56" s="26">
        <f t="shared" si="2"/>
        <v>6639303</v>
      </c>
      <c r="F56" s="27">
        <f t="shared" si="3"/>
        <v>0.39208832693111079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16517550</v>
      </c>
      <c r="D59" s="22">
        <v>29718688</v>
      </c>
      <c r="E59" s="22">
        <f>D59-C59</f>
        <v>13201138</v>
      </c>
      <c r="F59" s="23">
        <f>IF(C59=0,0,E59/C59)</f>
        <v>0.79921889142154856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16517550</v>
      </c>
      <c r="D61" s="26">
        <f>SUM(D59:D60)</f>
        <v>29718688</v>
      </c>
      <c r="E61" s="26">
        <f>D61-C61</f>
        <v>13201138</v>
      </c>
      <c r="F61" s="27">
        <f>IF(C61=0,0,E61/C61)</f>
        <v>0.79921889142154856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36868659</v>
      </c>
      <c r="D63" s="22">
        <v>27623323</v>
      </c>
      <c r="E63" s="22">
        <f>D63-C63</f>
        <v>-9245336</v>
      </c>
      <c r="F63" s="23">
        <f>IF(C63=0,0,E63/C63)</f>
        <v>-0.2507640974953822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53386209</v>
      </c>
      <c r="D65" s="26">
        <f>SUM(D61:D64)</f>
        <v>57342011</v>
      </c>
      <c r="E65" s="26">
        <f>D65-C65</f>
        <v>3955802</v>
      </c>
      <c r="F65" s="27">
        <f>IF(C65=0,0,E65/C65)</f>
        <v>7.4097825526438857E-2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16901258</v>
      </c>
      <c r="D70" s="22">
        <v>7050300</v>
      </c>
      <c r="E70" s="22">
        <f>D70-C70</f>
        <v>-9850958</v>
      </c>
      <c r="F70" s="23">
        <f>IF(C70=0,0,E70/C70)</f>
        <v>-0.58285353670123252</v>
      </c>
    </row>
    <row r="71" spans="1:6" ht="24" customHeight="1" x14ac:dyDescent="0.2">
      <c r="A71" s="20">
        <v>2</v>
      </c>
      <c r="B71" s="21" t="s">
        <v>65</v>
      </c>
      <c r="C71" s="22">
        <v>6307797</v>
      </c>
      <c r="D71" s="22">
        <v>4728936</v>
      </c>
      <c r="E71" s="22">
        <f>D71-C71</f>
        <v>-1578861</v>
      </c>
      <c r="F71" s="23">
        <f>IF(C71=0,0,E71/C71)</f>
        <v>-0.2503030772867294</v>
      </c>
    </row>
    <row r="72" spans="1:6" ht="24" customHeight="1" x14ac:dyDescent="0.2">
      <c r="A72" s="20">
        <v>3</v>
      </c>
      <c r="B72" s="21" t="s">
        <v>66</v>
      </c>
      <c r="C72" s="22">
        <v>4206895</v>
      </c>
      <c r="D72" s="22">
        <v>4305687</v>
      </c>
      <c r="E72" s="22">
        <f>D72-C72</f>
        <v>98792</v>
      </c>
      <c r="F72" s="23">
        <f>IF(C72=0,0,E72/C72)</f>
        <v>2.3483352924187555E-2</v>
      </c>
    </row>
    <row r="73" spans="1:6" ht="24" customHeight="1" x14ac:dyDescent="0.25">
      <c r="A73" s="20"/>
      <c r="B73" s="25" t="s">
        <v>67</v>
      </c>
      <c r="C73" s="26">
        <f>SUM(C70:C72)</f>
        <v>27415950</v>
      </c>
      <c r="D73" s="26">
        <f>SUM(D70:D72)</f>
        <v>16084923</v>
      </c>
      <c r="E73" s="26">
        <f>D73-C73</f>
        <v>-11331027</v>
      </c>
      <c r="F73" s="27">
        <f>IF(C73=0,0,E73/C73)</f>
        <v>-0.41330054220262291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97735341</v>
      </c>
      <c r="D75" s="26">
        <f>D56+D65+D67+D73</f>
        <v>96999419</v>
      </c>
      <c r="E75" s="26">
        <f>D75-C75</f>
        <v>-735922</v>
      </c>
      <c r="F75" s="27">
        <f>IF(C75=0,0,E75/C75)</f>
        <v>-7.529743002584909E-3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503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504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505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506</v>
      </c>
      <c r="C11" s="76">
        <v>115157319</v>
      </c>
      <c r="D11" s="76">
        <v>128976157</v>
      </c>
      <c r="E11" s="76">
        <v>126341664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4494080</v>
      </c>
      <c r="D12" s="185">
        <v>7427525</v>
      </c>
      <c r="E12" s="185">
        <v>8639267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119651399</v>
      </c>
      <c r="D13" s="76">
        <f>+D11+D12</f>
        <v>136403682</v>
      </c>
      <c r="E13" s="76">
        <f>+E11+E12</f>
        <v>134980931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121166696</v>
      </c>
      <c r="D14" s="185">
        <v>136022982</v>
      </c>
      <c r="E14" s="185">
        <v>143922296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-1515297</v>
      </c>
      <c r="D15" s="76">
        <f>+D13-D14</f>
        <v>380700</v>
      </c>
      <c r="E15" s="76">
        <f>+E13-E14</f>
        <v>-8941365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1333404</v>
      </c>
      <c r="D16" s="185">
        <v>486938</v>
      </c>
      <c r="E16" s="185">
        <v>430535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-181893</v>
      </c>
      <c r="D17" s="76">
        <f>D15+D16</f>
        <v>867638</v>
      </c>
      <c r="E17" s="76">
        <f>E15+E16</f>
        <v>-8510830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507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508</v>
      </c>
      <c r="C20" s="189">
        <f>IF(+C27=0,0,+C24/+C27)</f>
        <v>-1.252468874127935E-2</v>
      </c>
      <c r="D20" s="189">
        <f>IF(+D27=0,0,+D24/+D27)</f>
        <v>2.7810524928588969E-3</v>
      </c>
      <c r="E20" s="189">
        <f>IF(+E27=0,0,+E24/+E27)</f>
        <v>-6.603107745691196E-2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509</v>
      </c>
      <c r="C21" s="189">
        <f>IF(+C27=0,0,+C26/+C27)</f>
        <v>1.1021251983193293E-2</v>
      </c>
      <c r="D21" s="189">
        <f>IF(+D27=0,0,+D26/+D27)</f>
        <v>3.5571319641915567E-3</v>
      </c>
      <c r="E21" s="189">
        <f>IF(+E27=0,0,+E26/+E27)</f>
        <v>3.1794574914357694E-3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510</v>
      </c>
      <c r="C22" s="189">
        <f>IF(+C27=0,0,+C28/+C27)</f>
        <v>-1.5034367580860548E-3</v>
      </c>
      <c r="D22" s="189">
        <f>IF(+D27=0,0,+D28/+D27)</f>
        <v>6.3381844570504541E-3</v>
      </c>
      <c r="E22" s="189">
        <f>IF(+E27=0,0,+E28/+E27)</f>
        <v>-6.2851619965476183E-2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-1515297</v>
      </c>
      <c r="D24" s="76">
        <f>+D15</f>
        <v>380700</v>
      </c>
      <c r="E24" s="76">
        <f>+E15</f>
        <v>-8941365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119651399</v>
      </c>
      <c r="D25" s="76">
        <f>+D13</f>
        <v>136403682</v>
      </c>
      <c r="E25" s="76">
        <f>+E13</f>
        <v>134980931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1333404</v>
      </c>
      <c r="D26" s="76">
        <f>+D16</f>
        <v>486938</v>
      </c>
      <c r="E26" s="76">
        <f>+E16</f>
        <v>430535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120984803</v>
      </c>
      <c r="D27" s="76">
        <f>SUM(D25:D26)</f>
        <v>136890620</v>
      </c>
      <c r="E27" s="76">
        <f>SUM(E25:E26)</f>
        <v>135411466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-181893</v>
      </c>
      <c r="D28" s="76">
        <f>+D17</f>
        <v>867638</v>
      </c>
      <c r="E28" s="76">
        <f>+E17</f>
        <v>-8510830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511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512</v>
      </c>
      <c r="C31" s="76">
        <v>10104119</v>
      </c>
      <c r="D31" s="76">
        <v>6143359</v>
      </c>
      <c r="E31" s="76">
        <v>8092517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513</v>
      </c>
      <c r="C32" s="76">
        <v>18323663</v>
      </c>
      <c r="D32" s="76">
        <v>16665037</v>
      </c>
      <c r="E32" s="76">
        <v>17127403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514</v>
      </c>
      <c r="C33" s="76">
        <v>-885674</v>
      </c>
      <c r="D33" s="76">
        <f>+D32-C32</f>
        <v>-1658626</v>
      </c>
      <c r="E33" s="76">
        <f>+E32-D32</f>
        <v>462366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515</v>
      </c>
      <c r="C34" s="193">
        <v>0.95379999999999998</v>
      </c>
      <c r="D34" s="193">
        <f>IF(C32=0,0,+D33/C32)</f>
        <v>-9.0518255001742834E-2</v>
      </c>
      <c r="E34" s="193">
        <f>IF(D32=0,0,+E33/D32)</f>
        <v>2.774467287411363E-2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1.7101783189549435</v>
      </c>
      <c r="D38" s="338">
        <f>IF(+D40=0,0,+D39/+D40)</f>
        <v>1.6761459232260718</v>
      </c>
      <c r="E38" s="338">
        <f>IF(+E40=0,0,+E39/+E40)</f>
        <v>1.3838821496880362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27865271</v>
      </c>
      <c r="D39" s="341">
        <v>31399198</v>
      </c>
      <c r="E39" s="341">
        <v>35532410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16293781</v>
      </c>
      <c r="D40" s="341">
        <v>18732974</v>
      </c>
      <c r="E40" s="341">
        <v>25675893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35.427273055847664</v>
      </c>
      <c r="D42" s="343">
        <f>IF((D48/365)=0,0,+D45/(D48/365))</f>
        <v>26.834228244631198</v>
      </c>
      <c r="E42" s="343">
        <f>IF((E48/365)=0,0,+E45/(E48/365))</f>
        <v>23.853339516165605</v>
      </c>
    </row>
    <row r="43" spans="1:14" ht="24" customHeight="1" x14ac:dyDescent="0.2">
      <c r="A43" s="339">
        <v>5</v>
      </c>
      <c r="B43" s="344" t="s">
        <v>16</v>
      </c>
      <c r="C43" s="345">
        <v>2768481</v>
      </c>
      <c r="D43" s="345">
        <v>3277302</v>
      </c>
      <c r="E43" s="345">
        <v>6386290</v>
      </c>
    </row>
    <row r="44" spans="1:14" ht="24" customHeight="1" x14ac:dyDescent="0.2">
      <c r="A44" s="339">
        <v>6</v>
      </c>
      <c r="B44" s="346" t="s">
        <v>17</v>
      </c>
      <c r="C44" s="345">
        <v>8537281</v>
      </c>
      <c r="D44" s="345">
        <v>6363563</v>
      </c>
      <c r="E44" s="345">
        <v>2705332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11305762</v>
      </c>
      <c r="D45" s="341">
        <f>+D43+D44</f>
        <v>9640865</v>
      </c>
      <c r="E45" s="341">
        <f>+E43+E44</f>
        <v>9091622</v>
      </c>
    </row>
    <row r="46" spans="1:14" ht="24" customHeight="1" x14ac:dyDescent="0.2">
      <c r="A46" s="339">
        <v>8</v>
      </c>
      <c r="B46" s="340" t="s">
        <v>334</v>
      </c>
      <c r="C46" s="341">
        <f>+C14</f>
        <v>121166696</v>
      </c>
      <c r="D46" s="341">
        <f>+D14</f>
        <v>136022982</v>
      </c>
      <c r="E46" s="341">
        <f>+E14</f>
        <v>143922296</v>
      </c>
    </row>
    <row r="47" spans="1:14" ht="24" customHeight="1" x14ac:dyDescent="0.2">
      <c r="A47" s="339">
        <v>9</v>
      </c>
      <c r="B47" s="340" t="s">
        <v>356</v>
      </c>
      <c r="C47" s="341">
        <v>4685726</v>
      </c>
      <c r="D47" s="341">
        <v>4887639</v>
      </c>
      <c r="E47" s="341">
        <v>4803745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116480970</v>
      </c>
      <c r="D48" s="341">
        <f>+D46-D47</f>
        <v>131135343</v>
      </c>
      <c r="E48" s="341">
        <f>+E46-E47</f>
        <v>139118551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40.230063232020882</v>
      </c>
      <c r="D50" s="350">
        <f>IF((D55/365)=0,0,+D54/(D55/365))</f>
        <v>49.019788983168411</v>
      </c>
      <c r="E50" s="350">
        <f>IF((E55/365)=0,0,+E54/(E55/365))</f>
        <v>40.173877399620132</v>
      </c>
    </row>
    <row r="51" spans="1:5" ht="24" customHeight="1" x14ac:dyDescent="0.2">
      <c r="A51" s="339">
        <v>12</v>
      </c>
      <c r="B51" s="344" t="s">
        <v>359</v>
      </c>
      <c r="C51" s="351">
        <v>12857684</v>
      </c>
      <c r="D51" s="351">
        <v>14676491</v>
      </c>
      <c r="E51" s="351">
        <v>14973355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2645109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165119</v>
      </c>
      <c r="D53" s="341">
        <v>0</v>
      </c>
      <c r="E53" s="341">
        <v>1067507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12692565</v>
      </c>
      <c r="D54" s="352">
        <f>+D51+D52-D53</f>
        <v>17321600</v>
      </c>
      <c r="E54" s="352">
        <f>+E51+E52-E53</f>
        <v>13905848</v>
      </c>
    </row>
    <row r="55" spans="1:5" ht="24" customHeight="1" x14ac:dyDescent="0.2">
      <c r="A55" s="339">
        <v>16</v>
      </c>
      <c r="B55" s="340" t="s">
        <v>75</v>
      </c>
      <c r="C55" s="341">
        <f>+C11</f>
        <v>115157319</v>
      </c>
      <c r="D55" s="341">
        <f>+D11</f>
        <v>128976157</v>
      </c>
      <c r="E55" s="341">
        <f>+E11</f>
        <v>126341664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51.057525233520977</v>
      </c>
      <c r="D57" s="355">
        <f>IF((D61/365)=0,0,+D58/(D61/365))</f>
        <v>52.141057883990896</v>
      </c>
      <c r="E57" s="355">
        <f>IF((E61/365)=0,0,+E58/(E61/365))</f>
        <v>67.364854490182267</v>
      </c>
    </row>
    <row r="58" spans="1:5" ht="24" customHeight="1" x14ac:dyDescent="0.2">
      <c r="A58" s="339">
        <v>18</v>
      </c>
      <c r="B58" s="340" t="s">
        <v>54</v>
      </c>
      <c r="C58" s="353">
        <f>+C40</f>
        <v>16293781</v>
      </c>
      <c r="D58" s="353">
        <f>+D40</f>
        <v>18732974</v>
      </c>
      <c r="E58" s="353">
        <f>+E40</f>
        <v>25675893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121166696</v>
      </c>
      <c r="D59" s="353">
        <f t="shared" si="0"/>
        <v>136022982</v>
      </c>
      <c r="E59" s="353">
        <f t="shared" si="0"/>
        <v>143922296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4685726</v>
      </c>
      <c r="D60" s="356">
        <f t="shared" si="0"/>
        <v>4887639</v>
      </c>
      <c r="E60" s="356">
        <f t="shared" si="0"/>
        <v>4803745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116480970</v>
      </c>
      <c r="D61" s="353">
        <f>+D59-D60</f>
        <v>131135343</v>
      </c>
      <c r="E61" s="353">
        <f>+E59-E60</f>
        <v>139118551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22.515895846362582</v>
      </c>
      <c r="D65" s="357">
        <f>IF(D67=0,0,(D66/D67)*100)</f>
        <v>18.770269086105618</v>
      </c>
      <c r="E65" s="357">
        <f>IF(E67=0,0,(E66/E67)*100)</f>
        <v>17.10255179506315</v>
      </c>
    </row>
    <row r="66" spans="1:5" ht="24" customHeight="1" x14ac:dyDescent="0.2">
      <c r="A66" s="339">
        <v>2</v>
      </c>
      <c r="B66" s="340" t="s">
        <v>67</v>
      </c>
      <c r="C66" s="353">
        <f>+C32</f>
        <v>18323663</v>
      </c>
      <c r="D66" s="353">
        <f>+D32</f>
        <v>16665037</v>
      </c>
      <c r="E66" s="353">
        <f>+E32</f>
        <v>17127403</v>
      </c>
    </row>
    <row r="67" spans="1:5" ht="24" customHeight="1" x14ac:dyDescent="0.2">
      <c r="A67" s="339">
        <v>3</v>
      </c>
      <c r="B67" s="340" t="s">
        <v>43</v>
      </c>
      <c r="C67" s="353">
        <v>81381008</v>
      </c>
      <c r="D67" s="353">
        <v>88784220</v>
      </c>
      <c r="E67" s="353">
        <v>100145307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13.421223155627146</v>
      </c>
      <c r="D69" s="357">
        <f>IF(D75=0,0,(D72/D75)*100)</f>
        <v>16.326784248654004</v>
      </c>
      <c r="E69" s="357">
        <f>IF(E75=0,0,(E72/E75)*100)</f>
        <v>-6.6921437676367654</v>
      </c>
    </row>
    <row r="70" spans="1:5" ht="24" customHeight="1" x14ac:dyDescent="0.2">
      <c r="A70" s="339">
        <v>5</v>
      </c>
      <c r="B70" s="340" t="s">
        <v>366</v>
      </c>
      <c r="C70" s="353">
        <f>+C28</f>
        <v>-181893</v>
      </c>
      <c r="D70" s="353">
        <f>+D28</f>
        <v>867638</v>
      </c>
      <c r="E70" s="353">
        <f>+E28</f>
        <v>-8510830</v>
      </c>
    </row>
    <row r="71" spans="1:5" ht="24" customHeight="1" x14ac:dyDescent="0.2">
      <c r="A71" s="339">
        <v>6</v>
      </c>
      <c r="B71" s="340" t="s">
        <v>356</v>
      </c>
      <c r="C71" s="356">
        <f>+C47</f>
        <v>4685726</v>
      </c>
      <c r="D71" s="356">
        <f>+D47</f>
        <v>4887639</v>
      </c>
      <c r="E71" s="356">
        <f>+E47</f>
        <v>4803745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4503833</v>
      </c>
      <c r="D72" s="353">
        <f>+D70+D71</f>
        <v>5755277</v>
      </c>
      <c r="E72" s="353">
        <f>+E70+E71</f>
        <v>-3707085</v>
      </c>
    </row>
    <row r="73" spans="1:5" ht="24" customHeight="1" x14ac:dyDescent="0.2">
      <c r="A73" s="339">
        <v>8</v>
      </c>
      <c r="B73" s="340" t="s">
        <v>54</v>
      </c>
      <c r="C73" s="341">
        <f>+C40</f>
        <v>16293781</v>
      </c>
      <c r="D73" s="341">
        <f>+D40</f>
        <v>18732974</v>
      </c>
      <c r="E73" s="341">
        <f>+E40</f>
        <v>25675893</v>
      </c>
    </row>
    <row r="74" spans="1:5" ht="24" customHeight="1" x14ac:dyDescent="0.2">
      <c r="A74" s="339">
        <v>9</v>
      </c>
      <c r="B74" s="340" t="s">
        <v>58</v>
      </c>
      <c r="C74" s="353">
        <v>17263764</v>
      </c>
      <c r="D74" s="353">
        <v>16517550</v>
      </c>
      <c r="E74" s="353">
        <v>29718688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33557545</v>
      </c>
      <c r="D75" s="341">
        <f>+D73+D74</f>
        <v>35250524</v>
      </c>
      <c r="E75" s="341">
        <f>+E73+E74</f>
        <v>55394581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48.510851880356512</v>
      </c>
      <c r="D77" s="359">
        <f>IF(D80=0,0,(D78/D80)*100)</f>
        <v>49.77776446423541</v>
      </c>
      <c r="E77" s="359">
        <f>IF(E80=0,0,(E78/E80)*100)</f>
        <v>63.438992166923811</v>
      </c>
    </row>
    <row r="78" spans="1:5" ht="24" customHeight="1" x14ac:dyDescent="0.2">
      <c r="A78" s="339">
        <v>12</v>
      </c>
      <c r="B78" s="340" t="s">
        <v>58</v>
      </c>
      <c r="C78" s="341">
        <f>+C74</f>
        <v>17263764</v>
      </c>
      <c r="D78" s="341">
        <f>+D74</f>
        <v>16517550</v>
      </c>
      <c r="E78" s="341">
        <f>+E74</f>
        <v>29718688</v>
      </c>
    </row>
    <row r="79" spans="1:5" ht="24" customHeight="1" x14ac:dyDescent="0.2">
      <c r="A79" s="339">
        <v>13</v>
      </c>
      <c r="B79" s="340" t="s">
        <v>67</v>
      </c>
      <c r="C79" s="341">
        <f>+C32</f>
        <v>18323663</v>
      </c>
      <c r="D79" s="341">
        <f>+D32</f>
        <v>16665037</v>
      </c>
      <c r="E79" s="341">
        <f>+E32</f>
        <v>17127403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35587427</v>
      </c>
      <c r="D80" s="341">
        <f>+D78+D79</f>
        <v>33182587</v>
      </c>
      <c r="E80" s="341">
        <f>+E78+E79</f>
        <v>46846091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516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517</v>
      </c>
      <c r="E6" s="362" t="s">
        <v>518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519</v>
      </c>
      <c r="I7" s="362" t="s">
        <v>519</v>
      </c>
      <c r="J7" s="367"/>
      <c r="K7" s="368"/>
    </row>
    <row r="8" spans="1:11" ht="15.75" customHeight="1" x14ac:dyDescent="0.25">
      <c r="A8" s="360"/>
      <c r="B8" s="361"/>
      <c r="C8" s="362" t="s">
        <v>520</v>
      </c>
      <c r="D8" s="362" t="s">
        <v>521</v>
      </c>
      <c r="E8" s="362" t="s">
        <v>522</v>
      </c>
      <c r="F8" s="362" t="s">
        <v>523</v>
      </c>
      <c r="G8" s="362" t="s">
        <v>524</v>
      </c>
      <c r="H8" s="362" t="s">
        <v>525</v>
      </c>
      <c r="I8" s="362" t="s">
        <v>526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527</v>
      </c>
      <c r="D9" s="371" t="s">
        <v>528</v>
      </c>
      <c r="E9" s="371" t="s">
        <v>529</v>
      </c>
      <c r="F9" s="371" t="s">
        <v>530</v>
      </c>
      <c r="G9" s="371" t="s">
        <v>531</v>
      </c>
      <c r="H9" s="371" t="s">
        <v>530</v>
      </c>
      <c r="I9" s="371" t="s">
        <v>531</v>
      </c>
      <c r="J9" s="367"/>
      <c r="K9" s="372"/>
    </row>
    <row r="10" spans="1:11" ht="15.75" customHeight="1" x14ac:dyDescent="0.25">
      <c r="A10" s="136" t="s">
        <v>529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532</v>
      </c>
      <c r="C11" s="376">
        <v>8273</v>
      </c>
      <c r="D11" s="376">
        <v>2567</v>
      </c>
      <c r="E11" s="376">
        <v>2506</v>
      </c>
      <c r="F11" s="377">
        <v>36</v>
      </c>
      <c r="G11" s="377">
        <v>72</v>
      </c>
      <c r="H11" s="378">
        <f>IF(F11=0,0,$C11/(F11*365))</f>
        <v>0.62960426179604256</v>
      </c>
      <c r="I11" s="378">
        <f>IF(G11=0,0,$C11/(G11*365))</f>
        <v>0.31480213089802128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533</v>
      </c>
      <c r="C13" s="376">
        <v>687</v>
      </c>
      <c r="D13" s="376">
        <v>84</v>
      </c>
      <c r="E13" s="376">
        <v>0</v>
      </c>
      <c r="F13" s="377">
        <v>6</v>
      </c>
      <c r="G13" s="377">
        <v>9</v>
      </c>
      <c r="H13" s="378">
        <f>IF(F13=0,0,$C13/(F13*365))</f>
        <v>0.31369863013698629</v>
      </c>
      <c r="I13" s="378">
        <f>IF(G13=0,0,$C13/(G13*365))</f>
        <v>0.20913242009132421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534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535</v>
      </c>
      <c r="C16" s="376">
        <v>4242</v>
      </c>
      <c r="D16" s="376">
        <v>580</v>
      </c>
      <c r="E16" s="376">
        <v>581</v>
      </c>
      <c r="F16" s="377">
        <v>13</v>
      </c>
      <c r="G16" s="377">
        <v>15</v>
      </c>
      <c r="H16" s="378">
        <f t="shared" si="0"/>
        <v>0.89399367755532144</v>
      </c>
      <c r="I16" s="378">
        <f t="shared" si="0"/>
        <v>0.77479452054794518</v>
      </c>
      <c r="J16" s="367"/>
      <c r="K16" s="379"/>
    </row>
    <row r="17" spans="1:11" ht="15.75" customHeight="1" x14ac:dyDescent="0.25">
      <c r="A17" s="136"/>
      <c r="B17" s="380" t="s">
        <v>536</v>
      </c>
      <c r="C17" s="381">
        <f>SUM(C15:C16)</f>
        <v>4242</v>
      </c>
      <c r="D17" s="381">
        <f>SUM(D15:D16)</f>
        <v>580</v>
      </c>
      <c r="E17" s="381">
        <f>SUM(E15:E16)</f>
        <v>581</v>
      </c>
      <c r="F17" s="381">
        <f>SUM(F15:F16)</f>
        <v>13</v>
      </c>
      <c r="G17" s="381">
        <f>SUM(G15:G16)</f>
        <v>15</v>
      </c>
      <c r="H17" s="382">
        <f t="shared" si="0"/>
        <v>0.89399367755532144</v>
      </c>
      <c r="I17" s="382">
        <f t="shared" si="0"/>
        <v>0.77479452054794518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537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538</v>
      </c>
      <c r="C21" s="376">
        <v>1459</v>
      </c>
      <c r="D21" s="376">
        <v>569</v>
      </c>
      <c r="E21" s="376">
        <v>539</v>
      </c>
      <c r="F21" s="377">
        <v>5</v>
      </c>
      <c r="G21" s="377">
        <v>8</v>
      </c>
      <c r="H21" s="378">
        <f>IF(F21=0,0,$C21/(F21*365))</f>
        <v>0.79945205479452053</v>
      </c>
      <c r="I21" s="378">
        <f>IF(G21=0,0,$C21/(G21*365))</f>
        <v>0.49965753424657533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539</v>
      </c>
      <c r="C23" s="376">
        <v>1405</v>
      </c>
      <c r="D23" s="376">
        <v>585</v>
      </c>
      <c r="E23" s="376">
        <v>555</v>
      </c>
      <c r="F23" s="377">
        <v>5</v>
      </c>
      <c r="G23" s="377">
        <v>18</v>
      </c>
      <c r="H23" s="378">
        <f>IF(F23=0,0,$C23/(F23*365))</f>
        <v>0.76986301369863008</v>
      </c>
      <c r="I23" s="378">
        <f>IF(G23=0,0,$C23/(G23*365))</f>
        <v>0.21385083713850836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540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541</v>
      </c>
      <c r="C27" s="376">
        <v>58</v>
      </c>
      <c r="D27" s="376">
        <v>30</v>
      </c>
      <c r="E27" s="376">
        <v>30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542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543</v>
      </c>
      <c r="C31" s="384">
        <f>SUM(C10:C29)-C17-C23</f>
        <v>14719</v>
      </c>
      <c r="D31" s="384">
        <f>SUM(D10:D29)-D13-D17-D23</f>
        <v>3746</v>
      </c>
      <c r="E31" s="384">
        <f>SUM(E10:E29)-E17-E23</f>
        <v>3656</v>
      </c>
      <c r="F31" s="384">
        <f>SUM(F10:F29)-F17-F23</f>
        <v>60</v>
      </c>
      <c r="G31" s="384">
        <f>SUM(G10:G29)-G17-G23</f>
        <v>104</v>
      </c>
      <c r="H31" s="385">
        <f>IF(F31=0,0,$C31/(F31*365))</f>
        <v>0.67210045662100459</v>
      </c>
      <c r="I31" s="385">
        <f>IF(G31=0,0,$C31/(G31*365))</f>
        <v>0.38775026343519492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544</v>
      </c>
      <c r="C33" s="384">
        <f>SUM(C10:C29)-C17</f>
        <v>16124</v>
      </c>
      <c r="D33" s="384">
        <f>SUM(D10:D29)-D13-D17</f>
        <v>4331</v>
      </c>
      <c r="E33" s="384">
        <f>SUM(E10:E29)-E17</f>
        <v>4211</v>
      </c>
      <c r="F33" s="384">
        <f>SUM(F10:F29)-F17</f>
        <v>65</v>
      </c>
      <c r="G33" s="384">
        <f>SUM(G10:G29)-G17</f>
        <v>122</v>
      </c>
      <c r="H33" s="385">
        <f>IF(F33=0,0,$C33/(F33*365))</f>
        <v>0.67962065331928345</v>
      </c>
      <c r="I33" s="385">
        <f>IF(G33=0,0,$C33/(G33*365))</f>
        <v>0.36209297103076576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545</v>
      </c>
      <c r="C36" s="384">
        <f t="shared" ref="C36:I36" si="1">+C33</f>
        <v>16124</v>
      </c>
      <c r="D36" s="384">
        <f t="shared" si="1"/>
        <v>4331</v>
      </c>
      <c r="E36" s="384">
        <f t="shared" si="1"/>
        <v>4211</v>
      </c>
      <c r="F36" s="384">
        <f t="shared" si="1"/>
        <v>65</v>
      </c>
      <c r="G36" s="384">
        <f t="shared" si="1"/>
        <v>122</v>
      </c>
      <c r="H36" s="387">
        <f t="shared" si="1"/>
        <v>0.67962065331928345</v>
      </c>
      <c r="I36" s="387">
        <f t="shared" si="1"/>
        <v>0.36209297103076576</v>
      </c>
      <c r="J36" s="367"/>
      <c r="K36" s="379"/>
    </row>
    <row r="37" spans="1:11" ht="15.75" customHeight="1" x14ac:dyDescent="0.25">
      <c r="A37" s="136"/>
      <c r="B37" s="361" t="s">
        <v>546</v>
      </c>
      <c r="C37" s="384">
        <v>18484</v>
      </c>
      <c r="D37" s="384">
        <v>5097</v>
      </c>
      <c r="E37" s="384">
        <v>4983</v>
      </c>
      <c r="F37" s="386">
        <v>65</v>
      </c>
      <c r="G37" s="386">
        <v>122</v>
      </c>
      <c r="H37" s="385">
        <f>IF(F37=0,0,$C37/(F37*365))</f>
        <v>0.77909378292939935</v>
      </c>
      <c r="I37" s="385">
        <f>IF(G37=0,0,$C37/(G37*365))</f>
        <v>0.41509094992140128</v>
      </c>
      <c r="J37" s="367"/>
      <c r="K37" s="379"/>
    </row>
    <row r="38" spans="1:11" ht="15.75" customHeight="1" x14ac:dyDescent="0.25">
      <c r="A38" s="136"/>
      <c r="B38" s="361" t="s">
        <v>547</v>
      </c>
      <c r="C38" s="384">
        <f t="shared" ref="C38:I38" si="2">+C36-C37</f>
        <v>-2360</v>
      </c>
      <c r="D38" s="384">
        <f t="shared" si="2"/>
        <v>-766</v>
      </c>
      <c r="E38" s="384">
        <f t="shared" si="2"/>
        <v>-772</v>
      </c>
      <c r="F38" s="384">
        <f t="shared" si="2"/>
        <v>0</v>
      </c>
      <c r="G38" s="384">
        <f t="shared" si="2"/>
        <v>0</v>
      </c>
      <c r="H38" s="387">
        <f t="shared" si="2"/>
        <v>-9.9473129610115896E-2</v>
      </c>
      <c r="I38" s="387">
        <f t="shared" si="2"/>
        <v>-5.2997978890635511E-2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548</v>
      </c>
      <c r="C40" s="389">
        <f t="shared" ref="C40:I40" si="3">IF(C37=0,0,C38/C37)</f>
        <v>-0.12767799177667172</v>
      </c>
      <c r="D40" s="389">
        <f t="shared" si="3"/>
        <v>-0.15028448106729447</v>
      </c>
      <c r="E40" s="389">
        <f t="shared" si="3"/>
        <v>-0.15492675095324102</v>
      </c>
      <c r="F40" s="389">
        <f t="shared" si="3"/>
        <v>0</v>
      </c>
      <c r="G40" s="389">
        <f t="shared" si="3"/>
        <v>0</v>
      </c>
      <c r="H40" s="389">
        <f t="shared" si="3"/>
        <v>-0.12767799177667169</v>
      </c>
      <c r="I40" s="389">
        <f t="shared" si="3"/>
        <v>-0.12767799177667169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549</v>
      </c>
      <c r="C42" s="375">
        <v>122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550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529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551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552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553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554</v>
      </c>
      <c r="C12" s="409">
        <v>1561</v>
      </c>
      <c r="D12" s="409">
        <v>1385</v>
      </c>
      <c r="E12" s="409">
        <f>+D12-C12</f>
        <v>-176</v>
      </c>
      <c r="F12" s="410">
        <f>IF(C12=0,0,+E12/C12)</f>
        <v>-0.11274823830877642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555</v>
      </c>
      <c r="C13" s="409">
        <v>3074</v>
      </c>
      <c r="D13" s="409">
        <v>3224</v>
      </c>
      <c r="E13" s="409">
        <f>+D13-C13</f>
        <v>150</v>
      </c>
      <c r="F13" s="410">
        <f>IF(C13=0,0,+E13/C13)</f>
        <v>4.8796356538711776E-2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556</v>
      </c>
      <c r="C14" s="409">
        <v>3763</v>
      </c>
      <c r="D14" s="409">
        <v>3681</v>
      </c>
      <c r="E14" s="409">
        <f>+D14-C14</f>
        <v>-82</v>
      </c>
      <c r="F14" s="410">
        <f>IF(C14=0,0,+E14/C14)</f>
        <v>-2.1791124103109221E-2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557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558</v>
      </c>
      <c r="C16" s="401">
        <f>SUM(C12:C15)</f>
        <v>8398</v>
      </c>
      <c r="D16" s="401">
        <f>SUM(D12:D15)</f>
        <v>8290</v>
      </c>
      <c r="E16" s="401">
        <f>+D16-C16</f>
        <v>-108</v>
      </c>
      <c r="F16" s="402">
        <f>IF(C16=0,0,+E16/C16)</f>
        <v>-1.2860204810669207E-2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559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554</v>
      </c>
      <c r="C19" s="409">
        <v>504</v>
      </c>
      <c r="D19" s="409">
        <v>433</v>
      </c>
      <c r="E19" s="409">
        <f>+D19-C19</f>
        <v>-71</v>
      </c>
      <c r="F19" s="410">
        <f>IF(C19=0,0,+E19/C19)</f>
        <v>-0.14087301587301587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555</v>
      </c>
      <c r="C20" s="409">
        <v>4948</v>
      </c>
      <c r="D20" s="409">
        <v>4504</v>
      </c>
      <c r="E20" s="409">
        <f>+D20-C20</f>
        <v>-444</v>
      </c>
      <c r="F20" s="410">
        <f>IF(C20=0,0,+E20/C20)</f>
        <v>-8.9733225545675019E-2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556</v>
      </c>
      <c r="C21" s="409">
        <v>158</v>
      </c>
      <c r="D21" s="409">
        <v>207</v>
      </c>
      <c r="E21" s="409">
        <f>+D21-C21</f>
        <v>49</v>
      </c>
      <c r="F21" s="410">
        <f>IF(C21=0,0,+E21/C21)</f>
        <v>0.310126582278481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557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560</v>
      </c>
      <c r="C23" s="401">
        <f>SUM(C19:C22)</f>
        <v>5610</v>
      </c>
      <c r="D23" s="401">
        <f>SUM(D19:D22)</f>
        <v>5144</v>
      </c>
      <c r="E23" s="401">
        <f>+D23-C23</f>
        <v>-466</v>
      </c>
      <c r="F23" s="402">
        <f>IF(C23=0,0,+E23/C23)</f>
        <v>-8.3065953654188951E-2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561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554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555</v>
      </c>
      <c r="C27" s="409">
        <v>161</v>
      </c>
      <c r="D27" s="409">
        <v>227</v>
      </c>
      <c r="E27" s="409">
        <f>+D27-C27</f>
        <v>66</v>
      </c>
      <c r="F27" s="410">
        <f>IF(C27=0,0,+E27/C27)</f>
        <v>0.40993788819875776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556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557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562</v>
      </c>
      <c r="C30" s="401">
        <f>SUM(C26:C29)</f>
        <v>161</v>
      </c>
      <c r="D30" s="401">
        <f>SUM(D26:D29)</f>
        <v>227</v>
      </c>
      <c r="E30" s="401">
        <f>+D30-C30</f>
        <v>66</v>
      </c>
      <c r="F30" s="402">
        <f>IF(C30=0,0,+E30/C30)</f>
        <v>0.40993788819875776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563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554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555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556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557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564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565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566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567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568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569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570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571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568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569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572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573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574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575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576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577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578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579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580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581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582</v>
      </c>
      <c r="C63" s="409">
        <v>722</v>
      </c>
      <c r="D63" s="409">
        <v>685</v>
      </c>
      <c r="E63" s="409">
        <f>+D63-C63</f>
        <v>-37</v>
      </c>
      <c r="F63" s="410">
        <f>IF(C63=0,0,+E63/C63)</f>
        <v>-5.1246537396121887E-2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583</v>
      </c>
      <c r="C64" s="409">
        <v>3008</v>
      </c>
      <c r="D64" s="409">
        <v>2872</v>
      </c>
      <c r="E64" s="409">
        <f>+D64-C64</f>
        <v>-136</v>
      </c>
      <c r="F64" s="410">
        <f>IF(C64=0,0,+E64/C64)</f>
        <v>-4.5212765957446811E-2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584</v>
      </c>
      <c r="C65" s="401">
        <f>SUM(C63:C64)</f>
        <v>3730</v>
      </c>
      <c r="D65" s="401">
        <f>SUM(D63:D64)</f>
        <v>3557</v>
      </c>
      <c r="E65" s="401">
        <f>+D65-C65</f>
        <v>-173</v>
      </c>
      <c r="F65" s="402">
        <f>IF(C65=0,0,+E65/C65)</f>
        <v>-4.6380697050938335E-2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585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586</v>
      </c>
      <c r="C68" s="409">
        <v>190</v>
      </c>
      <c r="D68" s="409">
        <v>181</v>
      </c>
      <c r="E68" s="409">
        <f>+D68-C68</f>
        <v>-9</v>
      </c>
      <c r="F68" s="410">
        <f>IF(C68=0,0,+E68/C68)</f>
        <v>-4.736842105263158E-2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587</v>
      </c>
      <c r="C69" s="409">
        <v>3584</v>
      </c>
      <c r="D69" s="409">
        <v>940</v>
      </c>
      <c r="E69" s="409">
        <f>+D69-C69</f>
        <v>-2644</v>
      </c>
      <c r="F69" s="412">
        <f>IF(C69=0,0,+E69/C69)</f>
        <v>-0.7377232142857143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588</v>
      </c>
      <c r="C70" s="401">
        <f>SUM(C68:C69)</f>
        <v>3774</v>
      </c>
      <c r="D70" s="401">
        <f>SUM(D68:D69)</f>
        <v>1121</v>
      </c>
      <c r="E70" s="401">
        <f>+D70-C70</f>
        <v>-2653</v>
      </c>
      <c r="F70" s="402">
        <f>IF(C70=0,0,+E70/C70)</f>
        <v>-0.70296767355590883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589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590</v>
      </c>
      <c r="C73" s="376">
        <v>3285</v>
      </c>
      <c r="D73" s="376">
        <v>2777</v>
      </c>
      <c r="E73" s="409">
        <f>+D73-C73</f>
        <v>-508</v>
      </c>
      <c r="F73" s="410">
        <f>IF(C73=0,0,+E73/C73)</f>
        <v>-0.15464231354642313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591</v>
      </c>
      <c r="C74" s="376">
        <v>24726</v>
      </c>
      <c r="D74" s="376">
        <v>21491</v>
      </c>
      <c r="E74" s="409">
        <f>+D74-C74</f>
        <v>-3235</v>
      </c>
      <c r="F74" s="410">
        <f>IF(C74=0,0,+E74/C74)</f>
        <v>-0.13083393998220497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28011</v>
      </c>
      <c r="D75" s="401">
        <f>SUM(D73:D74)</f>
        <v>24268</v>
      </c>
      <c r="E75" s="401">
        <f>SUM(E73:E74)</f>
        <v>-3743</v>
      </c>
      <c r="F75" s="402">
        <f>IF(C75=0,0,+E75/C75)</f>
        <v>-0.13362607547035094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592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593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594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595</v>
      </c>
      <c r="C81" s="376">
        <v>9511</v>
      </c>
      <c r="D81" s="376">
        <v>11707</v>
      </c>
      <c r="E81" s="409">
        <f t="shared" si="0"/>
        <v>2196</v>
      </c>
      <c r="F81" s="410">
        <f t="shared" si="1"/>
        <v>0.2308905477867732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596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597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598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599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600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601</v>
      </c>
      <c r="C87" s="376">
        <v>43039</v>
      </c>
      <c r="D87" s="376">
        <v>0</v>
      </c>
      <c r="E87" s="409">
        <f t="shared" si="0"/>
        <v>-43039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602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603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604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605</v>
      </c>
      <c r="C91" s="376">
        <v>0</v>
      </c>
      <c r="D91" s="376">
        <v>13555</v>
      </c>
      <c r="E91" s="409">
        <f t="shared" si="0"/>
        <v>13555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606</v>
      </c>
      <c r="C92" s="381">
        <f>SUM(C79:C91)</f>
        <v>52550</v>
      </c>
      <c r="D92" s="381">
        <f>SUM(D79:D91)</f>
        <v>25262</v>
      </c>
      <c r="E92" s="401">
        <f t="shared" si="0"/>
        <v>-27288</v>
      </c>
      <c r="F92" s="402">
        <f t="shared" si="1"/>
        <v>-0.51927687916270215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607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608</v>
      </c>
      <c r="C95" s="414">
        <v>78067</v>
      </c>
      <c r="D95" s="414">
        <v>76952</v>
      </c>
      <c r="E95" s="415">
        <f t="shared" ref="E95:E100" si="2">+D95-C95</f>
        <v>-1115</v>
      </c>
      <c r="F95" s="412">
        <f t="shared" ref="F95:F100" si="3">IF(C95=0,0,+E95/C95)</f>
        <v>-1.42826034047677E-2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609</v>
      </c>
      <c r="C96" s="414">
        <v>3762</v>
      </c>
      <c r="D96" s="414">
        <v>3695</v>
      </c>
      <c r="E96" s="409">
        <f t="shared" si="2"/>
        <v>-67</v>
      </c>
      <c r="F96" s="410">
        <f t="shared" si="3"/>
        <v>-1.7809675704412546E-2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610</v>
      </c>
      <c r="C97" s="414">
        <v>828</v>
      </c>
      <c r="D97" s="414">
        <v>1223</v>
      </c>
      <c r="E97" s="409">
        <f t="shared" si="2"/>
        <v>395</v>
      </c>
      <c r="F97" s="410">
        <f t="shared" si="3"/>
        <v>0.47705314009661837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611</v>
      </c>
      <c r="C98" s="414">
        <v>3584</v>
      </c>
      <c r="D98" s="414">
        <v>3149</v>
      </c>
      <c r="E98" s="409">
        <f t="shared" si="2"/>
        <v>-435</v>
      </c>
      <c r="F98" s="410">
        <f t="shared" si="3"/>
        <v>-0.12137276785714286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612</v>
      </c>
      <c r="C99" s="414">
        <v>145964</v>
      </c>
      <c r="D99" s="414">
        <v>70581</v>
      </c>
      <c r="E99" s="409">
        <f t="shared" si="2"/>
        <v>-75383</v>
      </c>
      <c r="F99" s="410">
        <f t="shared" si="3"/>
        <v>-0.51644926146173031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613</v>
      </c>
      <c r="C100" s="381">
        <f>SUM(C95:C99)</f>
        <v>232205</v>
      </c>
      <c r="D100" s="381">
        <f>SUM(D95:D99)</f>
        <v>155600</v>
      </c>
      <c r="E100" s="401">
        <f t="shared" si="2"/>
        <v>-76605</v>
      </c>
      <c r="F100" s="402">
        <f t="shared" si="3"/>
        <v>-0.32990245688077346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614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615</v>
      </c>
      <c r="C104" s="416">
        <v>274.2</v>
      </c>
      <c r="D104" s="416">
        <v>284.10000000000002</v>
      </c>
      <c r="E104" s="417">
        <f>+D104-C104</f>
        <v>9.9000000000000341</v>
      </c>
      <c r="F104" s="410">
        <f>IF(C104=0,0,+E104/C104)</f>
        <v>3.610503282275724E-2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616</v>
      </c>
      <c r="C105" s="416">
        <v>16.100000000000001</v>
      </c>
      <c r="D105" s="416">
        <v>5.6</v>
      </c>
      <c r="E105" s="417">
        <f>+D105-C105</f>
        <v>-10.500000000000002</v>
      </c>
      <c r="F105" s="410">
        <f>IF(C105=0,0,+E105/C105)</f>
        <v>-0.65217391304347827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617</v>
      </c>
      <c r="C106" s="416">
        <v>545.1</v>
      </c>
      <c r="D106" s="416">
        <v>517</v>
      </c>
      <c r="E106" s="417">
        <f>+D106-C106</f>
        <v>-28.100000000000023</v>
      </c>
      <c r="F106" s="410">
        <f>IF(C106=0,0,+E106/C106)</f>
        <v>-5.1550174279948673E-2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618</v>
      </c>
      <c r="C107" s="418">
        <f>SUM(C104:C106)</f>
        <v>835.40000000000009</v>
      </c>
      <c r="D107" s="418">
        <f>SUM(D104:D106)</f>
        <v>806.7</v>
      </c>
      <c r="E107" s="418">
        <f>+D107-C107</f>
        <v>-28.700000000000045</v>
      </c>
      <c r="F107" s="402">
        <f>IF(C107=0,0,+E107/C107)</f>
        <v>-3.4354800095762562E-2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619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583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620</v>
      </c>
      <c r="C12" s="409">
        <v>3008</v>
      </c>
      <c r="D12" s="409">
        <v>2872</v>
      </c>
      <c r="E12" s="409">
        <f>+D12-C12</f>
        <v>-136</v>
      </c>
      <c r="F12" s="410">
        <f>IF(C12=0,0,+E12/C12)</f>
        <v>-4.5212765957446811E-2</v>
      </c>
    </row>
    <row r="13" spans="1:6" ht="15.75" customHeight="1" x14ac:dyDescent="0.25">
      <c r="A13" s="374"/>
      <c r="B13" s="399" t="s">
        <v>621</v>
      </c>
      <c r="C13" s="401">
        <f>SUM(C11:C12)</f>
        <v>3008</v>
      </c>
      <c r="D13" s="401">
        <f>SUM(D11:D12)</f>
        <v>2872</v>
      </c>
      <c r="E13" s="401">
        <f>+D13-C13</f>
        <v>-136</v>
      </c>
      <c r="F13" s="402">
        <f>IF(C13=0,0,+E13/C13)</f>
        <v>-4.5212765957446811E-2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587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620</v>
      </c>
      <c r="C16" s="409">
        <v>3584</v>
      </c>
      <c r="D16" s="409">
        <v>940</v>
      </c>
      <c r="E16" s="409">
        <f>+D16-C16</f>
        <v>-2644</v>
      </c>
      <c r="F16" s="410">
        <f>IF(C16=0,0,+E16/C16)</f>
        <v>-0.7377232142857143</v>
      </c>
    </row>
    <row r="17" spans="1:6" ht="15.75" customHeight="1" x14ac:dyDescent="0.25">
      <c r="A17" s="374"/>
      <c r="B17" s="399" t="s">
        <v>622</v>
      </c>
      <c r="C17" s="401">
        <f>SUM(C15:C16)</f>
        <v>3584</v>
      </c>
      <c r="D17" s="401">
        <f>SUM(D15:D16)</f>
        <v>940</v>
      </c>
      <c r="E17" s="401">
        <f>+D17-C17</f>
        <v>-2644</v>
      </c>
      <c r="F17" s="402">
        <f>IF(C17=0,0,+E17/C17)</f>
        <v>-0.7377232142857143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620</v>
      </c>
      <c r="C20" s="409">
        <v>24726</v>
      </c>
      <c r="D20" s="409">
        <v>21491</v>
      </c>
      <c r="E20" s="409">
        <f>+D20-C20</f>
        <v>-3235</v>
      </c>
      <c r="F20" s="410">
        <f>IF(C20=0,0,+E20/C20)</f>
        <v>-0.13083393998220497</v>
      </c>
    </row>
    <row r="21" spans="1:6" ht="15.75" customHeight="1" x14ac:dyDescent="0.25">
      <c r="A21" s="374"/>
      <c r="B21" s="399" t="s">
        <v>624</v>
      </c>
      <c r="C21" s="401">
        <f>SUM(C19:C20)</f>
        <v>24726</v>
      </c>
      <c r="D21" s="401">
        <f>SUM(D19:D20)</f>
        <v>21491</v>
      </c>
      <c r="E21" s="401">
        <f>+D21-C21</f>
        <v>-3235</v>
      </c>
      <c r="F21" s="402">
        <f>IF(C21=0,0,+E21/C21)</f>
        <v>-0.13083393998220497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625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626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627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30239942</v>
      </c>
      <c r="D15" s="448">
        <v>33963600</v>
      </c>
      <c r="E15" s="448">
        <f t="shared" ref="E15:E24" si="0">D15-C15</f>
        <v>3723658</v>
      </c>
      <c r="F15" s="449">
        <f t="shared" ref="F15:F24" si="1">IF(C15=0,0,E15/C15)</f>
        <v>0.12313707479994505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17000400</v>
      </c>
      <c r="D16" s="448">
        <v>17499150</v>
      </c>
      <c r="E16" s="448">
        <f t="shared" si="0"/>
        <v>498750</v>
      </c>
      <c r="F16" s="449">
        <f t="shared" si="1"/>
        <v>2.9337544998941201E-2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0.5621836179447699</v>
      </c>
      <c r="D17" s="453">
        <f>IF(LN_IA1=0,0,LN_IA2/LN_IA1)</f>
        <v>0.51523248418895529</v>
      </c>
      <c r="E17" s="454">
        <f t="shared" si="0"/>
        <v>-4.6951133755814611E-2</v>
      </c>
      <c r="F17" s="449">
        <f t="shared" si="1"/>
        <v>-8.3515656196917476E-2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2208</v>
      </c>
      <c r="D18" s="456">
        <v>1947</v>
      </c>
      <c r="E18" s="456">
        <f t="shared" si="0"/>
        <v>-261</v>
      </c>
      <c r="F18" s="449">
        <f t="shared" si="1"/>
        <v>-0.11820652173913043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1.1484000000000001</v>
      </c>
      <c r="D19" s="459">
        <v>1.2448999999999999</v>
      </c>
      <c r="E19" s="460">
        <f t="shared" si="0"/>
        <v>9.6499999999999808E-2</v>
      </c>
      <c r="F19" s="449">
        <f t="shared" si="1"/>
        <v>8.4029954719609723E-2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2535.6672000000003</v>
      </c>
      <c r="D20" s="463">
        <f>LN_IA4*LN_IA5</f>
        <v>2423.8202999999999</v>
      </c>
      <c r="E20" s="463">
        <f t="shared" si="0"/>
        <v>-111.84690000000046</v>
      </c>
      <c r="F20" s="449">
        <f t="shared" si="1"/>
        <v>-4.4109455688822428E-2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6704.507594687504</v>
      </c>
      <c r="D21" s="465">
        <f>IF(LN_IA6=0,0,LN_IA2/LN_IA6)</f>
        <v>7219.6565067138026</v>
      </c>
      <c r="E21" s="465">
        <f t="shared" si="0"/>
        <v>515.1489120262986</v>
      </c>
      <c r="F21" s="449">
        <f t="shared" si="1"/>
        <v>7.6836203815249707E-2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8953</v>
      </c>
      <c r="D22" s="456">
        <v>8161</v>
      </c>
      <c r="E22" s="456">
        <f t="shared" si="0"/>
        <v>-792</v>
      </c>
      <c r="F22" s="449">
        <f t="shared" si="1"/>
        <v>-8.8461968055400422E-2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1898.8495476376634</v>
      </c>
      <c r="D23" s="465">
        <f>IF(LN_IA8=0,0,LN_IA2/LN_IA8)</f>
        <v>2144.2409018502635</v>
      </c>
      <c r="E23" s="465">
        <f t="shared" si="0"/>
        <v>245.39135421260016</v>
      </c>
      <c r="F23" s="449">
        <f t="shared" si="1"/>
        <v>0.12923159421339553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4.0548007246376816</v>
      </c>
      <c r="D24" s="466">
        <f>IF(LN_IA4=0,0,LN_IA8/LN_IA4)</f>
        <v>4.1915767847971237</v>
      </c>
      <c r="E24" s="466">
        <f t="shared" si="0"/>
        <v>0.1367760601594421</v>
      </c>
      <c r="F24" s="449">
        <f t="shared" si="1"/>
        <v>3.3731882143644379E-2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50947177</v>
      </c>
      <c r="D27" s="448">
        <v>55949118</v>
      </c>
      <c r="E27" s="448">
        <f t="shared" ref="E27:E32" si="2">D27-C27</f>
        <v>5001941</v>
      </c>
      <c r="F27" s="449">
        <f t="shared" ref="F27:F32" si="3">IF(C27=0,0,E27/C27)</f>
        <v>9.8178962889347132E-2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22330119</v>
      </c>
      <c r="D28" s="448">
        <v>22589670</v>
      </c>
      <c r="E28" s="448">
        <f t="shared" si="2"/>
        <v>259551</v>
      </c>
      <c r="F28" s="449">
        <f t="shared" si="3"/>
        <v>1.1623359463512039E-2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0.43829943708166597</v>
      </c>
      <c r="D29" s="453">
        <f>IF(LN_IA11=0,0,LN_IA12/LN_IA11)</f>
        <v>0.40375381788860371</v>
      </c>
      <c r="E29" s="454">
        <f t="shared" si="2"/>
        <v>-3.454561919306226E-2</v>
      </c>
      <c r="F29" s="449">
        <f t="shared" si="3"/>
        <v>-7.8817393476655465E-2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1.6847643755401382</v>
      </c>
      <c r="D30" s="453">
        <f>IF(LN_IA1=0,0,LN_IA11/LN_IA1)</f>
        <v>1.6473259018478605</v>
      </c>
      <c r="E30" s="454">
        <f t="shared" si="2"/>
        <v>-3.7438473692277707E-2</v>
      </c>
      <c r="F30" s="449">
        <f t="shared" si="3"/>
        <v>-2.2221786165365034E-2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3719.9597411926252</v>
      </c>
      <c r="D31" s="463">
        <f>LN_IA14*LN_IA4</f>
        <v>3207.3435308977846</v>
      </c>
      <c r="E31" s="463">
        <f t="shared" si="2"/>
        <v>-512.61621029484058</v>
      </c>
      <c r="F31" s="449">
        <f t="shared" si="3"/>
        <v>-0.13780154785505688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6002.7851249919513</v>
      </c>
      <c r="D32" s="465">
        <f>IF(LN_IA15=0,0,LN_IA12/LN_IA15)</f>
        <v>7043.1089723889991</v>
      </c>
      <c r="E32" s="465">
        <f t="shared" si="2"/>
        <v>1040.3238473970478</v>
      </c>
      <c r="F32" s="449">
        <f t="shared" si="3"/>
        <v>0.17330686102119017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81187119</v>
      </c>
      <c r="D35" s="448">
        <f>LN_IA1+LN_IA11</f>
        <v>89912718</v>
      </c>
      <c r="E35" s="448">
        <f>D35-C35</f>
        <v>8725599</v>
      </c>
      <c r="F35" s="449">
        <f>IF(C35=0,0,E35/C35)</f>
        <v>0.10747516487190535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39330519</v>
      </c>
      <c r="D36" s="448">
        <f>LN_IA2+LN_IA12</f>
        <v>40088820</v>
      </c>
      <c r="E36" s="448">
        <f>D36-C36</f>
        <v>758301</v>
      </c>
      <c r="F36" s="449">
        <f>IF(C36=0,0,E36/C36)</f>
        <v>1.9280218499023619E-2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41856600</v>
      </c>
      <c r="D37" s="448">
        <f>LN_IA17-LN_IA18</f>
        <v>49823898</v>
      </c>
      <c r="E37" s="448">
        <f>D37-C37</f>
        <v>7967298</v>
      </c>
      <c r="F37" s="449">
        <f>IF(C37=0,0,E37/C37)</f>
        <v>0.1903474720832557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15647815</v>
      </c>
      <c r="D42" s="448">
        <v>15604585</v>
      </c>
      <c r="E42" s="448">
        <f t="shared" ref="E42:E53" si="4">D42-C42</f>
        <v>-43230</v>
      </c>
      <c r="F42" s="449">
        <f t="shared" ref="F42:F53" si="5">IF(C42=0,0,E42/C42)</f>
        <v>-2.7626860363571528E-3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7925362</v>
      </c>
      <c r="D43" s="448">
        <v>8770228</v>
      </c>
      <c r="E43" s="448">
        <f t="shared" si="4"/>
        <v>844866</v>
      </c>
      <c r="F43" s="449">
        <f t="shared" si="5"/>
        <v>0.10660282773203293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0.50648362087614152</v>
      </c>
      <c r="D44" s="453">
        <f>IF(LN_IB1=0,0,LN_IB2/LN_IB1)</f>
        <v>0.56202891650114373</v>
      </c>
      <c r="E44" s="454">
        <f t="shared" si="4"/>
        <v>5.5545295625002211E-2</v>
      </c>
      <c r="F44" s="449">
        <f t="shared" si="5"/>
        <v>0.10966849338368947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1425</v>
      </c>
      <c r="D45" s="456">
        <v>1099</v>
      </c>
      <c r="E45" s="456">
        <f t="shared" si="4"/>
        <v>-326</v>
      </c>
      <c r="F45" s="449">
        <f t="shared" si="5"/>
        <v>-0.2287719298245614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1.0543</v>
      </c>
      <c r="D46" s="459">
        <v>0.95760000000000001</v>
      </c>
      <c r="E46" s="460">
        <f t="shared" si="4"/>
        <v>-9.6700000000000008E-2</v>
      </c>
      <c r="F46" s="449">
        <f t="shared" si="5"/>
        <v>-9.1719624395333404E-2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1502.3775000000001</v>
      </c>
      <c r="D47" s="463">
        <f>LN_IB4*LN_IB5</f>
        <v>1052.4023999999999</v>
      </c>
      <c r="E47" s="463">
        <f t="shared" si="4"/>
        <v>-449.97510000000011</v>
      </c>
      <c r="F47" s="449">
        <f t="shared" si="5"/>
        <v>-0.29950867874419052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5275.2134533431172</v>
      </c>
      <c r="D48" s="465">
        <f>IF(LN_IB6=0,0,LN_IB2/LN_IB6)</f>
        <v>8333.5309763641744</v>
      </c>
      <c r="E48" s="465">
        <f t="shared" si="4"/>
        <v>3058.3175230210572</v>
      </c>
      <c r="F48" s="449">
        <f t="shared" si="5"/>
        <v>0.57975237401680435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1429.2941413443868</v>
      </c>
      <c r="D49" s="465">
        <f>LN_IA7-LN_IB7</f>
        <v>-1113.8744696503718</v>
      </c>
      <c r="E49" s="465">
        <f t="shared" si="4"/>
        <v>-2543.1686109947586</v>
      </c>
      <c r="F49" s="449">
        <f t="shared" si="5"/>
        <v>-1.7793178726687195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2147339.3588376264</v>
      </c>
      <c r="D50" s="479">
        <f>LN_IB8*LN_IB6</f>
        <v>-1172244.1651587784</v>
      </c>
      <c r="E50" s="479">
        <f t="shared" si="4"/>
        <v>-3319583.5239964048</v>
      </c>
      <c r="F50" s="449">
        <f t="shared" si="5"/>
        <v>-1.5459054063039781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4316</v>
      </c>
      <c r="D51" s="456">
        <v>3481</v>
      </c>
      <c r="E51" s="456">
        <f t="shared" si="4"/>
        <v>-835</v>
      </c>
      <c r="F51" s="449">
        <f t="shared" si="5"/>
        <v>-0.19346617238183503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1836.2747914735867</v>
      </c>
      <c r="D52" s="465">
        <f>IF(LN_IB10=0,0,LN_IB2/LN_IB10)</f>
        <v>2519.4564780235564</v>
      </c>
      <c r="E52" s="465">
        <f t="shared" si="4"/>
        <v>683.18168654996975</v>
      </c>
      <c r="F52" s="449">
        <f t="shared" si="5"/>
        <v>0.37204763128165874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3.0287719298245612</v>
      </c>
      <c r="D53" s="466">
        <f>IF(LN_IB4=0,0,LN_IB10/LN_IB4)</f>
        <v>3.167424931756142</v>
      </c>
      <c r="E53" s="466">
        <f t="shared" si="4"/>
        <v>0.13865300193158081</v>
      </c>
      <c r="F53" s="449">
        <f t="shared" si="5"/>
        <v>4.5778620887975595E-2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70042640</v>
      </c>
      <c r="D56" s="448">
        <v>66124165</v>
      </c>
      <c r="E56" s="448">
        <f t="shared" ref="E56:E63" si="6">D56-C56</f>
        <v>-3918475</v>
      </c>
      <c r="F56" s="449">
        <f t="shared" ref="F56:F63" si="7">IF(C56=0,0,E56/C56)</f>
        <v>-5.594413631467917E-2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41781318</v>
      </c>
      <c r="D57" s="448">
        <v>38249692</v>
      </c>
      <c r="E57" s="448">
        <f t="shared" si="6"/>
        <v>-3531626</v>
      </c>
      <c r="F57" s="449">
        <f t="shared" si="7"/>
        <v>-8.4526438347397273E-2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0.59651261003297418</v>
      </c>
      <c r="D58" s="453">
        <f>IF(LN_IB13=0,0,LN_IB14/LN_IB13)</f>
        <v>0.57845255210406055</v>
      </c>
      <c r="E58" s="454">
        <f t="shared" si="6"/>
        <v>-1.8060057928913631E-2</v>
      </c>
      <c r="F58" s="449">
        <f t="shared" si="7"/>
        <v>-3.0276070656604061E-2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4.4761930020261618</v>
      </c>
      <c r="D59" s="453">
        <f>IF(LN_IB1=0,0,LN_IB13/LN_IB1)</f>
        <v>4.2374830859007142</v>
      </c>
      <c r="E59" s="454">
        <f t="shared" si="6"/>
        <v>-0.23870991612544756</v>
      </c>
      <c r="F59" s="449">
        <f t="shared" si="7"/>
        <v>-5.3328780956807452E-2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6378.5750278872802</v>
      </c>
      <c r="D60" s="463">
        <f>LN_IB16*LN_IB4</f>
        <v>4656.9939114048848</v>
      </c>
      <c r="E60" s="463">
        <f t="shared" si="6"/>
        <v>-1721.5811164823954</v>
      </c>
      <c r="F60" s="449">
        <f t="shared" si="7"/>
        <v>-0.26990058264668865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6550.2589241846481</v>
      </c>
      <c r="D61" s="465">
        <f>IF(LN_IB17=0,0,LN_IB14/LN_IB17)</f>
        <v>8213.3867313691935</v>
      </c>
      <c r="E61" s="465">
        <f t="shared" si="6"/>
        <v>1663.1278071845454</v>
      </c>
      <c r="F61" s="449">
        <f t="shared" si="7"/>
        <v>0.25390260544419097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-547.47379919269679</v>
      </c>
      <c r="D62" s="465">
        <f>LN_IA16-LN_IB18</f>
        <v>-1170.2777589801944</v>
      </c>
      <c r="E62" s="465">
        <f t="shared" si="6"/>
        <v>-622.80395978749766</v>
      </c>
      <c r="F62" s="449">
        <f t="shared" si="7"/>
        <v>1.1375959191213945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-3492102.7039531111</v>
      </c>
      <c r="D63" s="448">
        <f>LN_IB19*LN_IB17</f>
        <v>-5449976.3982233191</v>
      </c>
      <c r="E63" s="448">
        <f t="shared" si="6"/>
        <v>-1957873.694270208</v>
      </c>
      <c r="F63" s="449">
        <f t="shared" si="7"/>
        <v>0.56065753508734628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85690455</v>
      </c>
      <c r="D66" s="448">
        <f>LN_IB1+LN_IB13</f>
        <v>81728750</v>
      </c>
      <c r="E66" s="448">
        <f>D66-C66</f>
        <v>-3961705</v>
      </c>
      <c r="F66" s="449">
        <f>IF(C66=0,0,E66/C66)</f>
        <v>-4.6232745525741463E-2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49706680</v>
      </c>
      <c r="D67" s="448">
        <f>LN_IB2+LN_IB14</f>
        <v>47019920</v>
      </c>
      <c r="E67" s="448">
        <f>D67-C67</f>
        <v>-2686760</v>
      </c>
      <c r="F67" s="449">
        <f>IF(C67=0,0,E67/C67)</f>
        <v>-5.4052292367947327E-2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35983775</v>
      </c>
      <c r="D68" s="448">
        <f>LN_IB21-LN_IB22</f>
        <v>34708830</v>
      </c>
      <c r="E68" s="448">
        <f>D68-C68</f>
        <v>-1274945</v>
      </c>
      <c r="F68" s="449">
        <f>IF(C68=0,0,E68/C68)</f>
        <v>-3.5431107492196134E-2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-1344763.3451154847</v>
      </c>
      <c r="D70" s="441">
        <f>LN_IB9+LN_IB20</f>
        <v>-6622220.5633820975</v>
      </c>
      <c r="E70" s="448">
        <f>D70-C70</f>
        <v>-5277457.2182666129</v>
      </c>
      <c r="F70" s="449">
        <f>IF(C70=0,0,E70/C70)</f>
        <v>3.9244505268794332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85690455</v>
      </c>
      <c r="D73" s="488">
        <v>81728750</v>
      </c>
      <c r="E73" s="488">
        <f>D73-C73</f>
        <v>-3961705</v>
      </c>
      <c r="F73" s="489">
        <f>IF(C73=0,0,E73/C73)</f>
        <v>-4.6232745525741463E-2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49706680</v>
      </c>
      <c r="D74" s="488">
        <v>47019920</v>
      </c>
      <c r="E74" s="488">
        <f>D74-C74</f>
        <v>-2686760</v>
      </c>
      <c r="F74" s="489">
        <f>IF(C74=0,0,E74/C74)</f>
        <v>-5.4052292367947327E-2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35983775</v>
      </c>
      <c r="D76" s="441">
        <f>LN_IB32-LN_IB33</f>
        <v>34708830</v>
      </c>
      <c r="E76" s="488">
        <f>D76-C76</f>
        <v>-1274945</v>
      </c>
      <c r="F76" s="489">
        <f>IF(E76=0,0,E76/C76)</f>
        <v>-3.5431107492196134E-2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0.41992745866502867</v>
      </c>
      <c r="D77" s="453">
        <f>IF(LN_IB32=0,0,LN_IB34/LN_IB32)</f>
        <v>0.42468323570347033</v>
      </c>
      <c r="E77" s="493">
        <f>D77-C77</f>
        <v>4.7557770384416553E-3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989974</v>
      </c>
      <c r="D83" s="448">
        <v>856999</v>
      </c>
      <c r="E83" s="448">
        <f t="shared" ref="E83:E95" si="8">D83-C83</f>
        <v>-132975</v>
      </c>
      <c r="F83" s="449">
        <f t="shared" ref="F83:F95" si="9">IF(C83=0,0,E83/C83)</f>
        <v>-0.13432170945903629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50127</v>
      </c>
      <c r="D84" s="448">
        <v>38867</v>
      </c>
      <c r="E84" s="448">
        <f t="shared" si="8"/>
        <v>-11260</v>
      </c>
      <c r="F84" s="449">
        <f t="shared" si="9"/>
        <v>-0.22462944121930298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5.063466313256712E-2</v>
      </c>
      <c r="D85" s="453">
        <f>IF(LN_IC1=0,0,LN_IC2/LN_IC1)</f>
        <v>4.5352444985350043E-2</v>
      </c>
      <c r="E85" s="454">
        <f t="shared" si="8"/>
        <v>-5.2822181472170771E-3</v>
      </c>
      <c r="F85" s="449">
        <f t="shared" si="9"/>
        <v>-0.10432019925535298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71</v>
      </c>
      <c r="D86" s="456">
        <v>59</v>
      </c>
      <c r="E86" s="456">
        <f t="shared" si="8"/>
        <v>-12</v>
      </c>
      <c r="F86" s="449">
        <f t="shared" si="9"/>
        <v>-0.16901408450704225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0.95209999999999995</v>
      </c>
      <c r="D87" s="459">
        <v>0.89780000000000004</v>
      </c>
      <c r="E87" s="460">
        <f t="shared" si="8"/>
        <v>-5.4299999999999904E-2</v>
      </c>
      <c r="F87" s="449">
        <f t="shared" si="9"/>
        <v>-5.7031824388194423E-2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67.599099999999993</v>
      </c>
      <c r="D88" s="463">
        <f>LN_IC4*LN_IC5</f>
        <v>52.970200000000006</v>
      </c>
      <c r="E88" s="463">
        <f t="shared" si="8"/>
        <v>-14.628899999999987</v>
      </c>
      <c r="F88" s="449">
        <f t="shared" si="9"/>
        <v>-0.2164067273084995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741.53354112702687</v>
      </c>
      <c r="D89" s="465">
        <f>IF(LN_IC6=0,0,LN_IC2/LN_IC6)</f>
        <v>733.75218519091857</v>
      </c>
      <c r="E89" s="465">
        <f t="shared" si="8"/>
        <v>-7.781355936108298</v>
      </c>
      <c r="F89" s="449">
        <f t="shared" si="9"/>
        <v>-1.0493599418688101E-2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4533.6799122160901</v>
      </c>
      <c r="D90" s="465">
        <f>LN_IB7-LN_IC7</f>
        <v>7599.7787911732557</v>
      </c>
      <c r="E90" s="465">
        <f t="shared" si="8"/>
        <v>3066.0988789571657</v>
      </c>
      <c r="F90" s="449">
        <f t="shared" si="9"/>
        <v>0.67629363746997262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5962.9740535604769</v>
      </c>
      <c r="D91" s="465">
        <f>LN_IA7-LN_IC7</f>
        <v>6485.9043215228839</v>
      </c>
      <c r="E91" s="465">
        <f t="shared" si="8"/>
        <v>522.93026796240702</v>
      </c>
      <c r="F91" s="449">
        <f t="shared" si="9"/>
        <v>8.7696217234111001E-2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403091.67934403999</v>
      </c>
      <c r="D92" s="441">
        <f>LN_IC9*LN_IC6</f>
        <v>343559.64909193153</v>
      </c>
      <c r="E92" s="441">
        <f t="shared" si="8"/>
        <v>-59532.030252108467</v>
      </c>
      <c r="F92" s="449">
        <f t="shared" si="9"/>
        <v>-0.14768856144335765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192</v>
      </c>
      <c r="D93" s="456">
        <v>208</v>
      </c>
      <c r="E93" s="456">
        <f t="shared" si="8"/>
        <v>16</v>
      </c>
      <c r="F93" s="449">
        <f t="shared" si="9"/>
        <v>8.3333333333333329E-2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261.078125</v>
      </c>
      <c r="D94" s="499">
        <f>IF(LN_IC11=0,0,LN_IC2/LN_IC11)</f>
        <v>186.86057692307693</v>
      </c>
      <c r="E94" s="499">
        <f t="shared" si="8"/>
        <v>-74.217548076923066</v>
      </c>
      <c r="F94" s="449">
        <f t="shared" si="9"/>
        <v>-0.28427333035627961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2.704225352112676</v>
      </c>
      <c r="D95" s="466">
        <f>IF(LN_IC4=0,0,LN_IC11/LN_IC4)</f>
        <v>3.5254237288135593</v>
      </c>
      <c r="E95" s="466">
        <f t="shared" si="8"/>
        <v>0.82119837670088325</v>
      </c>
      <c r="F95" s="449">
        <f t="shared" si="9"/>
        <v>0.3036723163841808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3653944</v>
      </c>
      <c r="D98" s="448">
        <v>3119256</v>
      </c>
      <c r="E98" s="448">
        <f t="shared" ref="E98:E106" si="10">D98-C98</f>
        <v>-534688</v>
      </c>
      <c r="F98" s="449">
        <f t="shared" ref="F98:F106" si="11">IF(C98=0,0,E98/C98)</f>
        <v>-0.14633174454780917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421333</v>
      </c>
      <c r="D99" s="448">
        <v>212431</v>
      </c>
      <c r="E99" s="448">
        <f t="shared" si="10"/>
        <v>-208902</v>
      </c>
      <c r="F99" s="449">
        <f t="shared" si="11"/>
        <v>-0.49581210111716861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0.1153091016173209</v>
      </c>
      <c r="D100" s="453">
        <f>IF(LN_IC14=0,0,LN_IC15/LN_IC14)</f>
        <v>6.8103098944107182E-2</v>
      </c>
      <c r="E100" s="454">
        <f t="shared" si="10"/>
        <v>-4.7206002673213718E-2</v>
      </c>
      <c r="F100" s="449">
        <f t="shared" si="11"/>
        <v>-0.40938661398887155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3.6909494592787286</v>
      </c>
      <c r="D101" s="453">
        <f>IF(LN_IC1=0,0,LN_IC14/LN_IC1)</f>
        <v>3.6397428701783783</v>
      </c>
      <c r="E101" s="454">
        <f t="shared" si="10"/>
        <v>-5.1206589100350364E-2</v>
      </c>
      <c r="F101" s="449">
        <f t="shared" si="11"/>
        <v>-1.3873554668060116E-2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262.05741160878972</v>
      </c>
      <c r="D102" s="463">
        <f>LN_IC17*LN_IC4</f>
        <v>214.74482934052432</v>
      </c>
      <c r="E102" s="463">
        <f t="shared" si="10"/>
        <v>-47.312582268265402</v>
      </c>
      <c r="F102" s="449">
        <f t="shared" si="11"/>
        <v>-0.18054281303402175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1607.7889093592344</v>
      </c>
      <c r="D103" s="465">
        <f>IF(LN_IC18=0,0,LN_IC15/LN_IC18)</f>
        <v>989.22521511865955</v>
      </c>
      <c r="E103" s="465">
        <f t="shared" si="10"/>
        <v>-618.56369424057482</v>
      </c>
      <c r="F103" s="449">
        <f t="shared" si="11"/>
        <v>-0.38472941978875586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4942.4700148254142</v>
      </c>
      <c r="D104" s="465">
        <f>LN_IB18-LN_IC19</f>
        <v>7224.1615162505341</v>
      </c>
      <c r="E104" s="465">
        <f t="shared" si="10"/>
        <v>2281.6915014251199</v>
      </c>
      <c r="F104" s="449">
        <f t="shared" si="11"/>
        <v>0.46165004432621076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4394.9962156327165</v>
      </c>
      <c r="D105" s="465">
        <f>LN_IA16-LN_IC19</f>
        <v>6053.8837572703396</v>
      </c>
      <c r="E105" s="465">
        <f t="shared" si="10"/>
        <v>1658.8875416376231</v>
      </c>
      <c r="F105" s="449">
        <f t="shared" si="11"/>
        <v>0.37744913994170637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1151741.3322991359</v>
      </c>
      <c r="D106" s="448">
        <f>LN_IC21*LN_IC18</f>
        <v>1300040.2343023913</v>
      </c>
      <c r="E106" s="448">
        <f t="shared" si="10"/>
        <v>148298.90200325544</v>
      </c>
      <c r="F106" s="449">
        <f t="shared" si="11"/>
        <v>0.12876059740533696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4643918</v>
      </c>
      <c r="D109" s="448">
        <f>LN_IC1+LN_IC14</f>
        <v>3976255</v>
      </c>
      <c r="E109" s="448">
        <f>D109-C109</f>
        <v>-667663</v>
      </c>
      <c r="F109" s="449">
        <f>IF(C109=0,0,E109/C109)</f>
        <v>-0.14377148778251467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471460</v>
      </c>
      <c r="D110" s="448">
        <f>LN_IC2+LN_IC15</f>
        <v>251298</v>
      </c>
      <c r="E110" s="448">
        <f>D110-C110</f>
        <v>-220162</v>
      </c>
      <c r="F110" s="449">
        <f>IF(C110=0,0,E110/C110)</f>
        <v>-0.46697917108556397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4172458</v>
      </c>
      <c r="D111" s="448">
        <f>LN_IC23-LN_IC24</f>
        <v>3724957</v>
      </c>
      <c r="E111" s="448">
        <f>D111-C111</f>
        <v>-447501</v>
      </c>
      <c r="F111" s="449">
        <f>IF(C111=0,0,E111/C111)</f>
        <v>-0.10725116945455172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1554833.011643176</v>
      </c>
      <c r="D113" s="448">
        <f>LN_IC10+LN_IC22</f>
        <v>1643599.8833943228</v>
      </c>
      <c r="E113" s="448">
        <f>D113-C113</f>
        <v>88766.871751146857</v>
      </c>
      <c r="F113" s="449">
        <f>IF(C113=0,0,E113/C113)</f>
        <v>5.7090935866698896E-2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14050362</v>
      </c>
      <c r="D118" s="448">
        <v>13894334</v>
      </c>
      <c r="E118" s="448">
        <f t="shared" ref="E118:E130" si="12">D118-C118</f>
        <v>-156028</v>
      </c>
      <c r="F118" s="449">
        <f t="shared" ref="F118:F130" si="13">IF(C118=0,0,E118/C118)</f>
        <v>-1.1104909610158087E-2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6728533</v>
      </c>
      <c r="D119" s="448">
        <v>4809984</v>
      </c>
      <c r="E119" s="448">
        <f t="shared" si="12"/>
        <v>-1918549</v>
      </c>
      <c r="F119" s="449">
        <f t="shared" si="13"/>
        <v>-0.28513629939839785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0.47888680732923466</v>
      </c>
      <c r="D120" s="453">
        <f>IF(LN_ID1=0,0,LN_1D2/LN_ID1)</f>
        <v>0.34618312759719178</v>
      </c>
      <c r="E120" s="454">
        <f t="shared" si="12"/>
        <v>-0.13270367973204289</v>
      </c>
      <c r="F120" s="449">
        <f t="shared" si="13"/>
        <v>-0.27710865636941451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1427</v>
      </c>
      <c r="D121" s="456">
        <v>1265</v>
      </c>
      <c r="E121" s="456">
        <f t="shared" si="12"/>
        <v>-162</v>
      </c>
      <c r="F121" s="449">
        <f t="shared" si="13"/>
        <v>-0.11352487736510161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0.83</v>
      </c>
      <c r="D122" s="459">
        <v>0.89239999999999997</v>
      </c>
      <c r="E122" s="460">
        <f t="shared" si="12"/>
        <v>6.2400000000000011E-2</v>
      </c>
      <c r="F122" s="449">
        <f t="shared" si="13"/>
        <v>7.5180722891566285E-2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1184.4099999999999</v>
      </c>
      <c r="D123" s="463">
        <f>LN_ID4*LN_ID5</f>
        <v>1128.886</v>
      </c>
      <c r="E123" s="463">
        <f t="shared" si="12"/>
        <v>-55.523999999999887</v>
      </c>
      <c r="F123" s="449">
        <f t="shared" si="13"/>
        <v>-4.6879036820020002E-2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5680.9153924738903</v>
      </c>
      <c r="D124" s="465">
        <f>IF(LN_ID6=0,0,LN_1D2/LN_ID6)</f>
        <v>4260.823502107387</v>
      </c>
      <c r="E124" s="465">
        <f t="shared" si="12"/>
        <v>-1420.0918903665033</v>
      </c>
      <c r="F124" s="449">
        <f t="shared" si="13"/>
        <v>-0.24997589160504824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-405.7019391307731</v>
      </c>
      <c r="D125" s="465">
        <f>LN_IB7-LN_ID7</f>
        <v>4072.7074742567875</v>
      </c>
      <c r="E125" s="465">
        <f t="shared" si="12"/>
        <v>4478.4094133875606</v>
      </c>
      <c r="F125" s="449">
        <f t="shared" si="13"/>
        <v>-11.03866898684948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1023.5922022136137</v>
      </c>
      <c r="D126" s="465">
        <f>LN_IA7-LN_ID7</f>
        <v>2958.8330046064157</v>
      </c>
      <c r="E126" s="465">
        <f t="shared" si="12"/>
        <v>1935.2408023928019</v>
      </c>
      <c r="F126" s="449">
        <f t="shared" si="13"/>
        <v>1.8906365232244471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1212352.840223826</v>
      </c>
      <c r="D127" s="479">
        <f>LN_ID9*LN_ID6</f>
        <v>3340185.155238118</v>
      </c>
      <c r="E127" s="479">
        <f t="shared" si="12"/>
        <v>2127832.315014292</v>
      </c>
      <c r="F127" s="449">
        <f t="shared" si="13"/>
        <v>1.7551262672189138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5131</v>
      </c>
      <c r="D128" s="456">
        <v>4430</v>
      </c>
      <c r="E128" s="456">
        <f t="shared" si="12"/>
        <v>-701</v>
      </c>
      <c r="F128" s="449">
        <f t="shared" si="13"/>
        <v>-0.13662054180471642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1311.3492496589358</v>
      </c>
      <c r="D129" s="465">
        <f>IF(LN_ID11=0,0,LN_1D2/LN_ID11)</f>
        <v>1085.7751693002258</v>
      </c>
      <c r="E129" s="465">
        <f t="shared" si="12"/>
        <v>-225.57408035871003</v>
      </c>
      <c r="F129" s="449">
        <f t="shared" si="13"/>
        <v>-0.1720167837953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3.5956552207428172</v>
      </c>
      <c r="D130" s="466">
        <f>IF(LN_ID4=0,0,LN_ID11/LN_ID4)</f>
        <v>3.5019762845849804</v>
      </c>
      <c r="E130" s="466">
        <f t="shared" si="12"/>
        <v>-9.3678936157836734E-2</v>
      </c>
      <c r="F130" s="449">
        <f t="shared" si="13"/>
        <v>-2.6053370083265057E-2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29869017</v>
      </c>
      <c r="D133" s="448">
        <v>30013739</v>
      </c>
      <c r="E133" s="448">
        <f t="shared" ref="E133:E141" si="14">D133-C133</f>
        <v>144722</v>
      </c>
      <c r="F133" s="449">
        <f t="shared" ref="F133:F141" si="15">IF(C133=0,0,E133/C133)</f>
        <v>4.8452213877677999E-3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12291299</v>
      </c>
      <c r="D134" s="448">
        <v>11542331</v>
      </c>
      <c r="E134" s="448">
        <f t="shared" si="14"/>
        <v>-748968</v>
      </c>
      <c r="F134" s="449">
        <f t="shared" si="15"/>
        <v>-6.0934812504357755E-2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0.41150664583303831</v>
      </c>
      <c r="D135" s="453">
        <f>IF(LN_ID14=0,0,LN_ID15/LN_ID14)</f>
        <v>0.38456824722837762</v>
      </c>
      <c r="E135" s="454">
        <f t="shared" si="14"/>
        <v>-2.6938398604660685E-2</v>
      </c>
      <c r="F135" s="449">
        <f t="shared" si="15"/>
        <v>-6.5462851882082299E-2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2.1258539103832343</v>
      </c>
      <c r="D136" s="453">
        <f>IF(LN_ID1=0,0,LN_ID14/LN_ID1)</f>
        <v>2.1601423285203882</v>
      </c>
      <c r="E136" s="454">
        <f t="shared" si="14"/>
        <v>3.4288418137153887E-2</v>
      </c>
      <c r="F136" s="449">
        <f t="shared" si="15"/>
        <v>1.6129244803549367E-2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3033.5935301168756</v>
      </c>
      <c r="D137" s="463">
        <f>LN_ID17*LN_ID4</f>
        <v>2732.580045578291</v>
      </c>
      <c r="E137" s="463">
        <f t="shared" si="14"/>
        <v>-301.01348453858463</v>
      </c>
      <c r="F137" s="449">
        <f t="shared" si="15"/>
        <v>-9.9226703099866989E-2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4051.7290394954302</v>
      </c>
      <c r="D138" s="465">
        <f>IF(LN_ID18=0,0,LN_ID15/LN_ID18)</f>
        <v>4223.9681207791728</v>
      </c>
      <c r="E138" s="465">
        <f t="shared" si="14"/>
        <v>172.23908128374251</v>
      </c>
      <c r="F138" s="449">
        <f t="shared" si="15"/>
        <v>4.251001969894605E-2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2498.5298846892179</v>
      </c>
      <c r="D139" s="465">
        <f>LN_IB18-LN_ID19</f>
        <v>3989.4186105900208</v>
      </c>
      <c r="E139" s="465">
        <f t="shared" si="14"/>
        <v>1490.8887259008029</v>
      </c>
      <c r="F139" s="449">
        <f t="shared" si="15"/>
        <v>0.59670638123515929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1951.0560854965211</v>
      </c>
      <c r="D140" s="465">
        <f>LN_IA16-LN_ID19</f>
        <v>2819.1408516098263</v>
      </c>
      <c r="E140" s="465">
        <f t="shared" si="14"/>
        <v>868.08476611330525</v>
      </c>
      <c r="F140" s="449">
        <f t="shared" si="15"/>
        <v>0.44493070833091286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5918711.1178574041</v>
      </c>
      <c r="D141" s="441">
        <f>LN_ID21*LN_ID18</f>
        <v>7703528.0367836012</v>
      </c>
      <c r="E141" s="441">
        <f t="shared" si="14"/>
        <v>1784816.9189261971</v>
      </c>
      <c r="F141" s="449">
        <f t="shared" si="15"/>
        <v>0.30155499793548085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43919379</v>
      </c>
      <c r="D144" s="448">
        <f>LN_ID1+LN_ID14</f>
        <v>43908073</v>
      </c>
      <c r="E144" s="448">
        <f>D144-C144</f>
        <v>-11306</v>
      </c>
      <c r="F144" s="449">
        <f>IF(C144=0,0,E144/C144)</f>
        <v>-2.574262263589838E-4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19019832</v>
      </c>
      <c r="D145" s="448">
        <f>LN_1D2+LN_ID15</f>
        <v>16352315</v>
      </c>
      <c r="E145" s="448">
        <f>D145-C145</f>
        <v>-2667517</v>
      </c>
      <c r="F145" s="449">
        <f>IF(C145=0,0,E145/C145)</f>
        <v>-0.14024924089760624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24899547</v>
      </c>
      <c r="D146" s="448">
        <f>LN_ID23-LN_ID24</f>
        <v>27555758</v>
      </c>
      <c r="E146" s="448">
        <f>D146-C146</f>
        <v>2656211</v>
      </c>
      <c r="F146" s="449">
        <f>IF(C146=0,0,E146/C146)</f>
        <v>0.10667708131396929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7131063.9580812305</v>
      </c>
      <c r="D148" s="448">
        <f>LN_ID10+LN_ID22</f>
        <v>11043713.19202172</v>
      </c>
      <c r="E148" s="448">
        <f>D148-C148</f>
        <v>3912649.2339404896</v>
      </c>
      <c r="F148" s="503">
        <f>IF(C148=0,0,E148/C148)</f>
        <v>0.54867678328792802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5275.2134533431172</v>
      </c>
      <c r="D160" s="465">
        <f>LN_IB7-LN_IE7</f>
        <v>8333.5309763641744</v>
      </c>
      <c r="E160" s="465">
        <f t="shared" si="16"/>
        <v>3058.3175230210572</v>
      </c>
      <c r="F160" s="449">
        <f t="shared" si="17"/>
        <v>0.57975237401680435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6704.507594687504</v>
      </c>
      <c r="D161" s="465">
        <f>LN_IA7-LN_IE7</f>
        <v>7219.6565067138026</v>
      </c>
      <c r="E161" s="465">
        <f t="shared" si="16"/>
        <v>515.1489120262986</v>
      </c>
      <c r="F161" s="449">
        <f t="shared" si="17"/>
        <v>7.6836203815249707E-2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6550.2589241846481</v>
      </c>
      <c r="D174" s="465">
        <f>LN_IB18-LN_IE19</f>
        <v>8213.3867313691935</v>
      </c>
      <c r="E174" s="465">
        <f t="shared" si="18"/>
        <v>1663.1278071845454</v>
      </c>
      <c r="F174" s="449">
        <f t="shared" si="19"/>
        <v>0.25390260544419097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6002.7851249919513</v>
      </c>
      <c r="D175" s="465">
        <f>LN_IA16-LN_IE19</f>
        <v>7043.1089723889991</v>
      </c>
      <c r="E175" s="465">
        <f t="shared" si="18"/>
        <v>1040.3238473970478</v>
      </c>
      <c r="F175" s="449">
        <f t="shared" si="19"/>
        <v>0.17330686102119017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14050362</v>
      </c>
      <c r="D188" s="448">
        <f>LN_ID1+LN_IE1</f>
        <v>13894334</v>
      </c>
      <c r="E188" s="448">
        <f t="shared" ref="E188:E200" si="20">D188-C188</f>
        <v>-156028</v>
      </c>
      <c r="F188" s="449">
        <f t="shared" ref="F188:F200" si="21">IF(C188=0,0,E188/C188)</f>
        <v>-1.1104909610158087E-2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6728533</v>
      </c>
      <c r="D189" s="448">
        <f>LN_1D2+LN_IE2</f>
        <v>4809984</v>
      </c>
      <c r="E189" s="448">
        <f t="shared" si="20"/>
        <v>-1918549</v>
      </c>
      <c r="F189" s="449">
        <f t="shared" si="21"/>
        <v>-0.28513629939839785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0.47888680732923466</v>
      </c>
      <c r="D190" s="453">
        <f>IF(LN_IF1=0,0,LN_IF2/LN_IF1)</f>
        <v>0.34618312759719178</v>
      </c>
      <c r="E190" s="454">
        <f t="shared" si="20"/>
        <v>-0.13270367973204289</v>
      </c>
      <c r="F190" s="449">
        <f t="shared" si="21"/>
        <v>-0.27710865636941451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1427</v>
      </c>
      <c r="D191" s="456">
        <f>LN_ID4+LN_IE4</f>
        <v>1265</v>
      </c>
      <c r="E191" s="456">
        <f t="shared" si="20"/>
        <v>-162</v>
      </c>
      <c r="F191" s="449">
        <f t="shared" si="21"/>
        <v>-0.11352487736510161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0.82999999999999985</v>
      </c>
      <c r="D192" s="459">
        <f>IF((LN_ID4+LN_IE4)=0,0,(LN_ID6+LN_IE6)/(LN_ID4+LN_IE4))</f>
        <v>0.89239999999999997</v>
      </c>
      <c r="E192" s="460">
        <f t="shared" si="20"/>
        <v>6.2400000000000122E-2</v>
      </c>
      <c r="F192" s="449">
        <f t="shared" si="21"/>
        <v>7.5180722891566423E-2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1184.4099999999999</v>
      </c>
      <c r="D193" s="463">
        <f>LN_IF4*LN_IF5</f>
        <v>1128.886</v>
      </c>
      <c r="E193" s="463">
        <f t="shared" si="20"/>
        <v>-55.523999999999887</v>
      </c>
      <c r="F193" s="449">
        <f t="shared" si="21"/>
        <v>-4.6879036820020002E-2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5680.9153924738903</v>
      </c>
      <c r="D194" s="465">
        <f>IF(LN_IF6=0,0,LN_IF2/LN_IF6)</f>
        <v>4260.823502107387</v>
      </c>
      <c r="E194" s="465">
        <f t="shared" si="20"/>
        <v>-1420.0918903665033</v>
      </c>
      <c r="F194" s="449">
        <f t="shared" si="21"/>
        <v>-0.24997589160504824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-405.7019391307731</v>
      </c>
      <c r="D195" s="465">
        <f>LN_IB7-LN_IF7</f>
        <v>4072.7074742567875</v>
      </c>
      <c r="E195" s="465">
        <f t="shared" si="20"/>
        <v>4478.4094133875606</v>
      </c>
      <c r="F195" s="449">
        <f t="shared" si="21"/>
        <v>-11.03866898684948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1023.5922022136137</v>
      </c>
      <c r="D196" s="465">
        <f>LN_IA7-LN_IF7</f>
        <v>2958.8330046064157</v>
      </c>
      <c r="E196" s="465">
        <f t="shared" si="20"/>
        <v>1935.2408023928019</v>
      </c>
      <c r="F196" s="449">
        <f t="shared" si="21"/>
        <v>1.8906365232244471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1212352.840223826</v>
      </c>
      <c r="D197" s="479">
        <f>LN_IF9*LN_IF6</f>
        <v>3340185.155238118</v>
      </c>
      <c r="E197" s="479">
        <f t="shared" si="20"/>
        <v>2127832.315014292</v>
      </c>
      <c r="F197" s="449">
        <f t="shared" si="21"/>
        <v>1.7551262672189138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5131</v>
      </c>
      <c r="D198" s="456">
        <f>LN_ID11+LN_IE11</f>
        <v>4430</v>
      </c>
      <c r="E198" s="456">
        <f t="shared" si="20"/>
        <v>-701</v>
      </c>
      <c r="F198" s="449">
        <f t="shared" si="21"/>
        <v>-0.13662054180471642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1311.3492496589358</v>
      </c>
      <c r="D199" s="519">
        <f>IF(LN_IF11=0,0,LN_IF2/LN_IF11)</f>
        <v>1085.7751693002258</v>
      </c>
      <c r="E199" s="519">
        <f t="shared" si="20"/>
        <v>-225.57408035871003</v>
      </c>
      <c r="F199" s="449">
        <f t="shared" si="21"/>
        <v>-0.1720167837953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3.5956552207428172</v>
      </c>
      <c r="D200" s="466">
        <f>IF(LN_IF4=0,0,LN_IF11/LN_IF4)</f>
        <v>3.5019762845849804</v>
      </c>
      <c r="E200" s="466">
        <f t="shared" si="20"/>
        <v>-9.3678936157836734E-2</v>
      </c>
      <c r="F200" s="449">
        <f t="shared" si="21"/>
        <v>-2.6053370083265057E-2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29869017</v>
      </c>
      <c r="D203" s="448">
        <f>LN_ID14+LN_IE14</f>
        <v>30013739</v>
      </c>
      <c r="E203" s="448">
        <f t="shared" ref="E203:E211" si="22">D203-C203</f>
        <v>144722</v>
      </c>
      <c r="F203" s="449">
        <f t="shared" ref="F203:F211" si="23">IF(C203=0,0,E203/C203)</f>
        <v>4.8452213877677999E-3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12291299</v>
      </c>
      <c r="D204" s="448">
        <f>LN_ID15+LN_IE15</f>
        <v>11542331</v>
      </c>
      <c r="E204" s="448">
        <f t="shared" si="22"/>
        <v>-748968</v>
      </c>
      <c r="F204" s="449">
        <f t="shared" si="23"/>
        <v>-6.0934812504357755E-2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0.41150664583303831</v>
      </c>
      <c r="D205" s="453">
        <f>IF(LN_IF14=0,0,LN_IF15/LN_IF14)</f>
        <v>0.38456824722837762</v>
      </c>
      <c r="E205" s="454">
        <f t="shared" si="22"/>
        <v>-2.6938398604660685E-2</v>
      </c>
      <c r="F205" s="449">
        <f t="shared" si="23"/>
        <v>-6.5462851882082299E-2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2.1258539103832343</v>
      </c>
      <c r="D206" s="453">
        <f>IF(LN_IF1=0,0,LN_IF14/LN_IF1)</f>
        <v>2.1601423285203882</v>
      </c>
      <c r="E206" s="454">
        <f t="shared" si="22"/>
        <v>3.4288418137153887E-2</v>
      </c>
      <c r="F206" s="449">
        <f t="shared" si="23"/>
        <v>1.6129244803549367E-2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3033.5935301168756</v>
      </c>
      <c r="D207" s="463">
        <f>LN_ID18+LN_IE18</f>
        <v>2732.580045578291</v>
      </c>
      <c r="E207" s="463">
        <f t="shared" si="22"/>
        <v>-301.01348453858463</v>
      </c>
      <c r="F207" s="449">
        <f t="shared" si="23"/>
        <v>-9.9226703099866989E-2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4051.7290394954302</v>
      </c>
      <c r="D208" s="465">
        <f>IF(LN_IF18=0,0,LN_IF15/LN_IF18)</f>
        <v>4223.9681207791728</v>
      </c>
      <c r="E208" s="465">
        <f t="shared" si="22"/>
        <v>172.23908128374251</v>
      </c>
      <c r="F208" s="449">
        <f t="shared" si="23"/>
        <v>4.251001969894605E-2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2498.5298846892179</v>
      </c>
      <c r="D209" s="465">
        <f>LN_IB18-LN_IF19</f>
        <v>3989.4186105900208</v>
      </c>
      <c r="E209" s="465">
        <f t="shared" si="22"/>
        <v>1490.8887259008029</v>
      </c>
      <c r="F209" s="449">
        <f t="shared" si="23"/>
        <v>0.59670638123515929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1951.0560854965211</v>
      </c>
      <c r="D210" s="465">
        <f>LN_IA16-LN_IF19</f>
        <v>2819.1408516098263</v>
      </c>
      <c r="E210" s="465">
        <f t="shared" si="22"/>
        <v>868.08476611330525</v>
      </c>
      <c r="F210" s="449">
        <f t="shared" si="23"/>
        <v>0.44493070833091286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5918711.1178574041</v>
      </c>
      <c r="D211" s="441">
        <f>LN_IF21*LN_IF18</f>
        <v>7703528.0367836012</v>
      </c>
      <c r="E211" s="441">
        <f t="shared" si="22"/>
        <v>1784816.9189261971</v>
      </c>
      <c r="F211" s="449">
        <f t="shared" si="23"/>
        <v>0.30155499793548085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43919379</v>
      </c>
      <c r="D214" s="448">
        <f>LN_IF1+LN_IF14</f>
        <v>43908073</v>
      </c>
      <c r="E214" s="448">
        <f>D214-C214</f>
        <v>-11306</v>
      </c>
      <c r="F214" s="449">
        <f>IF(C214=0,0,E214/C214)</f>
        <v>-2.574262263589838E-4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19019832</v>
      </c>
      <c r="D215" s="448">
        <f>LN_IF2+LN_IF15</f>
        <v>16352315</v>
      </c>
      <c r="E215" s="448">
        <f>D215-C215</f>
        <v>-2667517</v>
      </c>
      <c r="F215" s="449">
        <f>IF(C215=0,0,E215/C215)</f>
        <v>-0.14024924089760624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24899547</v>
      </c>
      <c r="D216" s="448">
        <f>LN_IF23-LN_IF24</f>
        <v>27555758</v>
      </c>
      <c r="E216" s="448">
        <f>D216-C216</f>
        <v>2656211</v>
      </c>
      <c r="F216" s="449">
        <f>IF(C216=0,0,E216/C216)</f>
        <v>0.10667708131396929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323493</v>
      </c>
      <c r="D221" s="448">
        <v>222098</v>
      </c>
      <c r="E221" s="448">
        <f t="shared" ref="E221:E230" si="24">D221-C221</f>
        <v>-101395</v>
      </c>
      <c r="F221" s="449">
        <f t="shared" ref="F221:F230" si="25">IF(C221=0,0,E221/C221)</f>
        <v>-0.31343800329527993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89377</v>
      </c>
      <c r="D222" s="448">
        <v>94784</v>
      </c>
      <c r="E222" s="448">
        <f t="shared" si="24"/>
        <v>5407</v>
      </c>
      <c r="F222" s="449">
        <f t="shared" si="25"/>
        <v>6.0496548328988445E-2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0.2762872766953226</v>
      </c>
      <c r="D223" s="453">
        <f>IF(LN_IG1=0,0,LN_IG2/LN_IG1)</f>
        <v>0.42676656250844219</v>
      </c>
      <c r="E223" s="454">
        <f t="shared" si="24"/>
        <v>0.15047928581311959</v>
      </c>
      <c r="F223" s="449">
        <f t="shared" si="25"/>
        <v>0.54464790276629893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37</v>
      </c>
      <c r="D224" s="456">
        <v>20</v>
      </c>
      <c r="E224" s="456">
        <f t="shared" si="24"/>
        <v>-17</v>
      </c>
      <c r="F224" s="449">
        <f t="shared" si="25"/>
        <v>-0.45945945945945948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0.54179999999999995</v>
      </c>
      <c r="D225" s="459">
        <v>1.1019000000000001</v>
      </c>
      <c r="E225" s="460">
        <f t="shared" si="24"/>
        <v>0.56010000000000015</v>
      </c>
      <c r="F225" s="449">
        <f t="shared" si="25"/>
        <v>1.033776301218162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20.046599999999998</v>
      </c>
      <c r="D226" s="463">
        <f>LN_IG3*LN_IG4</f>
        <v>22.038000000000004</v>
      </c>
      <c r="E226" s="463">
        <f t="shared" si="24"/>
        <v>1.9914000000000058</v>
      </c>
      <c r="F226" s="449">
        <f t="shared" si="25"/>
        <v>9.9338541199006619E-2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4458.4617840431802</v>
      </c>
      <c r="D227" s="465">
        <f>IF(LN_IG5=0,0,LN_IG2/LN_IG5)</f>
        <v>4300.9347490697874</v>
      </c>
      <c r="E227" s="465">
        <f t="shared" si="24"/>
        <v>-157.5270349733928</v>
      </c>
      <c r="F227" s="449">
        <f t="shared" si="25"/>
        <v>-3.5332148755245929E-2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84</v>
      </c>
      <c r="D228" s="456">
        <v>52</v>
      </c>
      <c r="E228" s="456">
        <f t="shared" si="24"/>
        <v>-32</v>
      </c>
      <c r="F228" s="449">
        <f t="shared" si="25"/>
        <v>-0.38095238095238093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1064.0119047619048</v>
      </c>
      <c r="D229" s="465">
        <f>IF(LN_IG6=0,0,LN_IG2/LN_IG6)</f>
        <v>1822.7692307692307</v>
      </c>
      <c r="E229" s="465">
        <f t="shared" si="24"/>
        <v>758.7573260073259</v>
      </c>
      <c r="F229" s="449">
        <f t="shared" si="25"/>
        <v>0.713109808839135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2.2702702702702702</v>
      </c>
      <c r="D230" s="466">
        <f>IF(LN_IG3=0,0,LN_IG6/LN_IG3)</f>
        <v>2.6</v>
      </c>
      <c r="E230" s="466">
        <f t="shared" si="24"/>
        <v>0.32972972972972991</v>
      </c>
      <c r="F230" s="449">
        <f t="shared" si="25"/>
        <v>0.14523809523809533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1203246</v>
      </c>
      <c r="D233" s="448">
        <v>977760</v>
      </c>
      <c r="E233" s="448">
        <f>D233-C233</f>
        <v>-225486</v>
      </c>
      <c r="F233" s="449">
        <f>IF(C233=0,0,E233/C233)</f>
        <v>-0.18739808817149611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478311</v>
      </c>
      <c r="D234" s="448">
        <v>350516</v>
      </c>
      <c r="E234" s="448">
        <f>D234-C234</f>
        <v>-127795</v>
      </c>
      <c r="F234" s="449">
        <f>IF(C234=0,0,E234/C234)</f>
        <v>-0.26717972198005063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1526739</v>
      </c>
      <c r="D237" s="448">
        <f>LN_IG1+LN_IG9</f>
        <v>1199858</v>
      </c>
      <c r="E237" s="448">
        <f>D237-C237</f>
        <v>-326881</v>
      </c>
      <c r="F237" s="449">
        <f>IF(C237=0,0,E237/C237)</f>
        <v>-0.21410404790864712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567688</v>
      </c>
      <c r="D238" s="448">
        <f>LN_IG2+LN_IG10</f>
        <v>445300</v>
      </c>
      <c r="E238" s="448">
        <f>D238-C238</f>
        <v>-122388</v>
      </c>
      <c r="F238" s="449">
        <f>IF(C238=0,0,E238/C238)</f>
        <v>-0.21559025380138386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959051</v>
      </c>
      <c r="D239" s="448">
        <f>LN_IG13-LN_IG14</f>
        <v>754558</v>
      </c>
      <c r="E239" s="448">
        <f>D239-C239</f>
        <v>-204493</v>
      </c>
      <c r="F239" s="449">
        <f>IF(C239=0,0,E239/C239)</f>
        <v>-0.21322432279409542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6224434</v>
      </c>
      <c r="D243" s="448">
        <v>4807000</v>
      </c>
      <c r="E243" s="441">
        <f>D243-C243</f>
        <v>-1417434</v>
      </c>
      <c r="F243" s="503">
        <f>IF(C243=0,0,E243/C243)</f>
        <v>-0.22772094619366196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115241429</v>
      </c>
      <c r="D244" s="448">
        <v>110624592</v>
      </c>
      <c r="E244" s="441">
        <f>D244-C244</f>
        <v>-4616837</v>
      </c>
      <c r="F244" s="503">
        <f>IF(C244=0,0,E244/C244)</f>
        <v>-4.006230259432135E-2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710098</v>
      </c>
      <c r="D248" s="441">
        <v>703850</v>
      </c>
      <c r="E248" s="441">
        <f>D248-C248</f>
        <v>-6248</v>
      </c>
      <c r="F248" s="449">
        <f>IF(C248=0,0,E248/C248)</f>
        <v>-8.7987855197451618E-3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3462360</v>
      </c>
      <c r="D249" s="441">
        <v>3021107</v>
      </c>
      <c r="E249" s="441">
        <f>D249-C249</f>
        <v>-441253</v>
      </c>
      <c r="F249" s="449">
        <f>IF(C249=0,0,E249/C249)</f>
        <v>-0.12744284245427975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4172458</v>
      </c>
      <c r="D250" s="441">
        <f>LN_IH4+LN_IH5</f>
        <v>3724957</v>
      </c>
      <c r="E250" s="441">
        <f>D250-C250</f>
        <v>-447501</v>
      </c>
      <c r="F250" s="449">
        <f>IF(C250=0,0,E250/C250)</f>
        <v>-0.10725116945455172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2051611.1510628876</v>
      </c>
      <c r="D251" s="441">
        <f>LN_IH6*LN_III10</f>
        <v>1689081.99265066</v>
      </c>
      <c r="E251" s="441">
        <f>D251-C251</f>
        <v>-362529.15841222764</v>
      </c>
      <c r="F251" s="449">
        <f>IF(C251=0,0,E251/C251)</f>
        <v>-0.17670461491906519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43919379</v>
      </c>
      <c r="D254" s="441">
        <f>LN_IF23</f>
        <v>43908073</v>
      </c>
      <c r="E254" s="441">
        <f>D254-C254</f>
        <v>-11306</v>
      </c>
      <c r="F254" s="449">
        <f>IF(C254=0,0,E254/C254)</f>
        <v>-2.574262263589838E-4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19019832</v>
      </c>
      <c r="D255" s="441">
        <f>LN_IF24</f>
        <v>16352315</v>
      </c>
      <c r="E255" s="441">
        <f>D255-C255</f>
        <v>-2667517</v>
      </c>
      <c r="F255" s="449">
        <f>IF(C255=0,0,E255/C255)</f>
        <v>-0.14024924089760624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21595301.307803988</v>
      </c>
      <c r="D256" s="441">
        <f>LN_IH8*LN_III10</f>
        <v>19910118.542654492</v>
      </c>
      <c r="E256" s="441">
        <f>D256-C256</f>
        <v>-1685182.7651494965</v>
      </c>
      <c r="F256" s="449">
        <f>IF(C256=0,0,E256/C256)</f>
        <v>-7.803469565578669E-2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2575469.3078039885</v>
      </c>
      <c r="D257" s="441">
        <f>LN_IH10-LN_IH9</f>
        <v>3557803.542654492</v>
      </c>
      <c r="E257" s="441">
        <f>D257-C257</f>
        <v>982334.2348505035</v>
      </c>
      <c r="F257" s="449">
        <f>IF(C257=0,0,E257/C257)</f>
        <v>0.38141950745594599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60261612</v>
      </c>
      <c r="D261" s="448">
        <f>LN_IA1+LN_IB1+LN_IF1+LN_IG1</f>
        <v>63684617</v>
      </c>
      <c r="E261" s="448">
        <f t="shared" ref="E261:E274" si="26">D261-C261</f>
        <v>3423005</v>
      </c>
      <c r="F261" s="503">
        <f t="shared" ref="F261:F274" si="27">IF(C261=0,0,E261/C261)</f>
        <v>5.6802413450207735E-2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31743672</v>
      </c>
      <c r="D262" s="448">
        <f>+LN_IA2+LN_IB2+LN_IF2+LN_IG2</f>
        <v>31174146</v>
      </c>
      <c r="E262" s="448">
        <f t="shared" si="26"/>
        <v>-569526</v>
      </c>
      <c r="F262" s="503">
        <f t="shared" si="27"/>
        <v>-1.7941402620339574E-2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0.52676440185503171</v>
      </c>
      <c r="D263" s="453">
        <f>IF(LN_IIA1=0,0,LN_IIA2/LN_IIA1)</f>
        <v>0.48950825911381396</v>
      </c>
      <c r="E263" s="454">
        <f t="shared" si="26"/>
        <v>-3.7256142741217746E-2</v>
      </c>
      <c r="F263" s="458">
        <f t="shared" si="27"/>
        <v>-7.072638661613817E-2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5097</v>
      </c>
      <c r="D264" s="456">
        <f>LN_IA4+LN_IB4+LN_IF4+LN_IG3</f>
        <v>4331</v>
      </c>
      <c r="E264" s="456">
        <f t="shared" si="26"/>
        <v>-766</v>
      </c>
      <c r="F264" s="503">
        <f t="shared" si="27"/>
        <v>-0.15028448106729447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1.0285464587011968</v>
      </c>
      <c r="D265" s="525">
        <f>IF(LN_IIA4=0,0,LN_IIA6/LN_IIA4)</f>
        <v>1.0683783652736087</v>
      </c>
      <c r="E265" s="525">
        <f t="shared" si="26"/>
        <v>3.9831906572411979E-2</v>
      </c>
      <c r="F265" s="503">
        <f t="shared" si="27"/>
        <v>3.8726404855556992E-2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5242.5012999999999</v>
      </c>
      <c r="D266" s="463">
        <f>LN_IA6+LN_IB6+LN_IF6+LN_IG5</f>
        <v>4627.1466999999993</v>
      </c>
      <c r="E266" s="463">
        <f t="shared" si="26"/>
        <v>-615.35460000000057</v>
      </c>
      <c r="F266" s="503">
        <f t="shared" si="27"/>
        <v>-0.11737805386905685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152062080</v>
      </c>
      <c r="D267" s="448">
        <f>LN_IA11+LN_IB13+LN_IF14+LN_IG9</f>
        <v>153064782</v>
      </c>
      <c r="E267" s="448">
        <f t="shared" si="26"/>
        <v>1002702</v>
      </c>
      <c r="F267" s="503">
        <f t="shared" si="27"/>
        <v>6.5940305433149406E-3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2.5233656212183635</v>
      </c>
      <c r="D268" s="453">
        <f>IF(LN_IIA1=0,0,LN_IIA7/LN_IIA1)</f>
        <v>2.4034812362929028</v>
      </c>
      <c r="E268" s="454">
        <f t="shared" si="26"/>
        <v>-0.11988438492546072</v>
      </c>
      <c r="F268" s="458">
        <f t="shared" si="27"/>
        <v>-4.7509716355561907E-2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76881047</v>
      </c>
      <c r="D269" s="448">
        <f>LN_IA12+LN_IB14+LN_IF15+LN_IG10</f>
        <v>72732209</v>
      </c>
      <c r="E269" s="448">
        <f t="shared" si="26"/>
        <v>-4148838</v>
      </c>
      <c r="F269" s="503">
        <f t="shared" si="27"/>
        <v>-5.3964379543374325E-2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0.50558986829589603</v>
      </c>
      <c r="D270" s="453">
        <f>IF(LN_IIA7=0,0,LN_IIA9/LN_IIA7)</f>
        <v>0.47517272131220883</v>
      </c>
      <c r="E270" s="454">
        <f t="shared" si="26"/>
        <v>-3.0417146983687193E-2</v>
      </c>
      <c r="F270" s="458">
        <f t="shared" si="27"/>
        <v>-6.0161701986254174E-2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212323692</v>
      </c>
      <c r="D271" s="441">
        <f>LN_IIA1+LN_IIA7</f>
        <v>216749399</v>
      </c>
      <c r="E271" s="441">
        <f t="shared" si="26"/>
        <v>4425707</v>
      </c>
      <c r="F271" s="503">
        <f t="shared" si="27"/>
        <v>2.0844150543501288E-2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108624719</v>
      </c>
      <c r="D272" s="441">
        <f>LN_IIA2+LN_IIA9</f>
        <v>103906355</v>
      </c>
      <c r="E272" s="441">
        <f t="shared" si="26"/>
        <v>-4718364</v>
      </c>
      <c r="F272" s="503">
        <f t="shared" si="27"/>
        <v>-4.3437295336064344E-2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0.51159961461107228</v>
      </c>
      <c r="D273" s="453">
        <f>IF(LN_IIA11=0,0,LN_IIA12/LN_IIA11)</f>
        <v>0.47938474329979575</v>
      </c>
      <c r="E273" s="454">
        <f t="shared" si="26"/>
        <v>-3.2214871311276538E-2</v>
      </c>
      <c r="F273" s="458">
        <f t="shared" si="27"/>
        <v>-6.296891239014496E-2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18484</v>
      </c>
      <c r="D274" s="508">
        <f>LN_IA8+LN_IB10+LN_IF11+LN_IG6</f>
        <v>16124</v>
      </c>
      <c r="E274" s="528">
        <f t="shared" si="26"/>
        <v>-2360</v>
      </c>
      <c r="F274" s="458">
        <f t="shared" si="27"/>
        <v>-0.12767799177667172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44613797</v>
      </c>
      <c r="D277" s="448">
        <f>LN_IA1+LN_IF1+LN_IG1</f>
        <v>48080032</v>
      </c>
      <c r="E277" s="448">
        <f t="shared" ref="E277:E291" si="28">D277-C277</f>
        <v>3466235</v>
      </c>
      <c r="F277" s="503">
        <f t="shared" ref="F277:F291" si="29">IF(C277=0,0,E277/C277)</f>
        <v>7.769423884723374E-2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23818310</v>
      </c>
      <c r="D278" s="448">
        <f>LN_IA2+LN_IF2+LN_IG2</f>
        <v>22403918</v>
      </c>
      <c r="E278" s="448">
        <f t="shared" si="28"/>
        <v>-1414392</v>
      </c>
      <c r="F278" s="503">
        <f t="shared" si="29"/>
        <v>-5.938255065115871E-2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0.53387767017454268</v>
      </c>
      <c r="D279" s="453">
        <f>IF(D277=0,0,LN_IIB2/D277)</f>
        <v>0.46597136208228812</v>
      </c>
      <c r="E279" s="454">
        <f t="shared" si="28"/>
        <v>-6.7906308092254564E-2</v>
      </c>
      <c r="F279" s="458">
        <f t="shared" si="29"/>
        <v>-0.12719450894069739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3672</v>
      </c>
      <c r="D280" s="456">
        <f>LN_IA4+LN_IF4+LN_IG3</f>
        <v>3232</v>
      </c>
      <c r="E280" s="456">
        <f t="shared" si="28"/>
        <v>-440</v>
      </c>
      <c r="F280" s="503">
        <f t="shared" si="29"/>
        <v>-0.11982570806100218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1.0185522331154684</v>
      </c>
      <c r="D281" s="525">
        <f>IF(LN_IIB4=0,0,LN_IIB6/LN_IIB4)</f>
        <v>1.1060471225247523</v>
      </c>
      <c r="E281" s="525">
        <f t="shared" si="28"/>
        <v>8.749488940928396E-2</v>
      </c>
      <c r="F281" s="503">
        <f t="shared" si="29"/>
        <v>8.5901229769691237E-2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3740.1238000000003</v>
      </c>
      <c r="D282" s="463">
        <f>LN_IA6+LN_IF6+LN_IG5</f>
        <v>3574.7442999999998</v>
      </c>
      <c r="E282" s="463">
        <f t="shared" si="28"/>
        <v>-165.37950000000046</v>
      </c>
      <c r="F282" s="503">
        <f t="shared" si="29"/>
        <v>-4.4217653971775066E-2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82019440</v>
      </c>
      <c r="D283" s="448">
        <f>LN_IA11+LN_IF14+LN_IG9</f>
        <v>86940617</v>
      </c>
      <c r="E283" s="448">
        <f t="shared" si="28"/>
        <v>4921177</v>
      </c>
      <c r="F283" s="503">
        <f t="shared" si="29"/>
        <v>6.0000129237653903E-2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1.8384321782788404</v>
      </c>
      <c r="D284" s="453">
        <f>IF(D277=0,0,LN_IIB7/D277)</f>
        <v>1.8082479021644577</v>
      </c>
      <c r="E284" s="454">
        <f t="shared" si="28"/>
        <v>-3.018427611438268E-2</v>
      </c>
      <c r="F284" s="458">
        <f t="shared" si="29"/>
        <v>-1.6418487704366401E-2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35099729</v>
      </c>
      <c r="D285" s="448">
        <f>LN_IA12+LN_IF15+LN_IG10</f>
        <v>34482517</v>
      </c>
      <c r="E285" s="448">
        <f t="shared" si="28"/>
        <v>-617212</v>
      </c>
      <c r="F285" s="503">
        <f t="shared" si="29"/>
        <v>-1.7584523230934346E-2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0.42794402156366834</v>
      </c>
      <c r="D286" s="453">
        <f>IF(LN_IIB7=0,0,LN_IIB9/LN_IIB7)</f>
        <v>0.39662148935519975</v>
      </c>
      <c r="E286" s="454">
        <f t="shared" si="28"/>
        <v>-3.132253220846859E-2</v>
      </c>
      <c r="F286" s="458">
        <f t="shared" si="29"/>
        <v>-7.3193059442725528E-2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126633237</v>
      </c>
      <c r="D287" s="441">
        <f>D277+LN_IIB7</f>
        <v>135020649</v>
      </c>
      <c r="E287" s="441">
        <f t="shared" si="28"/>
        <v>8387412</v>
      </c>
      <c r="F287" s="503">
        <f t="shared" si="29"/>
        <v>6.6233890870214432E-2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58918039</v>
      </c>
      <c r="D288" s="441">
        <f>LN_IIB2+LN_IIB9</f>
        <v>56886435</v>
      </c>
      <c r="E288" s="441">
        <f t="shared" si="28"/>
        <v>-2031604</v>
      </c>
      <c r="F288" s="503">
        <f t="shared" si="29"/>
        <v>-3.4481867259702925E-2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0.46526520521622611</v>
      </c>
      <c r="D289" s="453">
        <f>IF(LN_IIB11=0,0,LN_IIB12/LN_IIB11)</f>
        <v>0.42131655729191464</v>
      </c>
      <c r="E289" s="454">
        <f t="shared" si="28"/>
        <v>-4.3948647924311468E-2</v>
      </c>
      <c r="F289" s="458">
        <f t="shared" si="29"/>
        <v>-9.445934798388135E-2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14168</v>
      </c>
      <c r="D290" s="508">
        <f>LN_IA8+LN_IF11+LN_IG6</f>
        <v>12643</v>
      </c>
      <c r="E290" s="528">
        <f t="shared" si="28"/>
        <v>-1525</v>
      </c>
      <c r="F290" s="458">
        <f t="shared" si="29"/>
        <v>-0.10763692828910221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67715198</v>
      </c>
      <c r="D291" s="516">
        <f>LN_IIB11-LN_IIB12</f>
        <v>78134214</v>
      </c>
      <c r="E291" s="441">
        <f t="shared" si="28"/>
        <v>10419016</v>
      </c>
      <c r="F291" s="503">
        <f t="shared" si="29"/>
        <v>0.15386525193354675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4.0548007246376816</v>
      </c>
      <c r="D294" s="466">
        <f>IF(LN_IA4=0,0,LN_IA8/LN_IA4)</f>
        <v>4.1915767847971237</v>
      </c>
      <c r="E294" s="466">
        <f t="shared" ref="E294:E300" si="30">D294-C294</f>
        <v>0.1367760601594421</v>
      </c>
      <c r="F294" s="503">
        <f t="shared" ref="F294:F300" si="31">IF(C294=0,0,E294/C294)</f>
        <v>3.3731882143644379E-2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3.0287719298245612</v>
      </c>
      <c r="D295" s="466">
        <f>IF(LN_IB4=0,0,(LN_IB10)/(LN_IB4))</f>
        <v>3.167424931756142</v>
      </c>
      <c r="E295" s="466">
        <f t="shared" si="30"/>
        <v>0.13865300193158081</v>
      </c>
      <c r="F295" s="503">
        <f t="shared" si="31"/>
        <v>4.5778620887975595E-2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2.704225352112676</v>
      </c>
      <c r="D296" s="466">
        <f>IF(LN_IC4=0,0,LN_IC11/LN_IC4)</f>
        <v>3.5254237288135593</v>
      </c>
      <c r="E296" s="466">
        <f t="shared" si="30"/>
        <v>0.82119837670088325</v>
      </c>
      <c r="F296" s="503">
        <f t="shared" si="31"/>
        <v>0.3036723163841808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3.5956552207428172</v>
      </c>
      <c r="D297" s="466">
        <f>IF(LN_ID4=0,0,LN_ID11/LN_ID4)</f>
        <v>3.5019762845849804</v>
      </c>
      <c r="E297" s="466">
        <f t="shared" si="30"/>
        <v>-9.3678936157836734E-2</v>
      </c>
      <c r="F297" s="503">
        <f t="shared" si="31"/>
        <v>-2.6053370083265057E-2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2.2702702702702702</v>
      </c>
      <c r="D299" s="466">
        <f>IF(LN_IG3=0,0,LN_IG6/LN_IG3)</f>
        <v>2.6</v>
      </c>
      <c r="E299" s="466">
        <f t="shared" si="30"/>
        <v>0.32972972972972991</v>
      </c>
      <c r="F299" s="503">
        <f t="shared" si="31"/>
        <v>0.14523809523809533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3.6264469295664115</v>
      </c>
      <c r="D300" s="466">
        <f>IF(LN_IIA4=0,0,LN_IIA14/LN_IIA4)</f>
        <v>3.7229277303163242</v>
      </c>
      <c r="E300" s="466">
        <f t="shared" si="30"/>
        <v>9.6480800749912721E-2</v>
      </c>
      <c r="F300" s="503">
        <f t="shared" si="31"/>
        <v>2.6604773935420101E-2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212323692</v>
      </c>
      <c r="D304" s="441">
        <f>LN_IIA11</f>
        <v>216749399</v>
      </c>
      <c r="E304" s="441">
        <f t="shared" ref="E304:E316" si="32">D304-C304</f>
        <v>4425707</v>
      </c>
      <c r="F304" s="449">
        <f>IF(C304=0,0,E304/C304)</f>
        <v>2.0844150543501288E-2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67715198</v>
      </c>
      <c r="D305" s="441">
        <f>LN_IIB14</f>
        <v>78134214</v>
      </c>
      <c r="E305" s="441">
        <f t="shared" si="32"/>
        <v>10419016</v>
      </c>
      <c r="F305" s="449">
        <f>IF(C305=0,0,E305/C305)</f>
        <v>0.15386525193354675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4172458</v>
      </c>
      <c r="D306" s="441">
        <f>LN_IH6</f>
        <v>3724957</v>
      </c>
      <c r="E306" s="441">
        <f t="shared" si="32"/>
        <v>-447501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35983775</v>
      </c>
      <c r="D307" s="441">
        <f>LN_IB32-LN_IB33</f>
        <v>34708830</v>
      </c>
      <c r="E307" s="441">
        <f t="shared" si="32"/>
        <v>-1274945</v>
      </c>
      <c r="F307" s="449">
        <f t="shared" ref="F307:F316" si="33">IF(C307=0,0,E307/C307)</f>
        <v>-3.5431107492196134E-2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52012</v>
      </c>
      <c r="D308" s="441">
        <v>1896369</v>
      </c>
      <c r="E308" s="441">
        <f t="shared" si="32"/>
        <v>1844357</v>
      </c>
      <c r="F308" s="449">
        <f t="shared" si="33"/>
        <v>35.46022071829578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107923443</v>
      </c>
      <c r="D309" s="441">
        <f>LN_III2+LN_III3+LN_III4+LN_III5</f>
        <v>118464370</v>
      </c>
      <c r="E309" s="441">
        <f t="shared" si="32"/>
        <v>10540927</v>
      </c>
      <c r="F309" s="449">
        <f t="shared" si="33"/>
        <v>9.7670410681764477E-2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104400249</v>
      </c>
      <c r="D310" s="441">
        <f>LN_III1-LN_III6</f>
        <v>98285029</v>
      </c>
      <c r="E310" s="441">
        <f t="shared" si="32"/>
        <v>-6115220</v>
      </c>
      <c r="F310" s="449">
        <f t="shared" si="33"/>
        <v>-5.8574764510379664E-2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104400249</v>
      </c>
      <c r="D312" s="441">
        <f>LN_III7+LN_III8</f>
        <v>98285029</v>
      </c>
      <c r="E312" s="441">
        <f t="shared" si="32"/>
        <v>-6115220</v>
      </c>
      <c r="F312" s="449">
        <f t="shared" si="33"/>
        <v>-5.8574764510379664E-2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0.49170324807652649</v>
      </c>
      <c r="D313" s="532">
        <f>IF(LN_III1=0,0,LN_III9/LN_III1)</f>
        <v>0.45345006469891064</v>
      </c>
      <c r="E313" s="532">
        <f t="shared" si="32"/>
        <v>-3.8253183377615851E-2</v>
      </c>
      <c r="F313" s="449">
        <f t="shared" si="33"/>
        <v>-7.779729649388506E-2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2051611.1510628876</v>
      </c>
      <c r="D314" s="441">
        <f>D313*LN_III5</f>
        <v>1689081.99265066</v>
      </c>
      <c r="E314" s="441">
        <f t="shared" si="32"/>
        <v>-362529.15841222764</v>
      </c>
      <c r="F314" s="449">
        <f t="shared" si="33"/>
        <v>-0.17670461491906519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2575469.3078039885</v>
      </c>
      <c r="D315" s="441">
        <f>D313*LN_IH8-LN_IH9</f>
        <v>3557803.542654492</v>
      </c>
      <c r="E315" s="441">
        <f t="shared" si="32"/>
        <v>982334.2348505035</v>
      </c>
      <c r="F315" s="449">
        <f t="shared" si="33"/>
        <v>0.38141950745594599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4627080.4588668756</v>
      </c>
      <c r="D318" s="441">
        <f>D314+D315+D316</f>
        <v>5246885.5353051517</v>
      </c>
      <c r="E318" s="441">
        <f>D318-C318</f>
        <v>619805.0764382761</v>
      </c>
      <c r="F318" s="449">
        <f>IF(C318=0,0,E318/C318)</f>
        <v>0.13395165308840556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5918711.1178574041</v>
      </c>
      <c r="D322" s="441">
        <f>LN_ID22</f>
        <v>7703528.0367836012</v>
      </c>
      <c r="E322" s="441">
        <f>LN_IV2-C322</f>
        <v>1784816.9189261971</v>
      </c>
      <c r="F322" s="449">
        <f>IF(C322=0,0,E322/C322)</f>
        <v>0.30155499793548085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1554833.011643176</v>
      </c>
      <c r="D324" s="441">
        <f>LN_IC10+LN_IC22</f>
        <v>1643599.8833943228</v>
      </c>
      <c r="E324" s="441">
        <f>LN_IV1-C324</f>
        <v>88766.871751146857</v>
      </c>
      <c r="F324" s="449">
        <f>IF(C324=0,0,E324/C324)</f>
        <v>5.7090935866698896E-2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7473544.12950058</v>
      </c>
      <c r="D325" s="516">
        <f>LN_IV1+LN_IV2+LN_IV3</f>
        <v>9347127.9201779235</v>
      </c>
      <c r="E325" s="441">
        <f>LN_IV4-C325</f>
        <v>1873583.7906773435</v>
      </c>
      <c r="F325" s="449">
        <f>IF(C325=0,0,E325/C325)</f>
        <v>0.25069548773809752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3136868</v>
      </c>
      <c r="D329" s="518">
        <v>3866194</v>
      </c>
      <c r="E329" s="518">
        <f t="shared" ref="E329:E335" si="34">D329-C329</f>
        <v>729326</v>
      </c>
      <c r="F329" s="542">
        <f t="shared" ref="F329:F335" si="35">IF(C329=0,0,E329/C329)</f>
        <v>0.23250133572722856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4780586</v>
      </c>
      <c r="D330" s="516">
        <v>742945</v>
      </c>
      <c r="E330" s="518">
        <f t="shared" si="34"/>
        <v>-4037641</v>
      </c>
      <c r="F330" s="543">
        <f t="shared" si="35"/>
        <v>-0.84459122793732821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113405335</v>
      </c>
      <c r="D331" s="516">
        <v>104649330</v>
      </c>
      <c r="E331" s="518">
        <f t="shared" si="34"/>
        <v>-8756005</v>
      </c>
      <c r="F331" s="542">
        <f t="shared" si="35"/>
        <v>-7.7209815569964146E-2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212323722</v>
      </c>
      <c r="D333" s="516">
        <v>216749429</v>
      </c>
      <c r="E333" s="518">
        <f t="shared" si="34"/>
        <v>4425707</v>
      </c>
      <c r="F333" s="542">
        <f t="shared" si="35"/>
        <v>2.0844147598354554E-2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75774</v>
      </c>
      <c r="D334" s="516">
        <v>119186</v>
      </c>
      <c r="E334" s="516">
        <f t="shared" si="34"/>
        <v>43412</v>
      </c>
      <c r="F334" s="543">
        <f t="shared" si="35"/>
        <v>0.57291419220313033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4248232</v>
      </c>
      <c r="D335" s="516">
        <v>3844143</v>
      </c>
      <c r="E335" s="516">
        <f t="shared" si="34"/>
        <v>-404089</v>
      </c>
      <c r="F335" s="542">
        <f t="shared" si="35"/>
        <v>-9.5119334348971518E-2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15647815</v>
      </c>
      <c r="D14" s="589">
        <v>15604585</v>
      </c>
      <c r="E14" s="590">
        <f t="shared" ref="E14:E22" si="0">D14-C14</f>
        <v>-43230</v>
      </c>
    </row>
    <row r="15" spans="1:5" s="421" customFormat="1" x14ac:dyDescent="0.2">
      <c r="A15" s="588">
        <v>2</v>
      </c>
      <c r="B15" s="587" t="s">
        <v>634</v>
      </c>
      <c r="C15" s="589">
        <v>30239942</v>
      </c>
      <c r="D15" s="591">
        <v>33963600</v>
      </c>
      <c r="E15" s="590">
        <f t="shared" si="0"/>
        <v>3723658</v>
      </c>
    </row>
    <row r="16" spans="1:5" s="421" customFormat="1" x14ac:dyDescent="0.2">
      <c r="A16" s="588">
        <v>3</v>
      </c>
      <c r="B16" s="587" t="s">
        <v>776</v>
      </c>
      <c r="C16" s="589">
        <v>14050362</v>
      </c>
      <c r="D16" s="591">
        <v>13894334</v>
      </c>
      <c r="E16" s="590">
        <f t="shared" si="0"/>
        <v>-156028</v>
      </c>
    </row>
    <row r="17" spans="1:5" s="421" customFormat="1" x14ac:dyDescent="0.2">
      <c r="A17" s="588">
        <v>4</v>
      </c>
      <c r="B17" s="587" t="s">
        <v>115</v>
      </c>
      <c r="C17" s="589">
        <v>14050362</v>
      </c>
      <c r="D17" s="591">
        <v>13894334</v>
      </c>
      <c r="E17" s="590">
        <f t="shared" si="0"/>
        <v>-156028</v>
      </c>
    </row>
    <row r="18" spans="1:5" s="421" customFormat="1" x14ac:dyDescent="0.2">
      <c r="A18" s="588">
        <v>5</v>
      </c>
      <c r="B18" s="587" t="s">
        <v>742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323493</v>
      </c>
      <c r="D19" s="591">
        <v>222098</v>
      </c>
      <c r="E19" s="590">
        <f t="shared" si="0"/>
        <v>-101395</v>
      </c>
    </row>
    <row r="20" spans="1:5" s="421" customFormat="1" x14ac:dyDescent="0.2">
      <c r="A20" s="588">
        <v>7</v>
      </c>
      <c r="B20" s="587" t="s">
        <v>757</v>
      </c>
      <c r="C20" s="589">
        <v>989974</v>
      </c>
      <c r="D20" s="591">
        <v>856999</v>
      </c>
      <c r="E20" s="590">
        <f t="shared" si="0"/>
        <v>-132975</v>
      </c>
    </row>
    <row r="21" spans="1:5" s="421" customFormat="1" x14ac:dyDescent="0.2">
      <c r="A21" s="588"/>
      <c r="B21" s="592" t="s">
        <v>777</v>
      </c>
      <c r="C21" s="593">
        <f>SUM(C15+C16+C19)</f>
        <v>44613797</v>
      </c>
      <c r="D21" s="593">
        <f>SUM(D15+D16+D19)</f>
        <v>48080032</v>
      </c>
      <c r="E21" s="593">
        <f t="shared" si="0"/>
        <v>3466235</v>
      </c>
    </row>
    <row r="22" spans="1:5" s="421" customFormat="1" x14ac:dyDescent="0.2">
      <c r="A22" s="588"/>
      <c r="B22" s="592" t="s">
        <v>465</v>
      </c>
      <c r="C22" s="593">
        <f>SUM(C14+C21)</f>
        <v>60261612</v>
      </c>
      <c r="D22" s="593">
        <f>SUM(D14+D21)</f>
        <v>63684617</v>
      </c>
      <c r="E22" s="593">
        <f t="shared" si="0"/>
        <v>3423005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70042640</v>
      </c>
      <c r="D25" s="589">
        <v>66124165</v>
      </c>
      <c r="E25" s="590">
        <f t="shared" ref="E25:E33" si="1">D25-C25</f>
        <v>-3918475</v>
      </c>
    </row>
    <row r="26" spans="1:5" s="421" customFormat="1" x14ac:dyDescent="0.2">
      <c r="A26" s="588">
        <v>2</v>
      </c>
      <c r="B26" s="587" t="s">
        <v>634</v>
      </c>
      <c r="C26" s="589">
        <v>50947177</v>
      </c>
      <c r="D26" s="591">
        <v>55949118</v>
      </c>
      <c r="E26" s="590">
        <f t="shared" si="1"/>
        <v>5001941</v>
      </c>
    </row>
    <row r="27" spans="1:5" s="421" customFormat="1" x14ac:dyDescent="0.2">
      <c r="A27" s="588">
        <v>3</v>
      </c>
      <c r="B27" s="587" t="s">
        <v>776</v>
      </c>
      <c r="C27" s="589">
        <v>29869017</v>
      </c>
      <c r="D27" s="591">
        <v>30013739</v>
      </c>
      <c r="E27" s="590">
        <f t="shared" si="1"/>
        <v>144722</v>
      </c>
    </row>
    <row r="28" spans="1:5" s="421" customFormat="1" x14ac:dyDescent="0.2">
      <c r="A28" s="588">
        <v>4</v>
      </c>
      <c r="B28" s="587" t="s">
        <v>115</v>
      </c>
      <c r="C28" s="589">
        <v>29869017</v>
      </c>
      <c r="D28" s="591">
        <v>30013739</v>
      </c>
      <c r="E28" s="590">
        <f t="shared" si="1"/>
        <v>144722</v>
      </c>
    </row>
    <row r="29" spans="1:5" s="421" customFormat="1" x14ac:dyDescent="0.2">
      <c r="A29" s="588">
        <v>5</v>
      </c>
      <c r="B29" s="587" t="s">
        <v>742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1203246</v>
      </c>
      <c r="D30" s="591">
        <v>977760</v>
      </c>
      <c r="E30" s="590">
        <f t="shared" si="1"/>
        <v>-225486</v>
      </c>
    </row>
    <row r="31" spans="1:5" s="421" customFormat="1" x14ac:dyDescent="0.2">
      <c r="A31" s="588">
        <v>7</v>
      </c>
      <c r="B31" s="587" t="s">
        <v>757</v>
      </c>
      <c r="C31" s="590">
        <v>3653944</v>
      </c>
      <c r="D31" s="594">
        <v>3119256</v>
      </c>
      <c r="E31" s="590">
        <f t="shared" si="1"/>
        <v>-534688</v>
      </c>
    </row>
    <row r="32" spans="1:5" s="421" customFormat="1" x14ac:dyDescent="0.2">
      <c r="A32" s="588"/>
      <c r="B32" s="592" t="s">
        <v>779</v>
      </c>
      <c r="C32" s="593">
        <f>SUM(C26+C27+C30)</f>
        <v>82019440</v>
      </c>
      <c r="D32" s="593">
        <f>SUM(D26+D27+D30)</f>
        <v>86940617</v>
      </c>
      <c r="E32" s="593">
        <f t="shared" si="1"/>
        <v>4921177</v>
      </c>
    </row>
    <row r="33" spans="1:5" s="421" customFormat="1" x14ac:dyDescent="0.2">
      <c r="A33" s="588"/>
      <c r="B33" s="592" t="s">
        <v>467</v>
      </c>
      <c r="C33" s="593">
        <f>SUM(C25+C32)</f>
        <v>152062080</v>
      </c>
      <c r="D33" s="593">
        <f>SUM(D25+D32)</f>
        <v>153064782</v>
      </c>
      <c r="E33" s="593">
        <f t="shared" si="1"/>
        <v>1002702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85690455</v>
      </c>
      <c r="D36" s="590">
        <f t="shared" si="2"/>
        <v>81728750</v>
      </c>
      <c r="E36" s="590">
        <f t="shared" ref="E36:E44" si="3">D36-C36</f>
        <v>-3961705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81187119</v>
      </c>
      <c r="D37" s="590">
        <f t="shared" si="2"/>
        <v>89912718</v>
      </c>
      <c r="E37" s="590">
        <f t="shared" si="3"/>
        <v>8725599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43919379</v>
      </c>
      <c r="D38" s="590">
        <f t="shared" si="2"/>
        <v>43908073</v>
      </c>
      <c r="E38" s="590">
        <f t="shared" si="3"/>
        <v>-11306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43919379</v>
      </c>
      <c r="D39" s="590">
        <f t="shared" si="2"/>
        <v>43908073</v>
      </c>
      <c r="E39" s="590">
        <f t="shared" si="3"/>
        <v>-11306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1526739</v>
      </c>
      <c r="D41" s="590">
        <f t="shared" si="2"/>
        <v>1199858</v>
      </c>
      <c r="E41" s="590">
        <f t="shared" si="3"/>
        <v>-326881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4643918</v>
      </c>
      <c r="D42" s="590">
        <f t="shared" si="2"/>
        <v>3976255</v>
      </c>
      <c r="E42" s="590">
        <f t="shared" si="3"/>
        <v>-667663</v>
      </c>
    </row>
    <row r="43" spans="1:5" s="421" customFormat="1" x14ac:dyDescent="0.2">
      <c r="A43" s="588"/>
      <c r="B43" s="592" t="s">
        <v>787</v>
      </c>
      <c r="C43" s="593">
        <f>SUM(C37+C38+C41)</f>
        <v>126633237</v>
      </c>
      <c r="D43" s="593">
        <f>SUM(D37+D38+D41)</f>
        <v>135020649</v>
      </c>
      <c r="E43" s="593">
        <f t="shared" si="3"/>
        <v>8387412</v>
      </c>
    </row>
    <row r="44" spans="1:5" s="421" customFormat="1" x14ac:dyDescent="0.2">
      <c r="A44" s="588"/>
      <c r="B44" s="592" t="s">
        <v>724</v>
      </c>
      <c r="C44" s="593">
        <f>SUM(C36+C43)</f>
        <v>212323692</v>
      </c>
      <c r="D44" s="593">
        <f>SUM(D36+D43)</f>
        <v>216749399</v>
      </c>
      <c r="E44" s="593">
        <f t="shared" si="3"/>
        <v>4425707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7925362</v>
      </c>
      <c r="D47" s="589">
        <v>8770228</v>
      </c>
      <c r="E47" s="590">
        <f t="shared" ref="E47:E55" si="4">D47-C47</f>
        <v>844866</v>
      </c>
    </row>
    <row r="48" spans="1:5" s="421" customFormat="1" x14ac:dyDescent="0.2">
      <c r="A48" s="588">
        <v>2</v>
      </c>
      <c r="B48" s="587" t="s">
        <v>634</v>
      </c>
      <c r="C48" s="589">
        <v>17000400</v>
      </c>
      <c r="D48" s="591">
        <v>17499150</v>
      </c>
      <c r="E48" s="590">
        <f t="shared" si="4"/>
        <v>498750</v>
      </c>
    </row>
    <row r="49" spans="1:5" s="421" customFormat="1" x14ac:dyDescent="0.2">
      <c r="A49" s="588">
        <v>3</v>
      </c>
      <c r="B49" s="587" t="s">
        <v>776</v>
      </c>
      <c r="C49" s="589">
        <v>6728533</v>
      </c>
      <c r="D49" s="591">
        <v>4809984</v>
      </c>
      <c r="E49" s="590">
        <f t="shared" si="4"/>
        <v>-1918549</v>
      </c>
    </row>
    <row r="50" spans="1:5" s="421" customFormat="1" x14ac:dyDescent="0.2">
      <c r="A50" s="588">
        <v>4</v>
      </c>
      <c r="B50" s="587" t="s">
        <v>115</v>
      </c>
      <c r="C50" s="589">
        <v>6728533</v>
      </c>
      <c r="D50" s="591">
        <v>4809984</v>
      </c>
      <c r="E50" s="590">
        <f t="shared" si="4"/>
        <v>-1918549</v>
      </c>
    </row>
    <row r="51" spans="1:5" s="421" customFormat="1" x14ac:dyDescent="0.2">
      <c r="A51" s="588">
        <v>5</v>
      </c>
      <c r="B51" s="587" t="s">
        <v>742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89377</v>
      </c>
      <c r="D52" s="591">
        <v>94784</v>
      </c>
      <c r="E52" s="590">
        <f t="shared" si="4"/>
        <v>5407</v>
      </c>
    </row>
    <row r="53" spans="1:5" s="421" customFormat="1" x14ac:dyDescent="0.2">
      <c r="A53" s="588">
        <v>7</v>
      </c>
      <c r="B53" s="587" t="s">
        <v>757</v>
      </c>
      <c r="C53" s="589">
        <v>50127</v>
      </c>
      <c r="D53" s="591">
        <v>38867</v>
      </c>
      <c r="E53" s="590">
        <f t="shared" si="4"/>
        <v>-11260</v>
      </c>
    </row>
    <row r="54" spans="1:5" s="421" customFormat="1" x14ac:dyDescent="0.2">
      <c r="A54" s="588"/>
      <c r="B54" s="592" t="s">
        <v>789</v>
      </c>
      <c r="C54" s="593">
        <f>SUM(C48+C49+C52)</f>
        <v>23818310</v>
      </c>
      <c r="D54" s="593">
        <f>SUM(D48+D49+D52)</f>
        <v>22403918</v>
      </c>
      <c r="E54" s="593">
        <f t="shared" si="4"/>
        <v>-1414392</v>
      </c>
    </row>
    <row r="55" spans="1:5" s="421" customFormat="1" x14ac:dyDescent="0.2">
      <c r="A55" s="588"/>
      <c r="B55" s="592" t="s">
        <v>466</v>
      </c>
      <c r="C55" s="593">
        <f>SUM(C47+C54)</f>
        <v>31743672</v>
      </c>
      <c r="D55" s="593">
        <f>SUM(D47+D54)</f>
        <v>31174146</v>
      </c>
      <c r="E55" s="593">
        <f t="shared" si="4"/>
        <v>-569526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41781318</v>
      </c>
      <c r="D58" s="589">
        <v>38249692</v>
      </c>
      <c r="E58" s="590">
        <f t="shared" ref="E58:E66" si="5">D58-C58</f>
        <v>-3531626</v>
      </c>
    </row>
    <row r="59" spans="1:5" s="421" customFormat="1" x14ac:dyDescent="0.2">
      <c r="A59" s="588">
        <v>2</v>
      </c>
      <c r="B59" s="587" t="s">
        <v>634</v>
      </c>
      <c r="C59" s="589">
        <v>22330119</v>
      </c>
      <c r="D59" s="591">
        <v>22589670</v>
      </c>
      <c r="E59" s="590">
        <f t="shared" si="5"/>
        <v>259551</v>
      </c>
    </row>
    <row r="60" spans="1:5" s="421" customFormat="1" x14ac:dyDescent="0.2">
      <c r="A60" s="588">
        <v>3</v>
      </c>
      <c r="B60" s="587" t="s">
        <v>776</v>
      </c>
      <c r="C60" s="589">
        <f>C61+C62</f>
        <v>12291299</v>
      </c>
      <c r="D60" s="591">
        <f>D61+D62</f>
        <v>11542331</v>
      </c>
      <c r="E60" s="590">
        <f t="shared" si="5"/>
        <v>-748968</v>
      </c>
    </row>
    <row r="61" spans="1:5" s="421" customFormat="1" x14ac:dyDescent="0.2">
      <c r="A61" s="588">
        <v>4</v>
      </c>
      <c r="B61" s="587" t="s">
        <v>115</v>
      </c>
      <c r="C61" s="589">
        <v>12291299</v>
      </c>
      <c r="D61" s="591">
        <v>11542331</v>
      </c>
      <c r="E61" s="590">
        <f t="shared" si="5"/>
        <v>-748968</v>
      </c>
    </row>
    <row r="62" spans="1:5" s="421" customFormat="1" x14ac:dyDescent="0.2">
      <c r="A62" s="588">
        <v>5</v>
      </c>
      <c r="B62" s="587" t="s">
        <v>742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478311</v>
      </c>
      <c r="D63" s="591">
        <v>350516</v>
      </c>
      <c r="E63" s="590">
        <f t="shared" si="5"/>
        <v>-127795</v>
      </c>
    </row>
    <row r="64" spans="1:5" s="421" customFormat="1" x14ac:dyDescent="0.2">
      <c r="A64" s="588">
        <v>7</v>
      </c>
      <c r="B64" s="587" t="s">
        <v>757</v>
      </c>
      <c r="C64" s="589">
        <v>421333</v>
      </c>
      <c r="D64" s="591">
        <v>212431</v>
      </c>
      <c r="E64" s="590">
        <f t="shared" si="5"/>
        <v>-208902</v>
      </c>
    </row>
    <row r="65" spans="1:5" s="421" customFormat="1" x14ac:dyDescent="0.2">
      <c r="A65" s="588"/>
      <c r="B65" s="592" t="s">
        <v>791</v>
      </c>
      <c r="C65" s="593">
        <f>SUM(C59+C60+C63)</f>
        <v>35099729</v>
      </c>
      <c r="D65" s="593">
        <f>SUM(D59+D60+D63)</f>
        <v>34482517</v>
      </c>
      <c r="E65" s="593">
        <f t="shared" si="5"/>
        <v>-617212</v>
      </c>
    </row>
    <row r="66" spans="1:5" s="421" customFormat="1" x14ac:dyDescent="0.2">
      <c r="A66" s="588"/>
      <c r="B66" s="592" t="s">
        <v>468</v>
      </c>
      <c r="C66" s="593">
        <f>SUM(C58+C65)</f>
        <v>76881047</v>
      </c>
      <c r="D66" s="593">
        <f>SUM(D58+D65)</f>
        <v>72732209</v>
      </c>
      <c r="E66" s="593">
        <f t="shared" si="5"/>
        <v>-4148838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49706680</v>
      </c>
      <c r="D69" s="590">
        <f t="shared" si="6"/>
        <v>47019920</v>
      </c>
      <c r="E69" s="590">
        <f t="shared" ref="E69:E77" si="7">D69-C69</f>
        <v>-2686760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39330519</v>
      </c>
      <c r="D70" s="590">
        <f t="shared" si="6"/>
        <v>40088820</v>
      </c>
      <c r="E70" s="590">
        <f t="shared" si="7"/>
        <v>758301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19019832</v>
      </c>
      <c r="D71" s="590">
        <f t="shared" si="6"/>
        <v>16352315</v>
      </c>
      <c r="E71" s="590">
        <f t="shared" si="7"/>
        <v>-2667517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19019832</v>
      </c>
      <c r="D72" s="590">
        <f t="shared" si="6"/>
        <v>16352315</v>
      </c>
      <c r="E72" s="590">
        <f t="shared" si="7"/>
        <v>-2667517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567688</v>
      </c>
      <c r="D74" s="590">
        <f t="shared" si="6"/>
        <v>445300</v>
      </c>
      <c r="E74" s="590">
        <f t="shared" si="7"/>
        <v>-122388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471460</v>
      </c>
      <c r="D75" s="590">
        <f t="shared" si="6"/>
        <v>251298</v>
      </c>
      <c r="E75" s="590">
        <f t="shared" si="7"/>
        <v>-220162</v>
      </c>
    </row>
    <row r="76" spans="1:5" s="421" customFormat="1" x14ac:dyDescent="0.2">
      <c r="A76" s="588"/>
      <c r="B76" s="592" t="s">
        <v>792</v>
      </c>
      <c r="C76" s="593">
        <f>SUM(C70+C71+C74)</f>
        <v>58918039</v>
      </c>
      <c r="D76" s="593">
        <f>SUM(D70+D71+D74)</f>
        <v>56886435</v>
      </c>
      <c r="E76" s="593">
        <f t="shared" si="7"/>
        <v>-2031604</v>
      </c>
    </row>
    <row r="77" spans="1:5" s="421" customFormat="1" x14ac:dyDescent="0.2">
      <c r="A77" s="588"/>
      <c r="B77" s="592" t="s">
        <v>725</v>
      </c>
      <c r="C77" s="593">
        <f>SUM(C69+C76)</f>
        <v>108624719</v>
      </c>
      <c r="D77" s="593">
        <f>SUM(D69+D76)</f>
        <v>103906355</v>
      </c>
      <c r="E77" s="593">
        <f t="shared" si="7"/>
        <v>-4718364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7.369792250974988E-2</v>
      </c>
      <c r="D83" s="599">
        <f t="shared" si="8"/>
        <v>7.1993671364228323E-2</v>
      </c>
      <c r="E83" s="599">
        <f t="shared" ref="E83:E91" si="9">D83-C83</f>
        <v>-1.704251145521557E-3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0.1424237762406656</v>
      </c>
      <c r="D84" s="599">
        <f t="shared" si="8"/>
        <v>0.15669524416997346</v>
      </c>
      <c r="E84" s="599">
        <f t="shared" si="9"/>
        <v>1.4271467929307863E-2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6.6174254354996798E-2</v>
      </c>
      <c r="D85" s="599">
        <f t="shared" si="8"/>
        <v>6.410321811319071E-2</v>
      </c>
      <c r="E85" s="599">
        <f t="shared" si="9"/>
        <v>-2.0710362418060874E-3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6.6174254354996798E-2</v>
      </c>
      <c r="D86" s="599">
        <f t="shared" si="8"/>
        <v>6.410321811319071E-2</v>
      </c>
      <c r="E86" s="599">
        <f t="shared" si="9"/>
        <v>-2.0710362418060874E-3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1.5235840944212669E-3</v>
      </c>
      <c r="D88" s="599">
        <f t="shared" si="8"/>
        <v>1.0246764282838912E-3</v>
      </c>
      <c r="E88" s="599">
        <f t="shared" si="9"/>
        <v>-4.9890766613737577E-4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4.6625696391903362E-3</v>
      </c>
      <c r="D89" s="599">
        <f t="shared" si="8"/>
        <v>3.9538702481015878E-3</v>
      </c>
      <c r="E89" s="599">
        <f t="shared" si="9"/>
        <v>-7.0869939108874833E-4</v>
      </c>
    </row>
    <row r="90" spans="1:5" s="421" customFormat="1" x14ac:dyDescent="0.2">
      <c r="A90" s="588"/>
      <c r="B90" s="592" t="s">
        <v>795</v>
      </c>
      <c r="C90" s="600">
        <f>SUM(C84+C85+C88)</f>
        <v>0.21012161469008367</v>
      </c>
      <c r="D90" s="600">
        <f>SUM(D84+D85+D88)</f>
        <v>0.22182313871144807</v>
      </c>
      <c r="E90" s="601">
        <f t="shared" si="9"/>
        <v>1.1701524021364401E-2</v>
      </c>
    </row>
    <row r="91" spans="1:5" s="421" customFormat="1" x14ac:dyDescent="0.2">
      <c r="A91" s="588"/>
      <c r="B91" s="592" t="s">
        <v>796</v>
      </c>
      <c r="C91" s="600">
        <f>SUM(C83+C90)</f>
        <v>0.28381953719983355</v>
      </c>
      <c r="D91" s="600">
        <f>SUM(D83+D90)</f>
        <v>0.29381681007567639</v>
      </c>
      <c r="E91" s="601">
        <f t="shared" si="9"/>
        <v>9.9972728758428442E-3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0.3298861250020087</v>
      </c>
      <c r="D95" s="599">
        <f t="shared" si="10"/>
        <v>0.30507196469781217</v>
      </c>
      <c r="E95" s="599">
        <f t="shared" ref="E95:E103" si="11">D95-C95</f>
        <v>-2.4814160304196531E-2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0.23995050444017335</v>
      </c>
      <c r="D96" s="599">
        <f t="shared" si="10"/>
        <v>0.25812813441757226</v>
      </c>
      <c r="E96" s="599">
        <f t="shared" si="11"/>
        <v>1.8177629977398913E-2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0.14067679738726471</v>
      </c>
      <c r="D97" s="599">
        <f t="shared" si="10"/>
        <v>0.13847207484067811</v>
      </c>
      <c r="E97" s="599">
        <f t="shared" si="11"/>
        <v>-2.2047225465866016E-3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0.14067679738726471</v>
      </c>
      <c r="D98" s="599">
        <f t="shared" si="10"/>
        <v>0.13847207484067811</v>
      </c>
      <c r="E98" s="599">
        <f t="shared" si="11"/>
        <v>-2.2047225465866016E-3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5.6670359707196504E-3</v>
      </c>
      <c r="D100" s="599">
        <f t="shared" si="10"/>
        <v>4.5110159682611164E-3</v>
      </c>
      <c r="E100" s="599">
        <f t="shared" si="11"/>
        <v>-1.156020002458534E-3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1.7209308888618987E-2</v>
      </c>
      <c r="D101" s="599">
        <f t="shared" si="10"/>
        <v>1.4391071045138169E-2</v>
      </c>
      <c r="E101" s="599">
        <f t="shared" si="11"/>
        <v>-2.8182378434808177E-3</v>
      </c>
    </row>
    <row r="102" spans="1:5" s="421" customFormat="1" x14ac:dyDescent="0.2">
      <c r="A102" s="588"/>
      <c r="B102" s="592" t="s">
        <v>798</v>
      </c>
      <c r="C102" s="600">
        <f>SUM(C96+C97+C100)</f>
        <v>0.38629433779815775</v>
      </c>
      <c r="D102" s="600">
        <f>SUM(D96+D97+D100)</f>
        <v>0.40111122522651144</v>
      </c>
      <c r="E102" s="601">
        <f t="shared" si="11"/>
        <v>1.4816887428353687E-2</v>
      </c>
    </row>
    <row r="103" spans="1:5" s="421" customFormat="1" x14ac:dyDescent="0.2">
      <c r="A103" s="588"/>
      <c r="B103" s="592" t="s">
        <v>799</v>
      </c>
      <c r="C103" s="600">
        <f>SUM(C95+C102)</f>
        <v>0.71618046280016645</v>
      </c>
      <c r="D103" s="600">
        <f>SUM(D95+D102)</f>
        <v>0.70618318992432361</v>
      </c>
      <c r="E103" s="601">
        <f t="shared" si="11"/>
        <v>-9.9972728758428442E-3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7.2960943631992278E-2</v>
      </c>
      <c r="D109" s="599">
        <f t="shared" si="12"/>
        <v>8.440511651091985E-2</v>
      </c>
      <c r="E109" s="599">
        <f t="shared" ref="E109:E117" si="13">D109-C109</f>
        <v>1.1444172878927572E-2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0.15650581337752414</v>
      </c>
      <c r="D110" s="599">
        <f t="shared" si="12"/>
        <v>0.16841270199498384</v>
      </c>
      <c r="E110" s="599">
        <f t="shared" si="13"/>
        <v>1.1906888617459699E-2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6.1942926637168098E-2</v>
      </c>
      <c r="D111" s="599">
        <f t="shared" si="12"/>
        <v>4.629152855953806E-2</v>
      </c>
      <c r="E111" s="599">
        <f t="shared" si="13"/>
        <v>-1.5651398077630038E-2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6.1942926637168098E-2</v>
      </c>
      <c r="D112" s="599">
        <f t="shared" si="12"/>
        <v>4.629152855953806E-2</v>
      </c>
      <c r="E112" s="599">
        <f t="shared" si="13"/>
        <v>-1.5651398077630038E-2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8.2280535059427867E-4</v>
      </c>
      <c r="D114" s="599">
        <f t="shared" si="12"/>
        <v>9.1220599548506919E-4</v>
      </c>
      <c r="E114" s="599">
        <f t="shared" si="13"/>
        <v>8.9400644890790513E-5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4.614695481974043E-4</v>
      </c>
      <c r="D115" s="599">
        <f t="shared" si="12"/>
        <v>3.7405796786924147E-4</v>
      </c>
      <c r="E115" s="599">
        <f t="shared" si="13"/>
        <v>-8.7411580328162824E-5</v>
      </c>
    </row>
    <row r="116" spans="1:5" s="421" customFormat="1" x14ac:dyDescent="0.2">
      <c r="A116" s="588"/>
      <c r="B116" s="592" t="s">
        <v>795</v>
      </c>
      <c r="C116" s="600">
        <f>SUM(C110+C111+C114)</f>
        <v>0.21927154536528654</v>
      </c>
      <c r="D116" s="600">
        <f>SUM(D110+D111+D114)</f>
        <v>0.21561643655000698</v>
      </c>
      <c r="E116" s="601">
        <f t="shared" si="13"/>
        <v>-3.6551088152795563E-3</v>
      </c>
    </row>
    <row r="117" spans="1:5" s="421" customFormat="1" x14ac:dyDescent="0.2">
      <c r="A117" s="588"/>
      <c r="B117" s="592" t="s">
        <v>796</v>
      </c>
      <c r="C117" s="600">
        <f>SUM(C109+C116)</f>
        <v>0.29223248899727883</v>
      </c>
      <c r="D117" s="600">
        <f>SUM(D109+D116)</f>
        <v>0.30002155306092682</v>
      </c>
      <c r="E117" s="601">
        <f t="shared" si="13"/>
        <v>7.789064063647988E-3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0.38463913540710748</v>
      </c>
      <c r="D121" s="599">
        <f t="shared" si="14"/>
        <v>0.3681169645494734</v>
      </c>
      <c r="E121" s="599">
        <f t="shared" ref="E121:E129" si="15">D121-C121</f>
        <v>-1.6522170857634078E-2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0.20557124755369907</v>
      </c>
      <c r="D122" s="599">
        <f t="shared" si="14"/>
        <v>0.21740412316455524</v>
      </c>
      <c r="E122" s="599">
        <f t="shared" si="15"/>
        <v>1.1832875610856164E-2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0.11315379329082545</v>
      </c>
      <c r="D123" s="599">
        <f t="shared" si="14"/>
        <v>0.1110839755662683</v>
      </c>
      <c r="E123" s="599">
        <f t="shared" si="15"/>
        <v>-2.069817724557152E-3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0.11315379329082545</v>
      </c>
      <c r="D124" s="599">
        <f t="shared" si="14"/>
        <v>0.1110839755662683</v>
      </c>
      <c r="E124" s="599">
        <f t="shared" si="15"/>
        <v>-2.069817724557152E-3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4.4033347510892065E-3</v>
      </c>
      <c r="D126" s="599">
        <f t="shared" si="14"/>
        <v>3.3733836587762126E-3</v>
      </c>
      <c r="E126" s="599">
        <f t="shared" si="15"/>
        <v>-1.0299510923129939E-3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3.8787948441091017E-3</v>
      </c>
      <c r="D127" s="599">
        <f t="shared" si="14"/>
        <v>2.0444466558373641E-3</v>
      </c>
      <c r="E127" s="599">
        <f t="shared" si="15"/>
        <v>-1.8343481882717376E-3</v>
      </c>
    </row>
    <row r="128" spans="1:5" s="421" customFormat="1" x14ac:dyDescent="0.2">
      <c r="A128" s="588"/>
      <c r="B128" s="592" t="s">
        <v>798</v>
      </c>
      <c r="C128" s="600">
        <f>SUM(C122+C123+C126)</f>
        <v>0.32312837559561375</v>
      </c>
      <c r="D128" s="600">
        <f>SUM(D122+D123+D126)</f>
        <v>0.33186148238959973</v>
      </c>
      <c r="E128" s="601">
        <f t="shared" si="15"/>
        <v>8.7331067939859786E-3</v>
      </c>
    </row>
    <row r="129" spans="1:5" s="421" customFormat="1" x14ac:dyDescent="0.2">
      <c r="A129" s="588"/>
      <c r="B129" s="592" t="s">
        <v>799</v>
      </c>
      <c r="C129" s="600">
        <f>SUM(C121+C128)</f>
        <v>0.70776751100272128</v>
      </c>
      <c r="D129" s="600">
        <f>SUM(D121+D128)</f>
        <v>0.69997844693907307</v>
      </c>
      <c r="E129" s="601">
        <f t="shared" si="15"/>
        <v>-7.78906406364821E-3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0.99999999999999989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1425</v>
      </c>
      <c r="D137" s="606">
        <v>1099</v>
      </c>
      <c r="E137" s="607">
        <f t="shared" ref="E137:E145" si="16">D137-C137</f>
        <v>-326</v>
      </c>
    </row>
    <row r="138" spans="1:5" s="421" customFormat="1" x14ac:dyDescent="0.2">
      <c r="A138" s="588">
        <v>2</v>
      </c>
      <c r="B138" s="587" t="s">
        <v>634</v>
      </c>
      <c r="C138" s="606">
        <v>2208</v>
      </c>
      <c r="D138" s="606">
        <v>1947</v>
      </c>
      <c r="E138" s="607">
        <f t="shared" si="16"/>
        <v>-261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1427</v>
      </c>
      <c r="D139" s="606">
        <f>D140+D141</f>
        <v>1265</v>
      </c>
      <c r="E139" s="607">
        <f t="shared" si="16"/>
        <v>-162</v>
      </c>
    </row>
    <row r="140" spans="1:5" s="421" customFormat="1" x14ac:dyDescent="0.2">
      <c r="A140" s="588">
        <v>4</v>
      </c>
      <c r="B140" s="587" t="s">
        <v>115</v>
      </c>
      <c r="C140" s="606">
        <v>1427</v>
      </c>
      <c r="D140" s="606">
        <v>1265</v>
      </c>
      <c r="E140" s="607">
        <f t="shared" si="16"/>
        <v>-162</v>
      </c>
    </row>
    <row r="141" spans="1:5" s="421" customFormat="1" x14ac:dyDescent="0.2">
      <c r="A141" s="588">
        <v>5</v>
      </c>
      <c r="B141" s="587" t="s">
        <v>742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37</v>
      </c>
      <c r="D142" s="606">
        <v>20</v>
      </c>
      <c r="E142" s="607">
        <f t="shared" si="16"/>
        <v>-17</v>
      </c>
    </row>
    <row r="143" spans="1:5" s="421" customFormat="1" x14ac:dyDescent="0.2">
      <c r="A143" s="588">
        <v>7</v>
      </c>
      <c r="B143" s="587" t="s">
        <v>757</v>
      </c>
      <c r="C143" s="606">
        <v>71</v>
      </c>
      <c r="D143" s="606">
        <v>59</v>
      </c>
      <c r="E143" s="607">
        <f t="shared" si="16"/>
        <v>-12</v>
      </c>
    </row>
    <row r="144" spans="1:5" s="421" customFormat="1" x14ac:dyDescent="0.2">
      <c r="A144" s="588"/>
      <c r="B144" s="592" t="s">
        <v>806</v>
      </c>
      <c r="C144" s="608">
        <f>SUM(C138+C139+C142)</f>
        <v>3672</v>
      </c>
      <c r="D144" s="608">
        <f>SUM(D138+D139+D142)</f>
        <v>3232</v>
      </c>
      <c r="E144" s="609">
        <f t="shared" si="16"/>
        <v>-440</v>
      </c>
    </row>
    <row r="145" spans="1:5" s="421" customFormat="1" x14ac:dyDescent="0.2">
      <c r="A145" s="588"/>
      <c r="B145" s="592" t="s">
        <v>138</v>
      </c>
      <c r="C145" s="608">
        <f>SUM(C137+C144)</f>
        <v>5097</v>
      </c>
      <c r="D145" s="608">
        <f>SUM(D137+D144)</f>
        <v>4331</v>
      </c>
      <c r="E145" s="609">
        <f t="shared" si="16"/>
        <v>-766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4316</v>
      </c>
      <c r="D149" s="610">
        <v>3481</v>
      </c>
      <c r="E149" s="607">
        <f t="shared" ref="E149:E157" si="17">D149-C149</f>
        <v>-835</v>
      </c>
    </row>
    <row r="150" spans="1:5" s="421" customFormat="1" x14ac:dyDescent="0.2">
      <c r="A150" s="588">
        <v>2</v>
      </c>
      <c r="B150" s="587" t="s">
        <v>634</v>
      </c>
      <c r="C150" s="610">
        <v>8953</v>
      </c>
      <c r="D150" s="610">
        <v>8161</v>
      </c>
      <c r="E150" s="607">
        <f t="shared" si="17"/>
        <v>-792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5131</v>
      </c>
      <c r="D151" s="610">
        <f>D152+D153</f>
        <v>4430</v>
      </c>
      <c r="E151" s="607">
        <f t="shared" si="17"/>
        <v>-701</v>
      </c>
    </row>
    <row r="152" spans="1:5" s="421" customFormat="1" x14ac:dyDescent="0.2">
      <c r="A152" s="588">
        <v>4</v>
      </c>
      <c r="B152" s="587" t="s">
        <v>115</v>
      </c>
      <c r="C152" s="610">
        <v>5131</v>
      </c>
      <c r="D152" s="610">
        <v>4430</v>
      </c>
      <c r="E152" s="607">
        <f t="shared" si="17"/>
        <v>-701</v>
      </c>
    </row>
    <row r="153" spans="1:5" s="421" customFormat="1" x14ac:dyDescent="0.2">
      <c r="A153" s="588">
        <v>5</v>
      </c>
      <c r="B153" s="587" t="s">
        <v>742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84</v>
      </c>
      <c r="D154" s="610">
        <v>52</v>
      </c>
      <c r="E154" s="607">
        <f t="shared" si="17"/>
        <v>-32</v>
      </c>
    </row>
    <row r="155" spans="1:5" s="421" customFormat="1" x14ac:dyDescent="0.2">
      <c r="A155" s="588">
        <v>7</v>
      </c>
      <c r="B155" s="587" t="s">
        <v>757</v>
      </c>
      <c r="C155" s="610">
        <v>192</v>
      </c>
      <c r="D155" s="610">
        <v>208</v>
      </c>
      <c r="E155" s="607">
        <f t="shared" si="17"/>
        <v>16</v>
      </c>
    </row>
    <row r="156" spans="1:5" s="421" customFormat="1" x14ac:dyDescent="0.2">
      <c r="A156" s="588"/>
      <c r="B156" s="592" t="s">
        <v>807</v>
      </c>
      <c r="C156" s="608">
        <f>SUM(C150+C151+C154)</f>
        <v>14168</v>
      </c>
      <c r="D156" s="608">
        <f>SUM(D150+D151+D154)</f>
        <v>12643</v>
      </c>
      <c r="E156" s="609">
        <f t="shared" si="17"/>
        <v>-1525</v>
      </c>
    </row>
    <row r="157" spans="1:5" s="421" customFormat="1" x14ac:dyDescent="0.2">
      <c r="A157" s="588"/>
      <c r="B157" s="592" t="s">
        <v>140</v>
      </c>
      <c r="C157" s="608">
        <f>SUM(C149+C156)</f>
        <v>18484</v>
      </c>
      <c r="D157" s="608">
        <f>SUM(D149+D156)</f>
        <v>16124</v>
      </c>
      <c r="E157" s="609">
        <f t="shared" si="17"/>
        <v>-2360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3.0287719298245612</v>
      </c>
      <c r="D161" s="612">
        <f t="shared" si="18"/>
        <v>3.167424931756142</v>
      </c>
      <c r="E161" s="613">
        <f t="shared" ref="E161:E169" si="19">D161-C161</f>
        <v>0.13865300193158081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4.0548007246376816</v>
      </c>
      <c r="D162" s="612">
        <f t="shared" si="18"/>
        <v>4.1915767847971237</v>
      </c>
      <c r="E162" s="613">
        <f t="shared" si="19"/>
        <v>0.1367760601594421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3.5956552207428172</v>
      </c>
      <c r="D163" s="612">
        <f t="shared" si="18"/>
        <v>3.5019762845849804</v>
      </c>
      <c r="E163" s="613">
        <f t="shared" si="19"/>
        <v>-9.3678936157836734E-2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3.5956552207428172</v>
      </c>
      <c r="D164" s="612">
        <f t="shared" si="18"/>
        <v>3.5019762845849804</v>
      </c>
      <c r="E164" s="613">
        <f t="shared" si="19"/>
        <v>-9.3678936157836734E-2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2.2702702702702702</v>
      </c>
      <c r="D166" s="612">
        <f t="shared" si="18"/>
        <v>2.6</v>
      </c>
      <c r="E166" s="613">
        <f t="shared" si="19"/>
        <v>0.32972972972972991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2.704225352112676</v>
      </c>
      <c r="D167" s="612">
        <f t="shared" si="18"/>
        <v>3.5254237288135593</v>
      </c>
      <c r="E167" s="613">
        <f t="shared" si="19"/>
        <v>0.82119837670088325</v>
      </c>
    </row>
    <row r="168" spans="1:5" s="421" customFormat="1" x14ac:dyDescent="0.2">
      <c r="A168" s="588"/>
      <c r="B168" s="592" t="s">
        <v>809</v>
      </c>
      <c r="C168" s="614">
        <f t="shared" si="18"/>
        <v>3.8583877995642704</v>
      </c>
      <c r="D168" s="614">
        <f t="shared" si="18"/>
        <v>3.9118193069306932</v>
      </c>
      <c r="E168" s="615">
        <f t="shared" si="19"/>
        <v>5.3431507366422881E-2</v>
      </c>
    </row>
    <row r="169" spans="1:5" s="421" customFormat="1" x14ac:dyDescent="0.2">
      <c r="A169" s="588"/>
      <c r="B169" s="592" t="s">
        <v>743</v>
      </c>
      <c r="C169" s="614">
        <f t="shared" si="18"/>
        <v>3.6264469295664115</v>
      </c>
      <c r="D169" s="614">
        <f t="shared" si="18"/>
        <v>3.7229277303163242</v>
      </c>
      <c r="E169" s="615">
        <f t="shared" si="19"/>
        <v>9.6480800749912721E-2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1.0543</v>
      </c>
      <c r="D173" s="617">
        <f t="shared" si="20"/>
        <v>0.9575999999999999</v>
      </c>
      <c r="E173" s="618">
        <f t="shared" ref="E173:E181" si="21">D173-C173</f>
        <v>-9.6700000000000119E-2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1.1484000000000001</v>
      </c>
      <c r="D174" s="617">
        <f t="shared" si="20"/>
        <v>1.2448999999999999</v>
      </c>
      <c r="E174" s="618">
        <f t="shared" si="21"/>
        <v>9.6499999999999808E-2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0.82999999999999985</v>
      </c>
      <c r="D175" s="617">
        <f t="shared" si="20"/>
        <v>0.89239999999999997</v>
      </c>
      <c r="E175" s="618">
        <f t="shared" si="21"/>
        <v>6.2400000000000122E-2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0.82999999999999985</v>
      </c>
      <c r="D176" s="617">
        <f t="shared" si="20"/>
        <v>0.89239999999999997</v>
      </c>
      <c r="E176" s="618">
        <f t="shared" si="21"/>
        <v>6.2400000000000122E-2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0.54179999999999995</v>
      </c>
      <c r="D178" s="617">
        <f t="shared" si="20"/>
        <v>1.1019000000000001</v>
      </c>
      <c r="E178" s="618">
        <f t="shared" si="21"/>
        <v>0.56010000000000015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0.95209999999999995</v>
      </c>
      <c r="D179" s="617">
        <f t="shared" si="20"/>
        <v>0.89780000000000004</v>
      </c>
      <c r="E179" s="618">
        <f t="shared" si="21"/>
        <v>-5.4299999999999904E-2</v>
      </c>
    </row>
    <row r="180" spans="1:5" s="421" customFormat="1" x14ac:dyDescent="0.2">
      <c r="A180" s="588"/>
      <c r="B180" s="592" t="s">
        <v>811</v>
      </c>
      <c r="C180" s="619">
        <f t="shared" si="20"/>
        <v>1.0185522331154684</v>
      </c>
      <c r="D180" s="619">
        <f t="shared" si="20"/>
        <v>1.1060471225247523</v>
      </c>
      <c r="E180" s="620">
        <f t="shared" si="21"/>
        <v>8.749488940928396E-2</v>
      </c>
    </row>
    <row r="181" spans="1:5" s="421" customFormat="1" x14ac:dyDescent="0.2">
      <c r="A181" s="588"/>
      <c r="B181" s="592" t="s">
        <v>722</v>
      </c>
      <c r="C181" s="619">
        <f t="shared" si="20"/>
        <v>1.0285464587011968</v>
      </c>
      <c r="D181" s="619">
        <f t="shared" si="20"/>
        <v>1.0683783652736087</v>
      </c>
      <c r="E181" s="620">
        <f t="shared" si="21"/>
        <v>3.9831906572411979E-2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85690455</v>
      </c>
      <c r="D185" s="589">
        <v>81728750</v>
      </c>
      <c r="E185" s="590">
        <f>D185-C185</f>
        <v>-3961705</v>
      </c>
    </row>
    <row r="186" spans="1:5" s="421" customFormat="1" ht="25.5" x14ac:dyDescent="0.2">
      <c r="A186" s="588">
        <v>2</v>
      </c>
      <c r="B186" s="587" t="s">
        <v>814</v>
      </c>
      <c r="C186" s="589">
        <v>49706680</v>
      </c>
      <c r="D186" s="589">
        <v>47019920</v>
      </c>
      <c r="E186" s="590">
        <f>D186-C186</f>
        <v>-2686760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35983775</v>
      </c>
      <c r="D188" s="622">
        <f>+D185-D186</f>
        <v>34708830</v>
      </c>
      <c r="E188" s="590">
        <f t="shared" ref="E188:E197" si="22">D188-C188</f>
        <v>-1274945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0.41992745866502867</v>
      </c>
      <c r="D189" s="623">
        <f>IF(D185=0,0,+D188/D185)</f>
        <v>0.42468323570347033</v>
      </c>
      <c r="E189" s="599">
        <f t="shared" si="22"/>
        <v>4.7557770384416553E-3</v>
      </c>
    </row>
    <row r="190" spans="1:5" s="421" customFormat="1" x14ac:dyDescent="0.2">
      <c r="A190" s="588">
        <v>5</v>
      </c>
      <c r="B190" s="587" t="s">
        <v>761</v>
      </c>
      <c r="C190" s="589">
        <v>3136868</v>
      </c>
      <c r="D190" s="589">
        <v>3866194</v>
      </c>
      <c r="E190" s="622">
        <f t="shared" si="22"/>
        <v>729326</v>
      </c>
    </row>
    <row r="191" spans="1:5" s="421" customFormat="1" x14ac:dyDescent="0.2">
      <c r="A191" s="588">
        <v>6</v>
      </c>
      <c r="B191" s="587" t="s">
        <v>747</v>
      </c>
      <c r="C191" s="589">
        <v>52012</v>
      </c>
      <c r="D191" s="589">
        <v>1896369</v>
      </c>
      <c r="E191" s="622">
        <f t="shared" si="22"/>
        <v>1844357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710098</v>
      </c>
      <c r="D193" s="589">
        <v>703850</v>
      </c>
      <c r="E193" s="622">
        <f t="shared" si="22"/>
        <v>-6248</v>
      </c>
    </row>
    <row r="194" spans="1:5" s="421" customFormat="1" x14ac:dyDescent="0.2">
      <c r="A194" s="588">
        <v>9</v>
      </c>
      <c r="B194" s="587" t="s">
        <v>817</v>
      </c>
      <c r="C194" s="589">
        <v>3462360</v>
      </c>
      <c r="D194" s="589">
        <v>3021107</v>
      </c>
      <c r="E194" s="622">
        <f t="shared" si="22"/>
        <v>-441253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4172458</v>
      </c>
      <c r="D195" s="589">
        <f>+D193+D194</f>
        <v>3724957</v>
      </c>
      <c r="E195" s="625">
        <f t="shared" si="22"/>
        <v>-447501</v>
      </c>
    </row>
    <row r="196" spans="1:5" s="421" customFormat="1" x14ac:dyDescent="0.2">
      <c r="A196" s="588">
        <v>11</v>
      </c>
      <c r="B196" s="587" t="s">
        <v>819</v>
      </c>
      <c r="C196" s="589">
        <v>6224434</v>
      </c>
      <c r="D196" s="589">
        <v>4807000</v>
      </c>
      <c r="E196" s="622">
        <f t="shared" si="22"/>
        <v>-1417434</v>
      </c>
    </row>
    <row r="197" spans="1:5" s="421" customFormat="1" x14ac:dyDescent="0.2">
      <c r="A197" s="588">
        <v>12</v>
      </c>
      <c r="B197" s="587" t="s">
        <v>709</v>
      </c>
      <c r="C197" s="589">
        <v>115241429</v>
      </c>
      <c r="D197" s="589">
        <v>110624592</v>
      </c>
      <c r="E197" s="622">
        <f t="shared" si="22"/>
        <v>-4616837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1502.3775000000001</v>
      </c>
      <c r="D203" s="629">
        <v>1052.4023999999999</v>
      </c>
      <c r="E203" s="630">
        <f t="shared" ref="E203:E211" si="23">D203-C203</f>
        <v>-449.97510000000011</v>
      </c>
    </row>
    <row r="204" spans="1:5" s="421" customFormat="1" x14ac:dyDescent="0.2">
      <c r="A204" s="588">
        <v>2</v>
      </c>
      <c r="B204" s="587" t="s">
        <v>634</v>
      </c>
      <c r="C204" s="629">
        <v>2535.6672000000003</v>
      </c>
      <c r="D204" s="629">
        <v>2423.8202999999999</v>
      </c>
      <c r="E204" s="630">
        <f t="shared" si="23"/>
        <v>-111.84690000000046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1184.4099999999999</v>
      </c>
      <c r="D205" s="629">
        <f>D206+D207</f>
        <v>1128.886</v>
      </c>
      <c r="E205" s="630">
        <f t="shared" si="23"/>
        <v>-55.523999999999887</v>
      </c>
    </row>
    <row r="206" spans="1:5" s="421" customFormat="1" x14ac:dyDescent="0.2">
      <c r="A206" s="588">
        <v>4</v>
      </c>
      <c r="B206" s="587" t="s">
        <v>115</v>
      </c>
      <c r="C206" s="629">
        <v>1184.4099999999999</v>
      </c>
      <c r="D206" s="629">
        <v>1128.886</v>
      </c>
      <c r="E206" s="630">
        <f t="shared" si="23"/>
        <v>-55.523999999999887</v>
      </c>
    </row>
    <row r="207" spans="1:5" s="421" customFormat="1" x14ac:dyDescent="0.2">
      <c r="A207" s="588">
        <v>5</v>
      </c>
      <c r="B207" s="587" t="s">
        <v>742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20.046599999999998</v>
      </c>
      <c r="D208" s="629">
        <v>22.038000000000004</v>
      </c>
      <c r="E208" s="630">
        <f t="shared" si="23"/>
        <v>1.9914000000000058</v>
      </c>
    </row>
    <row r="209" spans="1:5" s="421" customFormat="1" x14ac:dyDescent="0.2">
      <c r="A209" s="588">
        <v>7</v>
      </c>
      <c r="B209" s="587" t="s">
        <v>757</v>
      </c>
      <c r="C209" s="629">
        <v>67.599099999999993</v>
      </c>
      <c r="D209" s="629">
        <v>52.970200000000006</v>
      </c>
      <c r="E209" s="630">
        <f t="shared" si="23"/>
        <v>-14.628899999999987</v>
      </c>
    </row>
    <row r="210" spans="1:5" s="421" customFormat="1" x14ac:dyDescent="0.2">
      <c r="A210" s="588"/>
      <c r="B210" s="592" t="s">
        <v>822</v>
      </c>
      <c r="C210" s="631">
        <f>C204+C205+C208</f>
        <v>3740.1238000000003</v>
      </c>
      <c r="D210" s="631">
        <f>D204+D205+D208</f>
        <v>3574.7442999999998</v>
      </c>
      <c r="E210" s="632">
        <f t="shared" si="23"/>
        <v>-165.37950000000046</v>
      </c>
    </row>
    <row r="211" spans="1:5" s="421" customFormat="1" x14ac:dyDescent="0.2">
      <c r="A211" s="588"/>
      <c r="B211" s="592" t="s">
        <v>723</v>
      </c>
      <c r="C211" s="631">
        <f>C210+C203</f>
        <v>5242.5012999999999</v>
      </c>
      <c r="D211" s="631">
        <f>D210+D203</f>
        <v>4627.1466999999993</v>
      </c>
      <c r="E211" s="632">
        <f t="shared" si="23"/>
        <v>-615.35460000000057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6378.5750278872802</v>
      </c>
      <c r="D215" s="633">
        <f>IF(D14*D137=0,0,D25/D14*D137)</f>
        <v>4656.9939114048848</v>
      </c>
      <c r="E215" s="633">
        <f t="shared" ref="E215:E223" si="24">D215-C215</f>
        <v>-1721.5811164823954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3719.9597411926252</v>
      </c>
      <c r="D216" s="633">
        <f>IF(D15*D138=0,0,D26/D15*D138)</f>
        <v>3207.3435308977846</v>
      </c>
      <c r="E216" s="633">
        <f t="shared" si="24"/>
        <v>-512.61621029484058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3033.5935301168756</v>
      </c>
      <c r="D217" s="633">
        <f>D218+D219</f>
        <v>2732.580045578291</v>
      </c>
      <c r="E217" s="633">
        <f t="shared" si="24"/>
        <v>-301.01348453858463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3033.5935301168756</v>
      </c>
      <c r="D218" s="633">
        <f t="shared" si="25"/>
        <v>2732.580045578291</v>
      </c>
      <c r="E218" s="633">
        <f t="shared" si="24"/>
        <v>-301.01348453858463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137.62307685174022</v>
      </c>
      <c r="D220" s="633">
        <f t="shared" si="25"/>
        <v>88.047618618807917</v>
      </c>
      <c r="E220" s="633">
        <f t="shared" si="24"/>
        <v>-49.575458232932306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262.05741160878972</v>
      </c>
      <c r="D221" s="633">
        <f t="shared" si="25"/>
        <v>214.74482934052432</v>
      </c>
      <c r="E221" s="633">
        <f t="shared" si="24"/>
        <v>-47.312582268265402</v>
      </c>
    </row>
    <row r="222" spans="1:5" s="421" customFormat="1" x14ac:dyDescent="0.2">
      <c r="A222" s="588"/>
      <c r="B222" s="592" t="s">
        <v>824</v>
      </c>
      <c r="C222" s="634">
        <f>C216+C218+C219+C220</f>
        <v>6891.1763481612406</v>
      </c>
      <c r="D222" s="634">
        <f>D216+D218+D219+D220</f>
        <v>6027.971195094884</v>
      </c>
      <c r="E222" s="634">
        <f t="shared" si="24"/>
        <v>-863.20515306635662</v>
      </c>
    </row>
    <row r="223" spans="1:5" s="421" customFormat="1" x14ac:dyDescent="0.2">
      <c r="A223" s="588"/>
      <c r="B223" s="592" t="s">
        <v>825</v>
      </c>
      <c r="C223" s="634">
        <f>C215+C222</f>
        <v>13269.75137604852</v>
      </c>
      <c r="D223" s="634">
        <f>D215+D222</f>
        <v>10684.965106499769</v>
      </c>
      <c r="E223" s="634">
        <f t="shared" si="24"/>
        <v>-2584.7862695487511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5275.2134533431172</v>
      </c>
      <c r="D227" s="636">
        <f t="shared" si="26"/>
        <v>8333.5309763641744</v>
      </c>
      <c r="E227" s="636">
        <f t="shared" ref="E227:E235" si="27">D227-C227</f>
        <v>3058.3175230210572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6704.507594687504</v>
      </c>
      <c r="D228" s="636">
        <f t="shared" si="26"/>
        <v>7219.6565067138026</v>
      </c>
      <c r="E228" s="636">
        <f t="shared" si="27"/>
        <v>515.1489120262986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5680.9153924738903</v>
      </c>
      <c r="D229" s="636">
        <f t="shared" si="26"/>
        <v>4260.823502107387</v>
      </c>
      <c r="E229" s="636">
        <f t="shared" si="27"/>
        <v>-1420.0918903665033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5680.9153924738903</v>
      </c>
      <c r="D230" s="636">
        <f t="shared" si="26"/>
        <v>4260.823502107387</v>
      </c>
      <c r="E230" s="636">
        <f t="shared" si="27"/>
        <v>-1420.0918903665033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4458.4617840431802</v>
      </c>
      <c r="D232" s="636">
        <f t="shared" si="26"/>
        <v>4300.9347490697874</v>
      </c>
      <c r="E232" s="636">
        <f t="shared" si="27"/>
        <v>-157.5270349733928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741.53354112702687</v>
      </c>
      <c r="D233" s="636">
        <f t="shared" si="26"/>
        <v>733.75218519091857</v>
      </c>
      <c r="E233" s="636">
        <f t="shared" si="27"/>
        <v>-7.781355936108298</v>
      </c>
    </row>
    <row r="234" spans="1:5" x14ac:dyDescent="0.2">
      <c r="A234" s="588"/>
      <c r="B234" s="592" t="s">
        <v>827</v>
      </c>
      <c r="C234" s="637">
        <f t="shared" si="26"/>
        <v>6368.3212839104408</v>
      </c>
      <c r="D234" s="637">
        <f t="shared" si="26"/>
        <v>6267.2784735959995</v>
      </c>
      <c r="E234" s="637">
        <f t="shared" si="27"/>
        <v>-101.04281031444134</v>
      </c>
    </row>
    <row r="235" spans="1:5" s="421" customFormat="1" x14ac:dyDescent="0.2">
      <c r="A235" s="588"/>
      <c r="B235" s="592" t="s">
        <v>828</v>
      </c>
      <c r="C235" s="637">
        <f t="shared" si="26"/>
        <v>6055.0623039425855</v>
      </c>
      <c r="D235" s="637">
        <f t="shared" si="26"/>
        <v>6737.2287980409192</v>
      </c>
      <c r="E235" s="637">
        <f t="shared" si="27"/>
        <v>682.16649409833371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6550.2589241846481</v>
      </c>
      <c r="D239" s="636">
        <f t="shared" si="28"/>
        <v>8213.3867313691935</v>
      </c>
      <c r="E239" s="638">
        <f t="shared" ref="E239:E247" si="29">D239-C239</f>
        <v>1663.1278071845454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6002.7851249919513</v>
      </c>
      <c r="D240" s="636">
        <f t="shared" si="28"/>
        <v>7043.1089723889991</v>
      </c>
      <c r="E240" s="638">
        <f t="shared" si="29"/>
        <v>1040.3238473970478</v>
      </c>
    </row>
    <row r="241" spans="1:5" x14ac:dyDescent="0.2">
      <c r="A241" s="588">
        <v>3</v>
      </c>
      <c r="B241" s="587" t="s">
        <v>776</v>
      </c>
      <c r="C241" s="636">
        <f t="shared" si="28"/>
        <v>4051.7290394954302</v>
      </c>
      <c r="D241" s="636">
        <f t="shared" si="28"/>
        <v>4223.9681207791728</v>
      </c>
      <c r="E241" s="638">
        <f t="shared" si="29"/>
        <v>172.23908128374251</v>
      </c>
    </row>
    <row r="242" spans="1:5" x14ac:dyDescent="0.2">
      <c r="A242" s="588">
        <v>4</v>
      </c>
      <c r="B242" s="587" t="s">
        <v>115</v>
      </c>
      <c r="C242" s="636">
        <f t="shared" si="28"/>
        <v>4051.7290394954302</v>
      </c>
      <c r="D242" s="636">
        <f t="shared" si="28"/>
        <v>4223.9681207791728</v>
      </c>
      <c r="E242" s="638">
        <f t="shared" si="29"/>
        <v>172.23908128374251</v>
      </c>
    </row>
    <row r="243" spans="1:5" x14ac:dyDescent="0.2">
      <c r="A243" s="588">
        <v>5</v>
      </c>
      <c r="B243" s="587" t="s">
        <v>742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3475.5145063009963</v>
      </c>
      <c r="D244" s="636">
        <f t="shared" si="28"/>
        <v>3980.9821719031252</v>
      </c>
      <c r="E244" s="638">
        <f t="shared" si="29"/>
        <v>505.46766560212882</v>
      </c>
    </row>
    <row r="245" spans="1:5" x14ac:dyDescent="0.2">
      <c r="A245" s="588">
        <v>7</v>
      </c>
      <c r="B245" s="587" t="s">
        <v>757</v>
      </c>
      <c r="C245" s="636">
        <f t="shared" si="28"/>
        <v>1607.7889093592344</v>
      </c>
      <c r="D245" s="636">
        <f t="shared" si="28"/>
        <v>989.22521511865955</v>
      </c>
      <c r="E245" s="638">
        <f t="shared" si="29"/>
        <v>-618.56369424057482</v>
      </c>
    </row>
    <row r="246" spans="1:5" ht="25.5" x14ac:dyDescent="0.2">
      <c r="A246" s="588"/>
      <c r="B246" s="592" t="s">
        <v>830</v>
      </c>
      <c r="C246" s="637">
        <f t="shared" si="28"/>
        <v>5093.4306752091161</v>
      </c>
      <c r="D246" s="637">
        <f t="shared" si="28"/>
        <v>5720.4183437471156</v>
      </c>
      <c r="E246" s="639">
        <f t="shared" si="29"/>
        <v>626.98766853799953</v>
      </c>
    </row>
    <row r="247" spans="1:5" x14ac:dyDescent="0.2">
      <c r="A247" s="588"/>
      <c r="B247" s="592" t="s">
        <v>831</v>
      </c>
      <c r="C247" s="637">
        <f t="shared" si="28"/>
        <v>5793.7066657305913</v>
      </c>
      <c r="D247" s="637">
        <f t="shared" si="28"/>
        <v>6806.9673859539589</v>
      </c>
      <c r="E247" s="639">
        <f t="shared" si="29"/>
        <v>1013.2607202233676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5918711.1178574041</v>
      </c>
      <c r="D251" s="622">
        <f>((IF((IF(D15=0,0,D26/D15)*D138)=0,0,D59/(IF(D15=0,0,D26/D15)*D138)))-(IF((IF(D17=0,0,D28/D17)*D140)=0,0,D61/(IF(D17=0,0,D28/D17)*D140))))*(IF(D17=0,0,D28/D17)*D140)</f>
        <v>7703528.0367836012</v>
      </c>
      <c r="E251" s="622">
        <f>D251-C251</f>
        <v>1784816.9189261971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1554833.011643176</v>
      </c>
      <c r="D253" s="622">
        <f>IF(D233=0,0,(D228-D233)*D209+IF(D221=0,0,(D240-D245)*D221))</f>
        <v>1643599.8833943228</v>
      </c>
      <c r="E253" s="622">
        <f>D253-C253</f>
        <v>88766.871751146857</v>
      </c>
    </row>
    <row r="254" spans="1:5" ht="15" customHeight="1" x14ac:dyDescent="0.2">
      <c r="A254" s="588"/>
      <c r="B254" s="592" t="s">
        <v>758</v>
      </c>
      <c r="C254" s="640">
        <f>+C251+C252+C253</f>
        <v>7473544.12950058</v>
      </c>
      <c r="D254" s="640">
        <f>+D251+D252+D253</f>
        <v>9347127.9201779235</v>
      </c>
      <c r="E254" s="640">
        <f>D254-C254</f>
        <v>1873583.7906773435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212323692</v>
      </c>
      <c r="D258" s="625">
        <f>+D44</f>
        <v>216749399</v>
      </c>
      <c r="E258" s="622">
        <f t="shared" ref="E258:E271" si="30">D258-C258</f>
        <v>4425707</v>
      </c>
    </row>
    <row r="259" spans="1:5" x14ac:dyDescent="0.2">
      <c r="A259" s="588">
        <v>2</v>
      </c>
      <c r="B259" s="587" t="s">
        <v>741</v>
      </c>
      <c r="C259" s="622">
        <f>+(C43-C76)</f>
        <v>67715198</v>
      </c>
      <c r="D259" s="625">
        <f>+(D43-D76)</f>
        <v>78134214</v>
      </c>
      <c r="E259" s="622">
        <f t="shared" si="30"/>
        <v>10419016</v>
      </c>
    </row>
    <row r="260" spans="1:5" x14ac:dyDescent="0.2">
      <c r="A260" s="588">
        <v>3</v>
      </c>
      <c r="B260" s="587" t="s">
        <v>745</v>
      </c>
      <c r="C260" s="622">
        <f>C195</f>
        <v>4172458</v>
      </c>
      <c r="D260" s="622">
        <f>D195</f>
        <v>3724957</v>
      </c>
      <c r="E260" s="622">
        <f t="shared" si="30"/>
        <v>-447501</v>
      </c>
    </row>
    <row r="261" spans="1:5" x14ac:dyDescent="0.2">
      <c r="A261" s="588">
        <v>4</v>
      </c>
      <c r="B261" s="587" t="s">
        <v>746</v>
      </c>
      <c r="C261" s="622">
        <f>C188</f>
        <v>35983775</v>
      </c>
      <c r="D261" s="622">
        <f>D188</f>
        <v>34708830</v>
      </c>
      <c r="E261" s="622">
        <f t="shared" si="30"/>
        <v>-1274945</v>
      </c>
    </row>
    <row r="262" spans="1:5" x14ac:dyDescent="0.2">
      <c r="A262" s="588">
        <v>5</v>
      </c>
      <c r="B262" s="587" t="s">
        <v>747</v>
      </c>
      <c r="C262" s="622">
        <f>C191</f>
        <v>52012</v>
      </c>
      <c r="D262" s="622">
        <f>D191</f>
        <v>1896369</v>
      </c>
      <c r="E262" s="622">
        <f t="shared" si="30"/>
        <v>1844357</v>
      </c>
    </row>
    <row r="263" spans="1:5" x14ac:dyDescent="0.2">
      <c r="A263" s="588">
        <v>6</v>
      </c>
      <c r="B263" s="587" t="s">
        <v>748</v>
      </c>
      <c r="C263" s="622">
        <f>+C259+C260+C261+C262</f>
        <v>107923443</v>
      </c>
      <c r="D263" s="622">
        <f>+D259+D260+D261+D262</f>
        <v>118464370</v>
      </c>
      <c r="E263" s="622">
        <f t="shared" si="30"/>
        <v>10540927</v>
      </c>
    </row>
    <row r="264" spans="1:5" x14ac:dyDescent="0.2">
      <c r="A264" s="588">
        <v>7</v>
      </c>
      <c r="B264" s="587" t="s">
        <v>653</v>
      </c>
      <c r="C264" s="622">
        <f>+C258-C263</f>
        <v>104400249</v>
      </c>
      <c r="D264" s="622">
        <f>+D258-D263</f>
        <v>98285029</v>
      </c>
      <c r="E264" s="622">
        <f t="shared" si="30"/>
        <v>-6115220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104400249</v>
      </c>
      <c r="D266" s="622">
        <f>+D264+D265</f>
        <v>98285029</v>
      </c>
      <c r="E266" s="641">
        <f t="shared" si="30"/>
        <v>-6115220</v>
      </c>
    </row>
    <row r="267" spans="1:5" x14ac:dyDescent="0.2">
      <c r="A267" s="588">
        <v>10</v>
      </c>
      <c r="B267" s="587" t="s">
        <v>836</v>
      </c>
      <c r="C267" s="642">
        <f>IF(C258=0,0,C266/C258)</f>
        <v>0.49170324807652649</v>
      </c>
      <c r="D267" s="642">
        <f>IF(D258=0,0,D266/D258)</f>
        <v>0.45345006469891064</v>
      </c>
      <c r="E267" s="643">
        <f t="shared" si="30"/>
        <v>-3.8253183377615851E-2</v>
      </c>
    </row>
    <row r="268" spans="1:5" x14ac:dyDescent="0.2">
      <c r="A268" s="588">
        <v>11</v>
      </c>
      <c r="B268" s="587" t="s">
        <v>715</v>
      </c>
      <c r="C268" s="622">
        <f>+C260*C267</f>
        <v>2051611.1510628876</v>
      </c>
      <c r="D268" s="644">
        <f>+D260*D267</f>
        <v>1689081.99265066</v>
      </c>
      <c r="E268" s="622">
        <f t="shared" si="30"/>
        <v>-362529.15841222764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2575469.3078039885</v>
      </c>
      <c r="D269" s="644">
        <f>((D17+D18+D28+D29)*D267)-(D50+D51+D61+D62)</f>
        <v>3557803.542654492</v>
      </c>
      <c r="E269" s="622">
        <f t="shared" si="30"/>
        <v>982334.2348505035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4627080.4588668756</v>
      </c>
      <c r="D271" s="622">
        <f>+D268+D269+D270</f>
        <v>5246885.5353051517</v>
      </c>
      <c r="E271" s="625">
        <f t="shared" si="30"/>
        <v>619805.0764382761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0.50648362087614152</v>
      </c>
      <c r="D276" s="623">
        <f t="shared" si="31"/>
        <v>0.56202891650114373</v>
      </c>
      <c r="E276" s="650">
        <f t="shared" ref="E276:E284" si="32">D276-C276</f>
        <v>5.5545295625002211E-2</v>
      </c>
    </row>
    <row r="277" spans="1:5" x14ac:dyDescent="0.2">
      <c r="A277" s="588">
        <v>2</v>
      </c>
      <c r="B277" s="587" t="s">
        <v>634</v>
      </c>
      <c r="C277" s="623">
        <f t="shared" si="31"/>
        <v>0.5621836179447699</v>
      </c>
      <c r="D277" s="623">
        <f t="shared" si="31"/>
        <v>0.51523248418895529</v>
      </c>
      <c r="E277" s="650">
        <f t="shared" si="32"/>
        <v>-4.6951133755814611E-2</v>
      </c>
    </row>
    <row r="278" spans="1:5" x14ac:dyDescent="0.2">
      <c r="A278" s="588">
        <v>3</v>
      </c>
      <c r="B278" s="587" t="s">
        <v>776</v>
      </c>
      <c r="C278" s="623">
        <f t="shared" si="31"/>
        <v>0.47888680732923466</v>
      </c>
      <c r="D278" s="623">
        <f t="shared" si="31"/>
        <v>0.34618312759719178</v>
      </c>
      <c r="E278" s="650">
        <f t="shared" si="32"/>
        <v>-0.13270367973204289</v>
      </c>
    </row>
    <row r="279" spans="1:5" x14ac:dyDescent="0.2">
      <c r="A279" s="588">
        <v>4</v>
      </c>
      <c r="B279" s="587" t="s">
        <v>115</v>
      </c>
      <c r="C279" s="623">
        <f t="shared" si="31"/>
        <v>0.47888680732923466</v>
      </c>
      <c r="D279" s="623">
        <f t="shared" si="31"/>
        <v>0.34618312759719178</v>
      </c>
      <c r="E279" s="650">
        <f t="shared" si="32"/>
        <v>-0.13270367973204289</v>
      </c>
    </row>
    <row r="280" spans="1:5" x14ac:dyDescent="0.2">
      <c r="A280" s="588">
        <v>5</v>
      </c>
      <c r="B280" s="587" t="s">
        <v>742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0.2762872766953226</v>
      </c>
      <c r="D281" s="623">
        <f t="shared" si="31"/>
        <v>0.42676656250844219</v>
      </c>
      <c r="E281" s="650">
        <f t="shared" si="32"/>
        <v>0.15047928581311959</v>
      </c>
    </row>
    <row r="282" spans="1:5" x14ac:dyDescent="0.2">
      <c r="A282" s="588">
        <v>7</v>
      </c>
      <c r="B282" s="587" t="s">
        <v>757</v>
      </c>
      <c r="C282" s="623">
        <f t="shared" si="31"/>
        <v>5.063466313256712E-2</v>
      </c>
      <c r="D282" s="623">
        <f t="shared" si="31"/>
        <v>4.5352444985350043E-2</v>
      </c>
      <c r="E282" s="650">
        <f t="shared" si="32"/>
        <v>-5.2822181472170771E-3</v>
      </c>
    </row>
    <row r="283" spans="1:5" ht="29.25" customHeight="1" x14ac:dyDescent="0.2">
      <c r="A283" s="588"/>
      <c r="B283" s="592" t="s">
        <v>843</v>
      </c>
      <c r="C283" s="651">
        <f t="shared" si="31"/>
        <v>0.53387767017454268</v>
      </c>
      <c r="D283" s="651">
        <f t="shared" si="31"/>
        <v>0.46597136208228812</v>
      </c>
      <c r="E283" s="652">
        <f t="shared" si="32"/>
        <v>-6.7906308092254564E-2</v>
      </c>
    </row>
    <row r="284" spans="1:5" x14ac:dyDescent="0.2">
      <c r="A284" s="588"/>
      <c r="B284" s="592" t="s">
        <v>844</v>
      </c>
      <c r="C284" s="651">
        <f t="shared" si="31"/>
        <v>0.52676440185503171</v>
      </c>
      <c r="D284" s="651">
        <f t="shared" si="31"/>
        <v>0.48950825911381396</v>
      </c>
      <c r="E284" s="652">
        <f t="shared" si="32"/>
        <v>-3.7256142741217746E-2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0.59651261003297418</v>
      </c>
      <c r="D287" s="623">
        <f t="shared" si="33"/>
        <v>0.57845255210406055</v>
      </c>
      <c r="E287" s="650">
        <f t="shared" ref="E287:E295" si="34">D287-C287</f>
        <v>-1.8060057928913631E-2</v>
      </c>
    </row>
    <row r="288" spans="1:5" x14ac:dyDescent="0.2">
      <c r="A288" s="588">
        <v>2</v>
      </c>
      <c r="B288" s="587" t="s">
        <v>634</v>
      </c>
      <c r="C288" s="623">
        <f t="shared" si="33"/>
        <v>0.43829943708166597</v>
      </c>
      <c r="D288" s="623">
        <f t="shared" si="33"/>
        <v>0.40375381788860371</v>
      </c>
      <c r="E288" s="650">
        <f t="shared" si="34"/>
        <v>-3.454561919306226E-2</v>
      </c>
    </row>
    <row r="289" spans="1:5" x14ac:dyDescent="0.2">
      <c r="A289" s="588">
        <v>3</v>
      </c>
      <c r="B289" s="587" t="s">
        <v>776</v>
      </c>
      <c r="C289" s="623">
        <f t="shared" si="33"/>
        <v>0.41150664583303831</v>
      </c>
      <c r="D289" s="623">
        <f t="shared" si="33"/>
        <v>0.38456824722837762</v>
      </c>
      <c r="E289" s="650">
        <f t="shared" si="34"/>
        <v>-2.6938398604660685E-2</v>
      </c>
    </row>
    <row r="290" spans="1:5" x14ac:dyDescent="0.2">
      <c r="A290" s="588">
        <v>4</v>
      </c>
      <c r="B290" s="587" t="s">
        <v>115</v>
      </c>
      <c r="C290" s="623">
        <f t="shared" si="33"/>
        <v>0.41150664583303831</v>
      </c>
      <c r="D290" s="623">
        <f t="shared" si="33"/>
        <v>0.38456824722837762</v>
      </c>
      <c r="E290" s="650">
        <f t="shared" si="34"/>
        <v>-2.6938398604660685E-2</v>
      </c>
    </row>
    <row r="291" spans="1:5" x14ac:dyDescent="0.2">
      <c r="A291" s="588">
        <v>5</v>
      </c>
      <c r="B291" s="587" t="s">
        <v>742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0.39751721593090689</v>
      </c>
      <c r="D292" s="623">
        <f t="shared" si="33"/>
        <v>0.35848879070528555</v>
      </c>
      <c r="E292" s="650">
        <f t="shared" si="34"/>
        <v>-3.9028425225621333E-2</v>
      </c>
    </row>
    <row r="293" spans="1:5" x14ac:dyDescent="0.2">
      <c r="A293" s="588">
        <v>7</v>
      </c>
      <c r="B293" s="587" t="s">
        <v>757</v>
      </c>
      <c r="C293" s="623">
        <f t="shared" si="33"/>
        <v>0.1153091016173209</v>
      </c>
      <c r="D293" s="623">
        <f t="shared" si="33"/>
        <v>6.8103098944107182E-2</v>
      </c>
      <c r="E293" s="650">
        <f t="shared" si="34"/>
        <v>-4.7206002673213718E-2</v>
      </c>
    </row>
    <row r="294" spans="1:5" ht="29.25" customHeight="1" x14ac:dyDescent="0.2">
      <c r="A294" s="588"/>
      <c r="B294" s="592" t="s">
        <v>846</v>
      </c>
      <c r="C294" s="651">
        <f t="shared" si="33"/>
        <v>0.42794402156366834</v>
      </c>
      <c r="D294" s="651">
        <f t="shared" si="33"/>
        <v>0.39662148935519975</v>
      </c>
      <c r="E294" s="652">
        <f t="shared" si="34"/>
        <v>-3.132253220846859E-2</v>
      </c>
    </row>
    <row r="295" spans="1:5" x14ac:dyDescent="0.2">
      <c r="A295" s="588"/>
      <c r="B295" s="592" t="s">
        <v>847</v>
      </c>
      <c r="C295" s="651">
        <f t="shared" si="33"/>
        <v>0.50558986829589603</v>
      </c>
      <c r="D295" s="651">
        <f t="shared" si="33"/>
        <v>0.47517272131220883</v>
      </c>
      <c r="E295" s="652">
        <f t="shared" si="34"/>
        <v>-3.0417146983687193E-2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108624719</v>
      </c>
      <c r="D301" s="590">
        <f>+D48+D47+D50+D51+D52+D59+D58+D61+D62+D63</f>
        <v>103906355</v>
      </c>
      <c r="E301" s="590">
        <f>D301-C301</f>
        <v>-4718364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108624719</v>
      </c>
      <c r="D303" s="593">
        <f>+D301+D302</f>
        <v>103906355</v>
      </c>
      <c r="E303" s="593">
        <f>D303-C303</f>
        <v>-4718364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4780586</v>
      </c>
      <c r="D305" s="654">
        <v>742945</v>
      </c>
      <c r="E305" s="655">
        <f>D305-C305</f>
        <v>-4037641</v>
      </c>
    </row>
    <row r="306" spans="1:5" x14ac:dyDescent="0.2">
      <c r="A306" s="588">
        <v>4</v>
      </c>
      <c r="B306" s="592" t="s">
        <v>854</v>
      </c>
      <c r="C306" s="593">
        <f>+C303+C305+C194+C190-C191</f>
        <v>119952521</v>
      </c>
      <c r="D306" s="593">
        <f>+D303+D305</f>
        <v>104649300</v>
      </c>
      <c r="E306" s="656">
        <f>D306-C306</f>
        <v>-15303221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113405335</v>
      </c>
      <c r="D308" s="589">
        <v>104649330</v>
      </c>
      <c r="E308" s="590">
        <f>D308-C308</f>
        <v>-8756005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6547186</v>
      </c>
      <c r="D310" s="658">
        <f>D306-D308</f>
        <v>-30</v>
      </c>
      <c r="E310" s="656">
        <f>D310-C310</f>
        <v>-6547216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212323692</v>
      </c>
      <c r="D314" s="590">
        <f>+D14+D15+D16+D19+D25+D26+D27+D30</f>
        <v>216749399</v>
      </c>
      <c r="E314" s="590">
        <f>D314-C314</f>
        <v>4425707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212323692</v>
      </c>
      <c r="D316" s="657">
        <f>D314+D315</f>
        <v>216749399</v>
      </c>
      <c r="E316" s="593">
        <f>D316-C316</f>
        <v>4425707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212323722</v>
      </c>
      <c r="D318" s="589">
        <v>216749429</v>
      </c>
      <c r="E318" s="590">
        <f>D318-C318</f>
        <v>4425707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-30</v>
      </c>
      <c r="D320" s="657">
        <f>D316-D318</f>
        <v>-30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4172458</v>
      </c>
      <c r="D324" s="589">
        <f>+D193+D194</f>
        <v>3724957</v>
      </c>
      <c r="E324" s="590">
        <f>D324-C324</f>
        <v>-447501</v>
      </c>
    </row>
    <row r="325" spans="1:5" x14ac:dyDescent="0.2">
      <c r="A325" s="588">
        <v>2</v>
      </c>
      <c r="B325" s="587" t="s">
        <v>864</v>
      </c>
      <c r="C325" s="589">
        <v>75774</v>
      </c>
      <c r="D325" s="589">
        <v>119186</v>
      </c>
      <c r="E325" s="590">
        <f>D325-C325</f>
        <v>43412</v>
      </c>
    </row>
    <row r="326" spans="1:5" x14ac:dyDescent="0.2">
      <c r="A326" s="588"/>
      <c r="B326" s="592" t="s">
        <v>865</v>
      </c>
      <c r="C326" s="657">
        <f>C324+C325</f>
        <v>4248232</v>
      </c>
      <c r="D326" s="657">
        <f>D324+D325</f>
        <v>3844143</v>
      </c>
      <c r="E326" s="593">
        <f>D326-C326</f>
        <v>-404089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4248232</v>
      </c>
      <c r="D328" s="589">
        <v>3844143</v>
      </c>
      <c r="E328" s="590">
        <f>D328-C328</f>
        <v>-404089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15604585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33963600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13894334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13894334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222098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856999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48080032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63684617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66124165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55949118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30013739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30013739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977760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3119256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86940617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153064782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81728750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135020649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216749399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8770228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17499150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4809984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4809984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94784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38867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22403918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31174146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38249692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22589670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11542331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11542331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350516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212431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34482517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72732209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47019920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56886435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103906355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1099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1947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1265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1265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59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3232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4331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0.95760000000000001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1.2448999999999999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0.89239999999999997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0.89239999999999997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1.1019000000000001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0.89780000000000004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1.1060471225247523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1.0683783652736087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81728750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47019920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34708830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0.42468323570347033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3866194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1896369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703850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3021107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3724957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4807000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110624592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103906355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103906355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742945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104649300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104649330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-30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216749399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216749399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216749429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-30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3724957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119186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3844143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3844143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628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881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417</v>
      </c>
      <c r="D12" s="185">
        <v>380</v>
      </c>
      <c r="E12" s="185">
        <f>+D12-C12</f>
        <v>-37</v>
      </c>
      <c r="F12" s="77">
        <f>IF(C12=0,0,+E12/C12)</f>
        <v>-8.8729016786570747E-2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389</v>
      </c>
      <c r="D13" s="185">
        <v>360</v>
      </c>
      <c r="E13" s="185">
        <f>+D13-C13</f>
        <v>-29</v>
      </c>
      <c r="F13" s="77">
        <f>IF(C13=0,0,+E13/C13)</f>
        <v>-7.4550128534704371E-2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710098</v>
      </c>
      <c r="D15" s="76">
        <v>703850</v>
      </c>
      <c r="E15" s="76">
        <f>+D15-C15</f>
        <v>-6248</v>
      </c>
      <c r="F15" s="77">
        <f>IF(C15=0,0,+E15/C15)</f>
        <v>-8.7987855197451618E-3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1825.4447300771208</v>
      </c>
      <c r="D16" s="79">
        <f>IF(D13=0,0,+D15/+D13)</f>
        <v>1955.1388888888889</v>
      </c>
      <c r="E16" s="79">
        <f>+D16-C16</f>
        <v>129.69415881176815</v>
      </c>
      <c r="F16" s="80">
        <f>IF(C16=0,0,+E16/C16)</f>
        <v>7.1047978980053189E-2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0.57779800000000003</v>
      </c>
      <c r="D18" s="704">
        <v>0.52730500000000002</v>
      </c>
      <c r="E18" s="704">
        <f>+D18-C18</f>
        <v>-5.049300000000001E-2</v>
      </c>
      <c r="F18" s="77">
        <f>IF(C18=0,0,+E18/C18)</f>
        <v>-8.7388672165704978E-2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410293.20420400001</v>
      </c>
      <c r="D19" s="79">
        <f>+D15*D18</f>
        <v>371143.62424999999</v>
      </c>
      <c r="E19" s="79">
        <f>+D19-C19</f>
        <v>-39149.579954000015</v>
      </c>
      <c r="F19" s="80">
        <f>IF(C19=0,0,+E19/C19)</f>
        <v>-9.5418543502208811E-2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1054.7383141491002</v>
      </c>
      <c r="D20" s="79">
        <f>IF(D13=0,0,+D19/D13)</f>
        <v>1030.9545118055555</v>
      </c>
      <c r="E20" s="79">
        <f>+D20-C20</f>
        <v>-23.783802343544721</v>
      </c>
      <c r="F20" s="80">
        <f>IF(C20=0,0,+E20/C20)</f>
        <v>-2.2549481728775606E-2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205754</v>
      </c>
      <c r="D22" s="76">
        <v>195219</v>
      </c>
      <c r="E22" s="76">
        <f>+D22-C22</f>
        <v>-10535</v>
      </c>
      <c r="F22" s="77">
        <f>IF(C22=0,0,+E22/C22)</f>
        <v>-5.1201920740301526E-2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277713</v>
      </c>
      <c r="D23" s="185">
        <v>305980</v>
      </c>
      <c r="E23" s="185">
        <f>+D23-C23</f>
        <v>28267</v>
      </c>
      <c r="F23" s="77">
        <f>IF(C23=0,0,+E23/C23)</f>
        <v>0.10178493624713283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226631</v>
      </c>
      <c r="D24" s="185">
        <v>202651</v>
      </c>
      <c r="E24" s="185">
        <f>+D24-C24</f>
        <v>-23980</v>
      </c>
      <c r="F24" s="77">
        <f>IF(C24=0,0,+E24/C24)</f>
        <v>-0.10581076728249886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710098</v>
      </c>
      <c r="D25" s="79">
        <f>+D22+D23+D24</f>
        <v>703850</v>
      </c>
      <c r="E25" s="79">
        <f>+E22+E23+E24</f>
        <v>-6248</v>
      </c>
      <c r="F25" s="80">
        <f>IF(C25=0,0,+E25/C25)</f>
        <v>-8.7987855197451618E-3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322</v>
      </c>
      <c r="D27" s="185">
        <v>319</v>
      </c>
      <c r="E27" s="185">
        <f>+D27-C27</f>
        <v>-3</v>
      </c>
      <c r="F27" s="77">
        <f>IF(C27=0,0,+E27/C27)</f>
        <v>-9.316770186335404E-3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65</v>
      </c>
      <c r="D28" s="185">
        <v>95</v>
      </c>
      <c r="E28" s="185">
        <f>+D28-C28</f>
        <v>30</v>
      </c>
      <c r="F28" s="77">
        <f>IF(C28=0,0,+E28/C28)</f>
        <v>0.46153846153846156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337</v>
      </c>
      <c r="D29" s="185">
        <v>347</v>
      </c>
      <c r="E29" s="185">
        <f>+D29-C29</f>
        <v>10</v>
      </c>
      <c r="F29" s="77">
        <f>IF(C29=0,0,+E29/C29)</f>
        <v>2.967359050445104E-2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751</v>
      </c>
      <c r="D30" s="185">
        <v>929</v>
      </c>
      <c r="E30" s="185">
        <f>+D30-C30</f>
        <v>178</v>
      </c>
      <c r="F30" s="77">
        <f>IF(C30=0,0,+E30/C30)</f>
        <v>0.23701731025299599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516441</v>
      </c>
      <c r="D33" s="76">
        <v>384245</v>
      </c>
      <c r="E33" s="76">
        <f>+D33-C33</f>
        <v>-132196</v>
      </c>
      <c r="F33" s="77">
        <f>IF(C33=0,0,+E33/C33)</f>
        <v>-0.2559750290933524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1251944</v>
      </c>
      <c r="D34" s="185">
        <v>1259497</v>
      </c>
      <c r="E34" s="185">
        <f>+D34-C34</f>
        <v>7553</v>
      </c>
      <c r="F34" s="77">
        <f>IF(C34=0,0,+E34/C34)</f>
        <v>6.0330174512598011E-3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1693975</v>
      </c>
      <c r="D35" s="185">
        <v>1377365</v>
      </c>
      <c r="E35" s="185">
        <f>+D35-C35</f>
        <v>-316610</v>
      </c>
      <c r="F35" s="77">
        <f>IF(C35=0,0,+E35/C35)</f>
        <v>-0.18690358476364763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3462360</v>
      </c>
      <c r="D36" s="79">
        <f>+D33+D34+D35</f>
        <v>3021107</v>
      </c>
      <c r="E36" s="79">
        <f>+E33+E34+E35</f>
        <v>-441253</v>
      </c>
      <c r="F36" s="80">
        <f>IF(C36=0,0,+E36/C36)</f>
        <v>-0.12744284245427975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710098</v>
      </c>
      <c r="D39" s="76">
        <f>+D25</f>
        <v>703850</v>
      </c>
      <c r="E39" s="76">
        <f>+D39-C39</f>
        <v>-6248</v>
      </c>
      <c r="F39" s="77">
        <f>IF(C39=0,0,+E39/C39)</f>
        <v>-8.7987855197451618E-3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3462360</v>
      </c>
      <c r="D40" s="185">
        <f>+D36</f>
        <v>3021107</v>
      </c>
      <c r="E40" s="185">
        <f>+D40-C40</f>
        <v>-441253</v>
      </c>
      <c r="F40" s="77">
        <f>IF(C40=0,0,+E40/C40)</f>
        <v>-0.12744284245427975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4172458</v>
      </c>
      <c r="D41" s="79">
        <f>+D39+D40</f>
        <v>3724957</v>
      </c>
      <c r="E41" s="79">
        <f>+E39+E40</f>
        <v>-447501</v>
      </c>
      <c r="F41" s="80">
        <f>IF(C41=0,0,+E41/C41)</f>
        <v>-0.10725116945455172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722195</v>
      </c>
      <c r="D43" s="76">
        <f t="shared" si="0"/>
        <v>579464</v>
      </c>
      <c r="E43" s="76">
        <f>+D43-C43</f>
        <v>-142731</v>
      </c>
      <c r="F43" s="77">
        <f>IF(C43=0,0,+E43/C43)</f>
        <v>-0.19763498778030864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1529657</v>
      </c>
      <c r="D44" s="185">
        <f t="shared" si="0"/>
        <v>1565477</v>
      </c>
      <c r="E44" s="185">
        <f>+D44-C44</f>
        <v>35820</v>
      </c>
      <c r="F44" s="77">
        <f>IF(C44=0,0,+E44/C44)</f>
        <v>2.341701440257522E-2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1920606</v>
      </c>
      <c r="D45" s="185">
        <f t="shared" si="0"/>
        <v>1580016</v>
      </c>
      <c r="E45" s="185">
        <f>+D45-C45</f>
        <v>-340590</v>
      </c>
      <c r="F45" s="77">
        <f>IF(C45=0,0,+E45/C45)</f>
        <v>-0.1773346537499102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4172458</v>
      </c>
      <c r="D46" s="79">
        <f>+D43+D44+D45</f>
        <v>3724957</v>
      </c>
      <c r="E46" s="79">
        <f>+E43+E44+E45</f>
        <v>-447501</v>
      </c>
      <c r="F46" s="80">
        <f>IF(C46=0,0,+E46/C46)</f>
        <v>-0.10725116945455172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910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628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911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912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85690455</v>
      </c>
      <c r="D15" s="76">
        <v>81728750</v>
      </c>
      <c r="E15" s="76">
        <f>+D15-C15</f>
        <v>-3961705</v>
      </c>
      <c r="F15" s="77">
        <f>IF(C15=0,0,E15/C15)</f>
        <v>-4.6232745525741463E-2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529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35983775</v>
      </c>
      <c r="D17" s="76">
        <v>34708830</v>
      </c>
      <c r="E17" s="76">
        <f>+D17-C17</f>
        <v>-1274945</v>
      </c>
      <c r="F17" s="77">
        <f>IF(C17=0,0,E17/C17)</f>
        <v>-3.5431107492196134E-2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49706680</v>
      </c>
      <c r="D19" s="79">
        <f>+D15-D17</f>
        <v>47019920</v>
      </c>
      <c r="E19" s="79">
        <f>+D19-C19</f>
        <v>-2686760</v>
      </c>
      <c r="F19" s="80">
        <f>IF(C19=0,0,E19/C19)</f>
        <v>-5.4052292367947327E-2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0.41992745866502867</v>
      </c>
      <c r="D21" s="720">
        <f>IF(D15=0,0,D17/D15)</f>
        <v>0.42468323570347033</v>
      </c>
      <c r="E21" s="720">
        <f>+D21-C21</f>
        <v>4.7557770384416553E-3</v>
      </c>
      <c r="F21" s="80">
        <f>IF(C21=0,0,E21/C21)</f>
        <v>1.1325234728780345E-2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529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529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529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529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55847199</v>
      </c>
      <c r="D10" s="744">
        <v>60261612</v>
      </c>
      <c r="E10" s="744">
        <v>63684617</v>
      </c>
    </row>
    <row r="11" spans="1:6" ht="26.1" customHeight="1" x14ac:dyDescent="0.25">
      <c r="A11" s="742">
        <v>2</v>
      </c>
      <c r="B11" s="743" t="s">
        <v>931</v>
      </c>
      <c r="C11" s="744">
        <v>128151792</v>
      </c>
      <c r="D11" s="744">
        <v>152062080</v>
      </c>
      <c r="E11" s="744">
        <v>153064782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183998991</v>
      </c>
      <c r="D12" s="744">
        <f>+D11+D10</f>
        <v>212323692</v>
      </c>
      <c r="E12" s="744">
        <f>+E11+E10</f>
        <v>216749399</v>
      </c>
    </row>
    <row r="13" spans="1:6" ht="26.1" customHeight="1" x14ac:dyDescent="0.25">
      <c r="A13" s="742">
        <v>4</v>
      </c>
      <c r="B13" s="743" t="s">
        <v>506</v>
      </c>
      <c r="C13" s="744">
        <v>106400269</v>
      </c>
      <c r="D13" s="744">
        <v>113405335</v>
      </c>
      <c r="E13" s="744">
        <v>104649330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108436817</v>
      </c>
      <c r="D16" s="744">
        <v>115241429</v>
      </c>
      <c r="E16" s="744">
        <v>110624592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18418</v>
      </c>
      <c r="D19" s="747">
        <v>18484</v>
      </c>
      <c r="E19" s="747">
        <v>16124</v>
      </c>
    </row>
    <row r="20" spans="1:5" ht="26.1" customHeight="1" x14ac:dyDescent="0.25">
      <c r="A20" s="742">
        <v>2</v>
      </c>
      <c r="B20" s="743" t="s">
        <v>381</v>
      </c>
      <c r="C20" s="748">
        <v>5182</v>
      </c>
      <c r="D20" s="748">
        <v>5097</v>
      </c>
      <c r="E20" s="748">
        <v>4331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3.5542261675028946</v>
      </c>
      <c r="D21" s="749">
        <f>IF(D20=0,0,+D19/D20)</f>
        <v>3.6264469295664115</v>
      </c>
      <c r="E21" s="749">
        <f>IF(E20=0,0,+E19/E20)</f>
        <v>3.7229277303163242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60681.528830801348</v>
      </c>
      <c r="D22" s="748">
        <f>IF(D10=0,0,D19*(D12/D10))</f>
        <v>65125.890142600234</v>
      </c>
      <c r="E22" s="748">
        <f>IF(E10=0,0,E19*(E12/E10))</f>
        <v>54877.731453986766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17073.063438006982</v>
      </c>
      <c r="D23" s="748">
        <f>IF(D10=0,0,D20*(D12/D10))</f>
        <v>17958.59457135</v>
      </c>
      <c r="E23" s="748">
        <f>IF(E10=0,0,E20*(E12/E10))</f>
        <v>14740.477234384562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0.98939637205712094</v>
      </c>
      <c r="D26" s="750">
        <v>1.0285464587011968</v>
      </c>
      <c r="E26" s="750">
        <v>1.0683783652736087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18222.702380548053</v>
      </c>
      <c r="D27" s="748">
        <f>D19*D26</f>
        <v>19011.652742632919</v>
      </c>
      <c r="E27" s="748">
        <f>E19*E26</f>
        <v>17226.532761671668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5127.0520000000006</v>
      </c>
      <c r="D28" s="748">
        <f>D20*D26</f>
        <v>5242.5012999999999</v>
      </c>
      <c r="E28" s="748">
        <f>E20*E26</f>
        <v>4627.1466999999993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60038.084476074444</v>
      </c>
      <c r="D29" s="748">
        <f>D22*D26</f>
        <v>66985.003675934655</v>
      </c>
      <c r="E29" s="748">
        <f>E22*E26</f>
        <v>58630.181020734482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16892.027025465184</v>
      </c>
      <c r="D30" s="748">
        <f>D23*D26</f>
        <v>18471.248849612581</v>
      </c>
      <c r="E30" s="748">
        <f>E23*E26</f>
        <v>15748.406971024624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9990.1721685307857</v>
      </c>
      <c r="D33" s="744">
        <f>IF(D19=0,0,D12/D19)</f>
        <v>11486.89093269855</v>
      </c>
      <c r="E33" s="744">
        <f>IF(E19=0,0,E12/E19)</f>
        <v>13442.656846936245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35507.331339251257</v>
      </c>
      <c r="D34" s="744">
        <f>IF(D20=0,0,D12/D20)</f>
        <v>41656.600353148911</v>
      </c>
      <c r="E34" s="744">
        <f>IF(E20=0,0,E12/E20)</f>
        <v>50046.039944585544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3032.2075686828102</v>
      </c>
      <c r="D35" s="744">
        <f>IF(D22=0,0,D12/D22)</f>
        <v>3260.2040683834666</v>
      </c>
      <c r="E35" s="744">
        <f>IF(E22=0,0,E12/E22)</f>
        <v>3949.6785537087567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10777.151485912775</v>
      </c>
      <c r="D36" s="744">
        <f>IF(D23=0,0,D12/D23)</f>
        <v>11822.957033549146</v>
      </c>
      <c r="E36" s="744">
        <f>IF(E23=0,0,E12/E23)</f>
        <v>14704.367813438004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3064.7045555446521</v>
      </c>
      <c r="D37" s="744">
        <f>IF(D29=0,0,D12/D29)</f>
        <v>3169.7197932121694</v>
      </c>
      <c r="E37" s="744">
        <f>IF(E29=0,0,E12/E29)</f>
        <v>3696.8911783394778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10892.653126982132</v>
      </c>
      <c r="D38" s="744">
        <f>IF(D30=0,0,D12/D30)</f>
        <v>11494.820611680152</v>
      </c>
      <c r="E38" s="744">
        <f>IF(E30=0,0,E12/E30)</f>
        <v>13763.258683801834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920.33276148527932</v>
      </c>
      <c r="D39" s="744">
        <f>IF(D22=0,0,D10/D22)</f>
        <v>925.30960986561001</v>
      </c>
      <c r="E39" s="744">
        <f>IF(E22=0,0,E10/E22)</f>
        <v>1160.4819534750179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3271.0707836811798</v>
      </c>
      <c r="D40" s="744">
        <f>IF(D23=0,0,D10/D23)</f>
        <v>3355.5861935954354</v>
      </c>
      <c r="E40" s="744">
        <f>IF(E23=0,0,E10/E23)</f>
        <v>4320.3904451238031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5776.9719296340536</v>
      </c>
      <c r="D43" s="744">
        <f>IF(D19=0,0,D13/D19)</f>
        <v>6135.3243345596193</v>
      </c>
      <c r="E43" s="744">
        <f>IF(E19=0,0,E13/E19)</f>
        <v>6490.2834284296705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20532.664801235045</v>
      </c>
      <c r="D44" s="744">
        <f>IF(D20=0,0,D13/D20)</f>
        <v>22249.428094957817</v>
      </c>
      <c r="E44" s="744">
        <f>IF(E20=0,0,E13/E20)</f>
        <v>24162.856153313322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1753.4210335516839</v>
      </c>
      <c r="D45" s="744">
        <f>IF(D22=0,0,D13/D22)</f>
        <v>1741.3249132055878</v>
      </c>
      <c r="E45" s="744">
        <f>IF(E22=0,0,E13/E22)</f>
        <v>1906.9543734282299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6232.0549200993655</v>
      </c>
      <c r="D46" s="744">
        <f>IF(D23=0,0,D13/D23)</f>
        <v>6314.8223848719017</v>
      </c>
      <c r="E46" s="744">
        <f>IF(E23=0,0,E13/E23)</f>
        <v>7099.4533172839483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1772.2129199908297</v>
      </c>
      <c r="D47" s="744">
        <f>IF(D29=0,0,D13/D29)</f>
        <v>1692.9958763403417</v>
      </c>
      <c r="E47" s="744">
        <f>IF(E29=0,0,E13/E29)</f>
        <v>1784.905456167548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6298.8455346181208</v>
      </c>
      <c r="D48" s="744">
        <f>IF(D30=0,0,D13/D30)</f>
        <v>6139.5596975230283</v>
      </c>
      <c r="E48" s="744">
        <f>IF(E30=0,0,E13/E30)</f>
        <v>6645.0740187590727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5887.5457161472468</v>
      </c>
      <c r="D51" s="744">
        <f>IF(D19=0,0,D16/D19)</f>
        <v>6234.6585695736858</v>
      </c>
      <c r="E51" s="744">
        <f>IF(E19=0,0,E16/E19)</f>
        <v>6860.8652939717194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20925.669046700117</v>
      </c>
      <c r="D52" s="744">
        <f>IF(D20=0,0,D16/D20)</f>
        <v>22609.658426525406</v>
      </c>
      <c r="E52" s="744">
        <f>IF(E20=0,0,E16/E20)</f>
        <v>25542.505656892172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1786.9822842195522</v>
      </c>
      <c r="D53" s="744">
        <f>IF(D22=0,0,D16/D22)</f>
        <v>1769.5179098153797</v>
      </c>
      <c r="E53" s="744">
        <f>IF(E22=0,0,E16/E22)</f>
        <v>2015.837555033688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6351.3391954372264</v>
      </c>
      <c r="D54" s="744">
        <f>IF(D23=0,0,D16/D23)</f>
        <v>6417.0627908627575</v>
      </c>
      <c r="E54" s="744">
        <f>IF(E23=0,0,E16/E23)</f>
        <v>7504.8175334479765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1806.1338556397941</v>
      </c>
      <c r="D55" s="744">
        <f>IF(D29=0,0,D16/D29)</f>
        <v>1720.4063995804806</v>
      </c>
      <c r="E55" s="744">
        <f>IF(E29=0,0,E16/E29)</f>
        <v>1886.8198950448025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6419.4082117278513</v>
      </c>
      <c r="D56" s="744">
        <f>IF(D30=0,0,D16/D30)</f>
        <v>6238.9625053650389</v>
      </c>
      <c r="E56" s="744">
        <f>IF(E30=0,0,E16/E30)</f>
        <v>7024.4941093748312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16321836</v>
      </c>
      <c r="D59" s="752">
        <v>16633835</v>
      </c>
      <c r="E59" s="752">
        <v>17402531</v>
      </c>
    </row>
    <row r="60" spans="1:6" ht="26.1" customHeight="1" x14ac:dyDescent="0.25">
      <c r="A60" s="742">
        <v>2</v>
      </c>
      <c r="B60" s="743" t="s">
        <v>967</v>
      </c>
      <c r="C60" s="752">
        <v>5178948</v>
      </c>
      <c r="D60" s="752">
        <v>5673578</v>
      </c>
      <c r="E60" s="752">
        <v>6244691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21500784</v>
      </c>
      <c r="D61" s="755">
        <f>D59+D60</f>
        <v>22307413</v>
      </c>
      <c r="E61" s="755">
        <f>E59+E60</f>
        <v>23647222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4033097</v>
      </c>
      <c r="D64" s="744">
        <v>3748829</v>
      </c>
      <c r="E64" s="752">
        <v>1443401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1267584</v>
      </c>
      <c r="D65" s="752">
        <v>1278675</v>
      </c>
      <c r="E65" s="752">
        <v>517947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5300681</v>
      </c>
      <c r="D66" s="757">
        <f>D64+D65</f>
        <v>5027504</v>
      </c>
      <c r="E66" s="757">
        <f>E64+E65</f>
        <v>1961348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29275732</v>
      </c>
      <c r="D69" s="752">
        <v>30660397</v>
      </c>
      <c r="E69" s="752">
        <v>28859814</v>
      </c>
    </row>
    <row r="70" spans="1:6" ht="26.1" customHeight="1" x14ac:dyDescent="0.25">
      <c r="A70" s="742">
        <v>2</v>
      </c>
      <c r="B70" s="743" t="s">
        <v>975</v>
      </c>
      <c r="C70" s="752">
        <v>9301366</v>
      </c>
      <c r="D70" s="752">
        <v>10457849</v>
      </c>
      <c r="E70" s="752">
        <v>10356001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38577098</v>
      </c>
      <c r="D71" s="755">
        <f>D69+D70</f>
        <v>41118246</v>
      </c>
      <c r="E71" s="755">
        <f>E69+E70</f>
        <v>39215815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49630665</v>
      </c>
      <c r="D75" s="744">
        <f t="shared" si="0"/>
        <v>51043061</v>
      </c>
      <c r="E75" s="744">
        <f t="shared" si="0"/>
        <v>47705746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15747898</v>
      </c>
      <c r="D76" s="744">
        <f t="shared" si="0"/>
        <v>17410102</v>
      </c>
      <c r="E76" s="744">
        <f t="shared" si="0"/>
        <v>17118639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65378563</v>
      </c>
      <c r="D77" s="757">
        <f>D75+D76</f>
        <v>68453163</v>
      </c>
      <c r="E77" s="757">
        <f>E75+E76</f>
        <v>64824385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615</v>
      </c>
      <c r="C80" s="749">
        <v>259.3</v>
      </c>
      <c r="D80" s="749">
        <v>274.2</v>
      </c>
      <c r="E80" s="749">
        <v>284.10000000000002</v>
      </c>
    </row>
    <row r="81" spans="1:5" ht="26.1" customHeight="1" x14ac:dyDescent="0.25">
      <c r="A81" s="742">
        <v>2</v>
      </c>
      <c r="B81" s="743" t="s">
        <v>616</v>
      </c>
      <c r="C81" s="749">
        <v>18.100000000000001</v>
      </c>
      <c r="D81" s="749">
        <v>16.100000000000001</v>
      </c>
      <c r="E81" s="749">
        <v>5.6</v>
      </c>
    </row>
    <row r="82" spans="1:5" ht="26.1" customHeight="1" x14ac:dyDescent="0.25">
      <c r="A82" s="742">
        <v>3</v>
      </c>
      <c r="B82" s="743" t="s">
        <v>981</v>
      </c>
      <c r="C82" s="749">
        <v>525.4</v>
      </c>
      <c r="D82" s="749">
        <v>545.1</v>
      </c>
      <c r="E82" s="749">
        <v>517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802.8</v>
      </c>
      <c r="D83" s="759">
        <f>D80+D81+D82</f>
        <v>835.40000000000009</v>
      </c>
      <c r="E83" s="759">
        <f>E80+E81+E82</f>
        <v>806.7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62945.761666023907</v>
      </c>
      <c r="D86" s="752">
        <f>IF(D80=0,0,D59/D80)</f>
        <v>60663.147337709706</v>
      </c>
      <c r="E86" s="752">
        <f>IF(E80=0,0,E59/E80)</f>
        <v>61254.948961633221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19972.803702275356</v>
      </c>
      <c r="D87" s="752">
        <f>IF(D80=0,0,D60/D80)</f>
        <v>20691.385849744715</v>
      </c>
      <c r="E87" s="752">
        <f>IF(E80=0,0,E60/E80)</f>
        <v>21980.608940513903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82918.565368299256</v>
      </c>
      <c r="D88" s="755">
        <f>+D86+D87</f>
        <v>81354.533187454421</v>
      </c>
      <c r="E88" s="755">
        <f>+E86+E87</f>
        <v>83235.55790214712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222823.03867403313</v>
      </c>
      <c r="D91" s="744">
        <f>IF(D81=0,0,D64/D81)</f>
        <v>232846.5217391304</v>
      </c>
      <c r="E91" s="744">
        <f>IF(E81=0,0,E64/E81)</f>
        <v>257750.17857142858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70032.265193370156</v>
      </c>
      <c r="D92" s="744">
        <f>IF(D81=0,0,D65/D81)</f>
        <v>79420.807453416142</v>
      </c>
      <c r="E92" s="744">
        <f>IF(E81=0,0,E65/E81)</f>
        <v>92490.535714285725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292855.3038674033</v>
      </c>
      <c r="D93" s="757">
        <f>+D91+D92</f>
        <v>312267.32919254655</v>
      </c>
      <c r="E93" s="757">
        <f>+E91+E92</f>
        <v>350240.71428571432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55720.84507042254</v>
      </c>
      <c r="D96" s="752">
        <f>IF(D82=0,0,D69/D82)</f>
        <v>56247.28857090442</v>
      </c>
      <c r="E96" s="752">
        <f>IF(E82=0,0,E69/E82)</f>
        <v>55821.690522243713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17703.399314807768</v>
      </c>
      <c r="D97" s="752">
        <f>IF(D82=0,0,D70/D82)</f>
        <v>19185.193542469271</v>
      </c>
      <c r="E97" s="752">
        <f>IF(E82=0,0,E70/E82)</f>
        <v>20030.949709864602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73424.244385230311</v>
      </c>
      <c r="D98" s="757">
        <f>+D96+D97</f>
        <v>75432.482113373699</v>
      </c>
      <c r="E98" s="757">
        <f>+E96+E97</f>
        <v>75852.640232108315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61821.954409566519</v>
      </c>
      <c r="D101" s="744">
        <f>IF(D83=0,0,D75/D83)</f>
        <v>61100.144840794819</v>
      </c>
      <c r="E101" s="744">
        <f>IF(E83=0,0,E75/E83)</f>
        <v>59136.91087145159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19616.215744892877</v>
      </c>
      <c r="D102" s="761">
        <f>IF(D83=0,0,D76/D83)</f>
        <v>20840.438113478573</v>
      </c>
      <c r="E102" s="761">
        <f>IF(E83=0,0,E76/E83)</f>
        <v>21220.57642246188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81438.170154459396</v>
      </c>
      <c r="D103" s="757">
        <f>+D101+D102</f>
        <v>81940.582954273385</v>
      </c>
      <c r="E103" s="757">
        <f>+E101+E102</f>
        <v>80357.487293913466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3549.7102291236833</v>
      </c>
      <c r="D108" s="744">
        <f>IF(D19=0,0,D77/D19)</f>
        <v>3703.3738909326985</v>
      </c>
      <c r="E108" s="744">
        <f>IF(E19=0,0,E77/E19)</f>
        <v>4020.3662242619698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12616.472983404092</v>
      </c>
      <c r="D109" s="744">
        <f>IF(D20=0,0,D77/D20)</f>
        <v>13430.088875809299</v>
      </c>
      <c r="E109" s="744">
        <f>IF(E20=0,0,E77/E20)</f>
        <v>14967.532902332025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1077.4046774974213</v>
      </c>
      <c r="D110" s="744">
        <f>IF(D22=0,0,D77/D22)</f>
        <v>1051.0898638024653</v>
      </c>
      <c r="E110" s="744">
        <f>IF(E22=0,0,E77/E22)</f>
        <v>1181.2511793486433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3829.3398977513516</v>
      </c>
      <c r="D111" s="744">
        <f>IF(D23=0,0,D77/D23)</f>
        <v>3811.721609284828</v>
      </c>
      <c r="E111" s="744">
        <f>IF(E23=0,0,E77/E23)</f>
        <v>4397.7127720659255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1088.9515142018524</v>
      </c>
      <c r="D112" s="744">
        <f>IF(D29=0,0,D77/D29)</f>
        <v>1021.9177314846189</v>
      </c>
      <c r="E112" s="744">
        <f>IF(E29=0,0,E77/E29)</f>
        <v>1105.6487268404467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3870.3799669181244</v>
      </c>
      <c r="D113" s="744">
        <f>IF(D30=0,0,D77/D30)</f>
        <v>3705.9304196118687</v>
      </c>
      <c r="E113" s="744">
        <f>IF(E30=0,0,E77/E30)</f>
        <v>4116.2503051432377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212323722</v>
      </c>
      <c r="D12" s="76">
        <v>216749429</v>
      </c>
      <c r="E12" s="76">
        <f t="shared" ref="E12:E21" si="0">D12-C12</f>
        <v>4425707</v>
      </c>
      <c r="F12" s="77">
        <f t="shared" ref="F12:F21" si="1">IF(C12=0,0,E12/C12)</f>
        <v>2.0844147598354554E-2</v>
      </c>
    </row>
    <row r="13" spans="1:8" ht="23.1" customHeight="1" x14ac:dyDescent="0.2">
      <c r="A13" s="74">
        <v>2</v>
      </c>
      <c r="B13" s="75" t="s">
        <v>72</v>
      </c>
      <c r="C13" s="76">
        <v>98208289</v>
      </c>
      <c r="D13" s="76">
        <v>108255956</v>
      </c>
      <c r="E13" s="76">
        <f t="shared" si="0"/>
        <v>10047667</v>
      </c>
      <c r="F13" s="77">
        <f t="shared" si="1"/>
        <v>0.10230976531930008</v>
      </c>
    </row>
    <row r="14" spans="1:8" ht="23.1" customHeight="1" x14ac:dyDescent="0.2">
      <c r="A14" s="74">
        <v>3</v>
      </c>
      <c r="B14" s="75" t="s">
        <v>73</v>
      </c>
      <c r="C14" s="76">
        <v>710098</v>
      </c>
      <c r="D14" s="76">
        <v>703850</v>
      </c>
      <c r="E14" s="76">
        <f t="shared" si="0"/>
        <v>-6248</v>
      </c>
      <c r="F14" s="77">
        <f t="shared" si="1"/>
        <v>-8.7987855197451618E-3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113405335</v>
      </c>
      <c r="D16" s="79">
        <f>D12-D13-D14-D15</f>
        <v>107789623</v>
      </c>
      <c r="E16" s="79">
        <f t="shared" si="0"/>
        <v>-5615712</v>
      </c>
      <c r="F16" s="80">
        <f t="shared" si="1"/>
        <v>-4.9518940180371583E-2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3140293</v>
      </c>
      <c r="E17" s="76">
        <f t="shared" si="0"/>
        <v>3140293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113405335</v>
      </c>
      <c r="D18" s="79">
        <f>D16-D17</f>
        <v>104649330</v>
      </c>
      <c r="E18" s="79">
        <f t="shared" si="0"/>
        <v>-8756005</v>
      </c>
      <c r="F18" s="80">
        <f t="shared" si="1"/>
        <v>-7.7209815569964146E-2</v>
      </c>
    </row>
    <row r="19" spans="1:7" ht="23.1" customHeight="1" x14ac:dyDescent="0.2">
      <c r="A19" s="74">
        <v>6</v>
      </c>
      <c r="B19" s="75" t="s">
        <v>78</v>
      </c>
      <c r="C19" s="76">
        <v>6224434</v>
      </c>
      <c r="D19" s="76">
        <v>4807000</v>
      </c>
      <c r="E19" s="76">
        <f t="shared" si="0"/>
        <v>-1417434</v>
      </c>
      <c r="F19" s="77">
        <f t="shared" si="1"/>
        <v>-0.22772094619366196</v>
      </c>
      <c r="G19" s="65"/>
    </row>
    <row r="20" spans="1:7" ht="33" customHeight="1" x14ac:dyDescent="0.2">
      <c r="A20" s="74">
        <v>7</v>
      </c>
      <c r="B20" s="82" t="s">
        <v>79</v>
      </c>
      <c r="C20" s="76">
        <v>314624</v>
      </c>
      <c r="D20" s="76">
        <v>1624641</v>
      </c>
      <c r="E20" s="76">
        <f t="shared" si="0"/>
        <v>1310017</v>
      </c>
      <c r="F20" s="77">
        <f t="shared" si="1"/>
        <v>4.1637541954841337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119944393</v>
      </c>
      <c r="D21" s="79">
        <f>SUM(D18:D20)</f>
        <v>111080971</v>
      </c>
      <c r="E21" s="79">
        <f t="shared" si="0"/>
        <v>-8863422</v>
      </c>
      <c r="F21" s="80">
        <f t="shared" si="1"/>
        <v>-7.3896092833618324E-2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51043061</v>
      </c>
      <c r="D24" s="76">
        <v>47705746</v>
      </c>
      <c r="E24" s="76">
        <f t="shared" ref="E24:E33" si="2">D24-C24</f>
        <v>-3337315</v>
      </c>
      <c r="F24" s="77">
        <f t="shared" ref="F24:F33" si="3">IF(C24=0,0,E24/C24)</f>
        <v>-6.538234452671246E-2</v>
      </c>
    </row>
    <row r="25" spans="1:7" ht="23.1" customHeight="1" x14ac:dyDescent="0.2">
      <c r="A25" s="74">
        <v>2</v>
      </c>
      <c r="B25" s="75" t="s">
        <v>83</v>
      </c>
      <c r="C25" s="76">
        <v>17410102</v>
      </c>
      <c r="D25" s="76">
        <v>17118639</v>
      </c>
      <c r="E25" s="76">
        <f t="shared" si="2"/>
        <v>-291463</v>
      </c>
      <c r="F25" s="77">
        <f t="shared" si="3"/>
        <v>-1.674102770908522E-2</v>
      </c>
    </row>
    <row r="26" spans="1:7" ht="23.1" customHeight="1" x14ac:dyDescent="0.2">
      <c r="A26" s="74">
        <v>3</v>
      </c>
      <c r="B26" s="75" t="s">
        <v>84</v>
      </c>
      <c r="C26" s="76">
        <v>2826039</v>
      </c>
      <c r="D26" s="76">
        <v>3579600</v>
      </c>
      <c r="E26" s="76">
        <f t="shared" si="2"/>
        <v>753561</v>
      </c>
      <c r="F26" s="77">
        <f t="shared" si="3"/>
        <v>0.26664918637003948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14105353</v>
      </c>
      <c r="D27" s="76">
        <v>15220013</v>
      </c>
      <c r="E27" s="76">
        <f t="shared" si="2"/>
        <v>1114660</v>
      </c>
      <c r="F27" s="77">
        <f t="shared" si="3"/>
        <v>7.9023899650012303E-2</v>
      </c>
    </row>
    <row r="28" spans="1:7" ht="23.1" customHeight="1" x14ac:dyDescent="0.2">
      <c r="A28" s="74">
        <v>5</v>
      </c>
      <c r="B28" s="75" t="s">
        <v>86</v>
      </c>
      <c r="C28" s="76">
        <v>4830289</v>
      </c>
      <c r="D28" s="76">
        <v>4726233</v>
      </c>
      <c r="E28" s="76">
        <f t="shared" si="2"/>
        <v>-104056</v>
      </c>
      <c r="F28" s="77">
        <f t="shared" si="3"/>
        <v>-2.1542396324526338E-2</v>
      </c>
    </row>
    <row r="29" spans="1:7" ht="23.1" customHeight="1" x14ac:dyDescent="0.2">
      <c r="A29" s="74">
        <v>6</v>
      </c>
      <c r="B29" s="75" t="s">
        <v>87</v>
      </c>
      <c r="C29" s="76">
        <v>3538140</v>
      </c>
      <c r="D29" s="76">
        <v>0</v>
      </c>
      <c r="E29" s="76">
        <f t="shared" si="2"/>
        <v>-3538140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1028742</v>
      </c>
      <c r="D30" s="76">
        <v>952190</v>
      </c>
      <c r="E30" s="76">
        <f t="shared" si="2"/>
        <v>-76552</v>
      </c>
      <c r="F30" s="77">
        <f t="shared" si="3"/>
        <v>-7.441321536400769E-2</v>
      </c>
    </row>
    <row r="31" spans="1:7" ht="23.1" customHeight="1" x14ac:dyDescent="0.2">
      <c r="A31" s="74">
        <v>8</v>
      </c>
      <c r="B31" s="75" t="s">
        <v>89</v>
      </c>
      <c r="C31" s="76">
        <v>305901</v>
      </c>
      <c r="D31" s="76">
        <v>289062</v>
      </c>
      <c r="E31" s="76">
        <f t="shared" si="2"/>
        <v>-16839</v>
      </c>
      <c r="F31" s="77">
        <f t="shared" si="3"/>
        <v>-5.504722115978699E-2</v>
      </c>
    </row>
    <row r="32" spans="1:7" ht="23.1" customHeight="1" x14ac:dyDescent="0.2">
      <c r="A32" s="74">
        <v>9</v>
      </c>
      <c r="B32" s="75" t="s">
        <v>90</v>
      </c>
      <c r="C32" s="76">
        <v>20153802</v>
      </c>
      <c r="D32" s="76">
        <v>21033109</v>
      </c>
      <c r="E32" s="76">
        <f t="shared" si="2"/>
        <v>879307</v>
      </c>
      <c r="F32" s="77">
        <f t="shared" si="3"/>
        <v>4.3629832227189691E-2</v>
      </c>
    </row>
    <row r="33" spans="1:6" ht="23.1" customHeight="1" x14ac:dyDescent="0.25">
      <c r="A33" s="71"/>
      <c r="B33" s="78" t="s">
        <v>91</v>
      </c>
      <c r="C33" s="79">
        <f>SUM(C24:C32)</f>
        <v>115241429</v>
      </c>
      <c r="D33" s="79">
        <f>SUM(D24:D32)</f>
        <v>110624592</v>
      </c>
      <c r="E33" s="79">
        <f t="shared" si="2"/>
        <v>-4616837</v>
      </c>
      <c r="F33" s="80">
        <f t="shared" si="3"/>
        <v>-4.006230259432135E-2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4702964</v>
      </c>
      <c r="D35" s="79">
        <f>+D21-D33</f>
        <v>456379</v>
      </c>
      <c r="E35" s="79">
        <f>D35-C35</f>
        <v>-4246585</v>
      </c>
      <c r="F35" s="80">
        <f>IF(C35=0,0,E35/C35)</f>
        <v>-0.90295928269916592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105171</v>
      </c>
      <c r="D38" s="76">
        <v>878011</v>
      </c>
      <c r="E38" s="76">
        <f>D38-C38</f>
        <v>772840</v>
      </c>
      <c r="F38" s="77">
        <f>IF(C38=0,0,E38/C38)</f>
        <v>7.3484135360508125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378796</v>
      </c>
      <c r="D40" s="76">
        <v>-447476</v>
      </c>
      <c r="E40" s="76">
        <f>D40-C40</f>
        <v>-826272</v>
      </c>
      <c r="F40" s="77">
        <f>IF(C40=0,0,E40/C40)</f>
        <v>-2.1813113126854562</v>
      </c>
    </row>
    <row r="41" spans="1:6" ht="23.1" customHeight="1" x14ac:dyDescent="0.25">
      <c r="A41" s="83"/>
      <c r="B41" s="78" t="s">
        <v>97</v>
      </c>
      <c r="C41" s="79">
        <f>SUM(C38:C40)</f>
        <v>483967</v>
      </c>
      <c r="D41" s="79">
        <f>SUM(D38:D40)</f>
        <v>430535</v>
      </c>
      <c r="E41" s="79">
        <f>D41-C41</f>
        <v>-53432</v>
      </c>
      <c r="F41" s="80">
        <f>IF(C41=0,0,E41/C41)</f>
        <v>-0.11040422177545163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5186931</v>
      </c>
      <c r="D43" s="79">
        <f>D35+D41</f>
        <v>886914</v>
      </c>
      <c r="E43" s="79">
        <f>D43-C43</f>
        <v>-4300017</v>
      </c>
      <c r="F43" s="80">
        <f>IF(C43=0,0,E43/C43)</f>
        <v>-0.829009871155024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5186931</v>
      </c>
      <c r="D50" s="79">
        <f>D43+D48</f>
        <v>886914</v>
      </c>
      <c r="E50" s="79">
        <f>D50-C50</f>
        <v>-4300017</v>
      </c>
      <c r="F50" s="80">
        <f>IF(C50=0,0,E50/C50)</f>
        <v>-0.829009871155024</v>
      </c>
    </row>
    <row r="51" spans="1:6" ht="23.1" customHeight="1" x14ac:dyDescent="0.2">
      <c r="A51" s="85"/>
      <c r="B51" s="75" t="s">
        <v>104</v>
      </c>
      <c r="C51" s="76">
        <v>590000</v>
      </c>
      <c r="D51" s="76">
        <v>593333</v>
      </c>
      <c r="E51" s="76">
        <f>D51-C51</f>
        <v>3333</v>
      </c>
      <c r="F51" s="77">
        <f>IF(C51=0,0,E51/C51)</f>
        <v>5.6491525423728811E-3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25275273</v>
      </c>
      <c r="D14" s="113">
        <v>27082039</v>
      </c>
      <c r="E14" s="113">
        <f t="shared" ref="E14:E25" si="0">D14-C14</f>
        <v>1806766</v>
      </c>
      <c r="F14" s="114">
        <f t="shared" ref="F14:F25" si="1">IF(C14=0,0,E14/C14)</f>
        <v>7.1483540454736136E-2</v>
      </c>
    </row>
    <row r="15" spans="1:6" x14ac:dyDescent="0.2">
      <c r="A15" s="115">
        <v>2</v>
      </c>
      <c r="B15" s="116" t="s">
        <v>114</v>
      </c>
      <c r="C15" s="113">
        <v>4964669</v>
      </c>
      <c r="D15" s="113">
        <v>6881561</v>
      </c>
      <c r="E15" s="113">
        <f t="shared" si="0"/>
        <v>1916892</v>
      </c>
      <c r="F15" s="114">
        <f t="shared" si="1"/>
        <v>0.38610670721451923</v>
      </c>
    </row>
    <row r="16" spans="1:6" x14ac:dyDescent="0.2">
      <c r="A16" s="115">
        <v>3</v>
      </c>
      <c r="B16" s="116" t="s">
        <v>115</v>
      </c>
      <c r="C16" s="113">
        <v>12883566</v>
      </c>
      <c r="D16" s="113">
        <v>13752491</v>
      </c>
      <c r="E16" s="113">
        <f t="shared" si="0"/>
        <v>868925</v>
      </c>
      <c r="F16" s="114">
        <f t="shared" si="1"/>
        <v>6.7444448221866529E-2</v>
      </c>
    </row>
    <row r="17" spans="1:6" x14ac:dyDescent="0.2">
      <c r="A17" s="115">
        <v>4</v>
      </c>
      <c r="B17" s="116" t="s">
        <v>116</v>
      </c>
      <c r="C17" s="113">
        <v>1166796</v>
      </c>
      <c r="D17" s="113">
        <v>141843</v>
      </c>
      <c r="E17" s="113">
        <f t="shared" si="0"/>
        <v>-1024953</v>
      </c>
      <c r="F17" s="114">
        <f t="shared" si="1"/>
        <v>-0.87843376220007607</v>
      </c>
    </row>
    <row r="18" spans="1:6" x14ac:dyDescent="0.2">
      <c r="A18" s="115">
        <v>5</v>
      </c>
      <c r="B18" s="116" t="s">
        <v>117</v>
      </c>
      <c r="C18" s="113">
        <v>323493</v>
      </c>
      <c r="D18" s="113">
        <v>222098</v>
      </c>
      <c r="E18" s="113">
        <f t="shared" si="0"/>
        <v>-101395</v>
      </c>
      <c r="F18" s="114">
        <f t="shared" si="1"/>
        <v>-0.31343800329527993</v>
      </c>
    </row>
    <row r="19" spans="1:6" x14ac:dyDescent="0.2">
      <c r="A19" s="115">
        <v>6</v>
      </c>
      <c r="B19" s="116" t="s">
        <v>118</v>
      </c>
      <c r="C19" s="113">
        <v>14446190</v>
      </c>
      <c r="D19" s="113">
        <v>14684689</v>
      </c>
      <c r="E19" s="113">
        <f t="shared" si="0"/>
        <v>238499</v>
      </c>
      <c r="F19" s="114">
        <f t="shared" si="1"/>
        <v>1.6509474124319284E-2</v>
      </c>
    </row>
    <row r="20" spans="1:6" x14ac:dyDescent="0.2">
      <c r="A20" s="115">
        <v>7</v>
      </c>
      <c r="B20" s="116" t="s">
        <v>119</v>
      </c>
      <c r="C20" s="113">
        <v>0</v>
      </c>
      <c r="D20" s="113">
        <v>0</v>
      </c>
      <c r="E20" s="113">
        <f t="shared" si="0"/>
        <v>0</v>
      </c>
      <c r="F20" s="114">
        <f t="shared" si="1"/>
        <v>0</v>
      </c>
    </row>
    <row r="21" spans="1:6" x14ac:dyDescent="0.2">
      <c r="A21" s="115">
        <v>8</v>
      </c>
      <c r="B21" s="116" t="s">
        <v>120</v>
      </c>
      <c r="C21" s="113">
        <v>211651</v>
      </c>
      <c r="D21" s="113">
        <v>62897</v>
      </c>
      <c r="E21" s="113">
        <f t="shared" si="0"/>
        <v>-148754</v>
      </c>
      <c r="F21" s="114">
        <f t="shared" si="1"/>
        <v>-0.7028268234026771</v>
      </c>
    </row>
    <row r="22" spans="1:6" x14ac:dyDescent="0.2">
      <c r="A22" s="115">
        <v>9</v>
      </c>
      <c r="B22" s="116" t="s">
        <v>121</v>
      </c>
      <c r="C22" s="113">
        <v>989974</v>
      </c>
      <c r="D22" s="113">
        <v>856999</v>
      </c>
      <c r="E22" s="113">
        <f t="shared" si="0"/>
        <v>-132975</v>
      </c>
      <c r="F22" s="114">
        <f t="shared" si="1"/>
        <v>-0.13432170945903629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60261612</v>
      </c>
      <c r="D25" s="119">
        <f>SUM(D14:D24)</f>
        <v>63684617</v>
      </c>
      <c r="E25" s="119">
        <f t="shared" si="0"/>
        <v>3423005</v>
      </c>
      <c r="F25" s="120">
        <f t="shared" si="1"/>
        <v>5.6802413450207735E-2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40270983</v>
      </c>
      <c r="D27" s="113">
        <v>43408788</v>
      </c>
      <c r="E27" s="113">
        <f t="shared" ref="E27:E38" si="2">D27-C27</f>
        <v>3137805</v>
      </c>
      <c r="F27" s="114">
        <f t="shared" ref="F27:F38" si="3">IF(C27=0,0,E27/C27)</f>
        <v>7.791726861993907E-2</v>
      </c>
    </row>
    <row r="28" spans="1:6" x14ac:dyDescent="0.2">
      <c r="A28" s="115">
        <v>2</v>
      </c>
      <c r="B28" s="116" t="s">
        <v>114</v>
      </c>
      <c r="C28" s="113">
        <v>10676194</v>
      </c>
      <c r="D28" s="113">
        <v>12540330</v>
      </c>
      <c r="E28" s="113">
        <f t="shared" si="2"/>
        <v>1864136</v>
      </c>
      <c r="F28" s="114">
        <f t="shared" si="3"/>
        <v>0.17460679339472476</v>
      </c>
    </row>
    <row r="29" spans="1:6" x14ac:dyDescent="0.2">
      <c r="A29" s="115">
        <v>3</v>
      </c>
      <c r="B29" s="116" t="s">
        <v>115</v>
      </c>
      <c r="C29" s="113">
        <v>24985129</v>
      </c>
      <c r="D29" s="113">
        <v>29037537</v>
      </c>
      <c r="E29" s="113">
        <f t="shared" si="2"/>
        <v>4052408</v>
      </c>
      <c r="F29" s="114">
        <f t="shared" si="3"/>
        <v>0.16219279876441703</v>
      </c>
    </row>
    <row r="30" spans="1:6" x14ac:dyDescent="0.2">
      <c r="A30" s="115">
        <v>4</v>
      </c>
      <c r="B30" s="116" t="s">
        <v>116</v>
      </c>
      <c r="C30" s="113">
        <v>4883888</v>
      </c>
      <c r="D30" s="113">
        <v>976202</v>
      </c>
      <c r="E30" s="113">
        <f t="shared" si="2"/>
        <v>-3907686</v>
      </c>
      <c r="F30" s="114">
        <f t="shared" si="3"/>
        <v>-0.80011785692055182</v>
      </c>
    </row>
    <row r="31" spans="1:6" x14ac:dyDescent="0.2">
      <c r="A31" s="115">
        <v>5</v>
      </c>
      <c r="B31" s="116" t="s">
        <v>117</v>
      </c>
      <c r="C31" s="113">
        <v>1203246</v>
      </c>
      <c r="D31" s="113">
        <v>977760</v>
      </c>
      <c r="E31" s="113">
        <f t="shared" si="2"/>
        <v>-225486</v>
      </c>
      <c r="F31" s="114">
        <f t="shared" si="3"/>
        <v>-0.18739808817149611</v>
      </c>
    </row>
    <row r="32" spans="1:6" x14ac:dyDescent="0.2">
      <c r="A32" s="115">
        <v>6</v>
      </c>
      <c r="B32" s="116" t="s">
        <v>118</v>
      </c>
      <c r="C32" s="113">
        <v>64478025</v>
      </c>
      <c r="D32" s="113">
        <v>61211786</v>
      </c>
      <c r="E32" s="113">
        <f t="shared" si="2"/>
        <v>-3266239</v>
      </c>
      <c r="F32" s="114">
        <f t="shared" si="3"/>
        <v>-5.0656622934713028E-2</v>
      </c>
    </row>
    <row r="33" spans="1:6" x14ac:dyDescent="0.2">
      <c r="A33" s="115">
        <v>7</v>
      </c>
      <c r="B33" s="116" t="s">
        <v>119</v>
      </c>
      <c r="C33" s="113">
        <v>0</v>
      </c>
      <c r="D33" s="113">
        <v>0</v>
      </c>
      <c r="E33" s="113">
        <f t="shared" si="2"/>
        <v>0</v>
      </c>
      <c r="F33" s="114">
        <f t="shared" si="3"/>
        <v>0</v>
      </c>
    </row>
    <row r="34" spans="1:6" x14ac:dyDescent="0.2">
      <c r="A34" s="115">
        <v>8</v>
      </c>
      <c r="B34" s="116" t="s">
        <v>120</v>
      </c>
      <c r="C34" s="113">
        <v>1910671</v>
      </c>
      <c r="D34" s="113">
        <v>1793123</v>
      </c>
      <c r="E34" s="113">
        <f t="shared" si="2"/>
        <v>-117548</v>
      </c>
      <c r="F34" s="114">
        <f t="shared" si="3"/>
        <v>-6.1521842326596257E-2</v>
      </c>
    </row>
    <row r="35" spans="1:6" x14ac:dyDescent="0.2">
      <c r="A35" s="115">
        <v>9</v>
      </c>
      <c r="B35" s="116" t="s">
        <v>121</v>
      </c>
      <c r="C35" s="113">
        <v>3653944</v>
      </c>
      <c r="D35" s="113">
        <v>3119256</v>
      </c>
      <c r="E35" s="113">
        <f t="shared" si="2"/>
        <v>-534688</v>
      </c>
      <c r="F35" s="114">
        <f t="shared" si="3"/>
        <v>-0.14633174454780917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152062080</v>
      </c>
      <c r="D38" s="119">
        <f>SUM(D27:D37)</f>
        <v>153064782</v>
      </c>
      <c r="E38" s="119">
        <f t="shared" si="2"/>
        <v>1002702</v>
      </c>
      <c r="F38" s="120">
        <f t="shared" si="3"/>
        <v>6.5940305433149406E-3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65546256</v>
      </c>
      <c r="D41" s="119">
        <f t="shared" si="4"/>
        <v>70490827</v>
      </c>
      <c r="E41" s="123">
        <f t="shared" ref="E41:E52" si="5">D41-C41</f>
        <v>4944571</v>
      </c>
      <c r="F41" s="124">
        <f t="shared" ref="F41:F52" si="6">IF(C41=0,0,E41/C41)</f>
        <v>7.5436360545139303E-2</v>
      </c>
    </row>
    <row r="42" spans="1:6" ht="15.75" x14ac:dyDescent="0.25">
      <c r="A42" s="121">
        <v>2</v>
      </c>
      <c r="B42" s="122" t="s">
        <v>114</v>
      </c>
      <c r="C42" s="119">
        <f t="shared" si="4"/>
        <v>15640863</v>
      </c>
      <c r="D42" s="119">
        <f t="shared" si="4"/>
        <v>19421891</v>
      </c>
      <c r="E42" s="123">
        <f t="shared" si="5"/>
        <v>3781028</v>
      </c>
      <c r="F42" s="124">
        <f t="shared" si="6"/>
        <v>0.24174036944125141</v>
      </c>
    </row>
    <row r="43" spans="1:6" ht="15.75" x14ac:dyDescent="0.25">
      <c r="A43" s="121">
        <v>3</v>
      </c>
      <c r="B43" s="122" t="s">
        <v>115</v>
      </c>
      <c r="C43" s="119">
        <f t="shared" si="4"/>
        <v>37868695</v>
      </c>
      <c r="D43" s="119">
        <f t="shared" si="4"/>
        <v>42790028</v>
      </c>
      <c r="E43" s="123">
        <f t="shared" si="5"/>
        <v>4921333</v>
      </c>
      <c r="F43" s="124">
        <f t="shared" si="6"/>
        <v>0.12995781872071377</v>
      </c>
    </row>
    <row r="44" spans="1:6" ht="15.75" x14ac:dyDescent="0.25">
      <c r="A44" s="121">
        <v>4</v>
      </c>
      <c r="B44" s="122" t="s">
        <v>116</v>
      </c>
      <c r="C44" s="119">
        <f t="shared" si="4"/>
        <v>6050684</v>
      </c>
      <c r="D44" s="119">
        <f t="shared" si="4"/>
        <v>1118045</v>
      </c>
      <c r="E44" s="123">
        <f t="shared" si="5"/>
        <v>-4932639</v>
      </c>
      <c r="F44" s="124">
        <f t="shared" si="6"/>
        <v>-0.81522006437619288</v>
      </c>
    </row>
    <row r="45" spans="1:6" ht="15.75" x14ac:dyDescent="0.25">
      <c r="A45" s="121">
        <v>5</v>
      </c>
      <c r="B45" s="122" t="s">
        <v>117</v>
      </c>
      <c r="C45" s="119">
        <f t="shared" si="4"/>
        <v>1526739</v>
      </c>
      <c r="D45" s="119">
        <f t="shared" si="4"/>
        <v>1199858</v>
      </c>
      <c r="E45" s="123">
        <f t="shared" si="5"/>
        <v>-326881</v>
      </c>
      <c r="F45" s="124">
        <f t="shared" si="6"/>
        <v>-0.21410404790864712</v>
      </c>
    </row>
    <row r="46" spans="1:6" ht="15.75" x14ac:dyDescent="0.25">
      <c r="A46" s="121">
        <v>6</v>
      </c>
      <c r="B46" s="122" t="s">
        <v>118</v>
      </c>
      <c r="C46" s="119">
        <f t="shared" si="4"/>
        <v>78924215</v>
      </c>
      <c r="D46" s="119">
        <f t="shared" si="4"/>
        <v>75896475</v>
      </c>
      <c r="E46" s="123">
        <f t="shared" si="5"/>
        <v>-3027740</v>
      </c>
      <c r="F46" s="124">
        <f t="shared" si="6"/>
        <v>-3.8362624195882086E-2</v>
      </c>
    </row>
    <row r="47" spans="1:6" ht="15.75" x14ac:dyDescent="0.25">
      <c r="A47" s="121">
        <v>7</v>
      </c>
      <c r="B47" s="122" t="s">
        <v>119</v>
      </c>
      <c r="C47" s="119">
        <f t="shared" si="4"/>
        <v>0</v>
      </c>
      <c r="D47" s="119">
        <f t="shared" si="4"/>
        <v>0</v>
      </c>
      <c r="E47" s="123">
        <f t="shared" si="5"/>
        <v>0</v>
      </c>
      <c r="F47" s="124">
        <f t="shared" si="6"/>
        <v>0</v>
      </c>
    </row>
    <row r="48" spans="1:6" ht="15.75" x14ac:dyDescent="0.25">
      <c r="A48" s="121">
        <v>8</v>
      </c>
      <c r="B48" s="122" t="s">
        <v>120</v>
      </c>
      <c r="C48" s="119">
        <f t="shared" si="4"/>
        <v>2122322</v>
      </c>
      <c r="D48" s="119">
        <f t="shared" si="4"/>
        <v>1856020</v>
      </c>
      <c r="E48" s="123">
        <f t="shared" si="5"/>
        <v>-266302</v>
      </c>
      <c r="F48" s="124">
        <f t="shared" si="6"/>
        <v>-0.12547671842444266</v>
      </c>
    </row>
    <row r="49" spans="1:6" ht="15.75" x14ac:dyDescent="0.25">
      <c r="A49" s="121">
        <v>9</v>
      </c>
      <c r="B49" s="122" t="s">
        <v>121</v>
      </c>
      <c r="C49" s="119">
        <f t="shared" si="4"/>
        <v>4643918</v>
      </c>
      <c r="D49" s="119">
        <f t="shared" si="4"/>
        <v>3976255</v>
      </c>
      <c r="E49" s="123">
        <f t="shared" si="5"/>
        <v>-667663</v>
      </c>
      <c r="F49" s="124">
        <f t="shared" si="6"/>
        <v>-0.14377148778251467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212323692</v>
      </c>
      <c r="D52" s="128">
        <f>SUM(D41:D51)</f>
        <v>216749399</v>
      </c>
      <c r="E52" s="127">
        <f t="shared" si="5"/>
        <v>4425707</v>
      </c>
      <c r="F52" s="129">
        <f t="shared" si="6"/>
        <v>2.0844150543501288E-2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14464428</v>
      </c>
      <c r="D57" s="113">
        <v>14121201</v>
      </c>
      <c r="E57" s="113">
        <f t="shared" ref="E57:E68" si="7">D57-C57</f>
        <v>-343227</v>
      </c>
      <c r="F57" s="114">
        <f t="shared" ref="F57:F68" si="8">IF(C57=0,0,E57/C57)</f>
        <v>-2.3729040650622341E-2</v>
      </c>
    </row>
    <row r="58" spans="1:6" x14ac:dyDescent="0.2">
      <c r="A58" s="115">
        <v>2</v>
      </c>
      <c r="B58" s="116" t="s">
        <v>114</v>
      </c>
      <c r="C58" s="113">
        <v>2535972</v>
      </c>
      <c r="D58" s="113">
        <v>3377949</v>
      </c>
      <c r="E58" s="113">
        <f t="shared" si="7"/>
        <v>841977</v>
      </c>
      <c r="F58" s="114">
        <f t="shared" si="8"/>
        <v>0.33201352380862248</v>
      </c>
    </row>
    <row r="59" spans="1:6" x14ac:dyDescent="0.2">
      <c r="A59" s="115">
        <v>3</v>
      </c>
      <c r="B59" s="116" t="s">
        <v>115</v>
      </c>
      <c r="C59" s="113">
        <v>6497085</v>
      </c>
      <c r="D59" s="113">
        <v>4775484</v>
      </c>
      <c r="E59" s="113">
        <f t="shared" si="7"/>
        <v>-1721601</v>
      </c>
      <c r="F59" s="114">
        <f t="shared" si="8"/>
        <v>-0.26498052588199167</v>
      </c>
    </row>
    <row r="60" spans="1:6" x14ac:dyDescent="0.2">
      <c r="A60" s="115">
        <v>4</v>
      </c>
      <c r="B60" s="116" t="s">
        <v>116</v>
      </c>
      <c r="C60" s="113">
        <v>231448</v>
      </c>
      <c r="D60" s="113">
        <v>34500</v>
      </c>
      <c r="E60" s="113">
        <f t="shared" si="7"/>
        <v>-196948</v>
      </c>
      <c r="F60" s="114">
        <f t="shared" si="8"/>
        <v>-0.85093843973592342</v>
      </c>
    </row>
    <row r="61" spans="1:6" x14ac:dyDescent="0.2">
      <c r="A61" s="115">
        <v>5</v>
      </c>
      <c r="B61" s="116" t="s">
        <v>117</v>
      </c>
      <c r="C61" s="113">
        <v>89377</v>
      </c>
      <c r="D61" s="113">
        <v>94784</v>
      </c>
      <c r="E61" s="113">
        <f t="shared" si="7"/>
        <v>5407</v>
      </c>
      <c r="F61" s="114">
        <f t="shared" si="8"/>
        <v>6.0496548328988445E-2</v>
      </c>
    </row>
    <row r="62" spans="1:6" x14ac:dyDescent="0.2">
      <c r="A62" s="115">
        <v>6</v>
      </c>
      <c r="B62" s="116" t="s">
        <v>118</v>
      </c>
      <c r="C62" s="113">
        <v>7697903</v>
      </c>
      <c r="D62" s="113">
        <v>8670773</v>
      </c>
      <c r="E62" s="113">
        <f t="shared" si="7"/>
        <v>972870</v>
      </c>
      <c r="F62" s="114">
        <f t="shared" si="8"/>
        <v>0.12638117159959017</v>
      </c>
    </row>
    <row r="63" spans="1:6" x14ac:dyDescent="0.2">
      <c r="A63" s="115">
        <v>7</v>
      </c>
      <c r="B63" s="116" t="s">
        <v>119</v>
      </c>
      <c r="C63" s="113">
        <v>0</v>
      </c>
      <c r="D63" s="113">
        <v>0</v>
      </c>
      <c r="E63" s="113">
        <f t="shared" si="7"/>
        <v>0</v>
      </c>
      <c r="F63" s="114">
        <f t="shared" si="8"/>
        <v>0</v>
      </c>
    </row>
    <row r="64" spans="1:6" x14ac:dyDescent="0.2">
      <c r="A64" s="115">
        <v>8</v>
      </c>
      <c r="B64" s="116" t="s">
        <v>120</v>
      </c>
      <c r="C64" s="113">
        <v>177332</v>
      </c>
      <c r="D64" s="113">
        <v>60588</v>
      </c>
      <c r="E64" s="113">
        <f t="shared" si="7"/>
        <v>-116744</v>
      </c>
      <c r="F64" s="114">
        <f t="shared" si="8"/>
        <v>-0.65833577696072898</v>
      </c>
    </row>
    <row r="65" spans="1:6" x14ac:dyDescent="0.2">
      <c r="A65" s="115">
        <v>9</v>
      </c>
      <c r="B65" s="116" t="s">
        <v>121</v>
      </c>
      <c r="C65" s="113">
        <v>50127</v>
      </c>
      <c r="D65" s="113">
        <v>38867</v>
      </c>
      <c r="E65" s="113">
        <f t="shared" si="7"/>
        <v>-11260</v>
      </c>
      <c r="F65" s="114">
        <f t="shared" si="8"/>
        <v>-0.22462944121930298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31743672</v>
      </c>
      <c r="D68" s="119">
        <f>SUM(D57:D67)</f>
        <v>31174146</v>
      </c>
      <c r="E68" s="119">
        <f t="shared" si="7"/>
        <v>-569526</v>
      </c>
      <c r="F68" s="120">
        <f t="shared" si="8"/>
        <v>-1.7941402620339574E-2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17905080</v>
      </c>
      <c r="D70" s="113">
        <v>18021639</v>
      </c>
      <c r="E70" s="113">
        <f t="shared" ref="E70:E81" si="9">D70-C70</f>
        <v>116559</v>
      </c>
      <c r="F70" s="114">
        <f t="shared" ref="F70:F81" si="10">IF(C70=0,0,E70/C70)</f>
        <v>6.5098284956001317E-3</v>
      </c>
    </row>
    <row r="71" spans="1:6" x14ac:dyDescent="0.2">
      <c r="A71" s="115">
        <v>2</v>
      </c>
      <c r="B71" s="116" t="s">
        <v>114</v>
      </c>
      <c r="C71" s="113">
        <v>4425039</v>
      </c>
      <c r="D71" s="113">
        <v>4568031</v>
      </c>
      <c r="E71" s="113">
        <f t="shared" si="9"/>
        <v>142992</v>
      </c>
      <c r="F71" s="114">
        <f t="shared" si="10"/>
        <v>3.2314291467261641E-2</v>
      </c>
    </row>
    <row r="72" spans="1:6" x14ac:dyDescent="0.2">
      <c r="A72" s="115">
        <v>3</v>
      </c>
      <c r="B72" s="116" t="s">
        <v>115</v>
      </c>
      <c r="C72" s="113">
        <v>11068348</v>
      </c>
      <c r="D72" s="113">
        <v>11095097</v>
      </c>
      <c r="E72" s="113">
        <f t="shared" si="9"/>
        <v>26749</v>
      </c>
      <c r="F72" s="114">
        <f t="shared" si="10"/>
        <v>2.4167111478605478E-3</v>
      </c>
    </row>
    <row r="73" spans="1:6" x14ac:dyDescent="0.2">
      <c r="A73" s="115">
        <v>4</v>
      </c>
      <c r="B73" s="116" t="s">
        <v>116</v>
      </c>
      <c r="C73" s="113">
        <v>1222951</v>
      </c>
      <c r="D73" s="113">
        <v>447234</v>
      </c>
      <c r="E73" s="113">
        <f t="shared" si="9"/>
        <v>-775717</v>
      </c>
      <c r="F73" s="114">
        <f t="shared" si="10"/>
        <v>-0.63429933006310146</v>
      </c>
    </row>
    <row r="74" spans="1:6" x14ac:dyDescent="0.2">
      <c r="A74" s="115">
        <v>5</v>
      </c>
      <c r="B74" s="116" t="s">
        <v>117</v>
      </c>
      <c r="C74" s="113">
        <v>478311</v>
      </c>
      <c r="D74" s="113">
        <v>350516</v>
      </c>
      <c r="E74" s="113">
        <f t="shared" si="9"/>
        <v>-127795</v>
      </c>
      <c r="F74" s="114">
        <f t="shared" si="10"/>
        <v>-0.26717972198005063</v>
      </c>
    </row>
    <row r="75" spans="1:6" x14ac:dyDescent="0.2">
      <c r="A75" s="115">
        <v>6</v>
      </c>
      <c r="B75" s="116" t="s">
        <v>118</v>
      </c>
      <c r="C75" s="113">
        <v>39808218</v>
      </c>
      <c r="D75" s="113">
        <v>36592917</v>
      </c>
      <c r="E75" s="113">
        <f t="shared" si="9"/>
        <v>-3215301</v>
      </c>
      <c r="F75" s="114">
        <f t="shared" si="10"/>
        <v>-8.0769779747488321E-2</v>
      </c>
    </row>
    <row r="76" spans="1:6" x14ac:dyDescent="0.2">
      <c r="A76" s="115">
        <v>7</v>
      </c>
      <c r="B76" s="116" t="s">
        <v>119</v>
      </c>
      <c r="C76" s="113">
        <v>0</v>
      </c>
      <c r="D76" s="113">
        <v>0</v>
      </c>
      <c r="E76" s="113">
        <f t="shared" si="9"/>
        <v>0</v>
      </c>
      <c r="F76" s="114">
        <f t="shared" si="10"/>
        <v>0</v>
      </c>
    </row>
    <row r="77" spans="1:6" x14ac:dyDescent="0.2">
      <c r="A77" s="115">
        <v>8</v>
      </c>
      <c r="B77" s="116" t="s">
        <v>120</v>
      </c>
      <c r="C77" s="113">
        <v>1551767</v>
      </c>
      <c r="D77" s="113">
        <v>1444344</v>
      </c>
      <c r="E77" s="113">
        <f t="shared" si="9"/>
        <v>-107423</v>
      </c>
      <c r="F77" s="114">
        <f t="shared" si="10"/>
        <v>-6.92262433728775E-2</v>
      </c>
    </row>
    <row r="78" spans="1:6" x14ac:dyDescent="0.2">
      <c r="A78" s="115">
        <v>9</v>
      </c>
      <c r="B78" s="116" t="s">
        <v>121</v>
      </c>
      <c r="C78" s="113">
        <v>421333</v>
      </c>
      <c r="D78" s="113">
        <v>212431</v>
      </c>
      <c r="E78" s="113">
        <f t="shared" si="9"/>
        <v>-208902</v>
      </c>
      <c r="F78" s="114">
        <f t="shared" si="10"/>
        <v>-0.49581210111716861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76881047</v>
      </c>
      <c r="D81" s="119">
        <f>SUM(D70:D80)</f>
        <v>72732209</v>
      </c>
      <c r="E81" s="119">
        <f t="shared" si="9"/>
        <v>-4148838</v>
      </c>
      <c r="F81" s="120">
        <f t="shared" si="10"/>
        <v>-5.3964379543374325E-2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32369508</v>
      </c>
      <c r="D84" s="119">
        <f t="shared" si="11"/>
        <v>32142840</v>
      </c>
      <c r="E84" s="119">
        <f t="shared" ref="E84:E95" si="12">D84-C84</f>
        <v>-226668</v>
      </c>
      <c r="F84" s="120">
        <f t="shared" ref="F84:F95" si="13">IF(C84=0,0,E84/C84)</f>
        <v>-7.0025160716066489E-3</v>
      </c>
    </row>
    <row r="85" spans="1:6" ht="15.75" x14ac:dyDescent="0.25">
      <c r="A85" s="130">
        <v>2</v>
      </c>
      <c r="B85" s="122" t="s">
        <v>114</v>
      </c>
      <c r="C85" s="119">
        <f t="shared" si="11"/>
        <v>6961011</v>
      </c>
      <c r="D85" s="119">
        <f t="shared" si="11"/>
        <v>7945980</v>
      </c>
      <c r="E85" s="119">
        <f t="shared" si="12"/>
        <v>984969</v>
      </c>
      <c r="F85" s="120">
        <f t="shared" si="13"/>
        <v>0.14149798068125449</v>
      </c>
    </row>
    <row r="86" spans="1:6" ht="15.75" x14ac:dyDescent="0.25">
      <c r="A86" s="130">
        <v>3</v>
      </c>
      <c r="B86" s="122" t="s">
        <v>115</v>
      </c>
      <c r="C86" s="119">
        <f t="shared" si="11"/>
        <v>17565433</v>
      </c>
      <c r="D86" s="119">
        <f t="shared" si="11"/>
        <v>15870581</v>
      </c>
      <c r="E86" s="119">
        <f t="shared" si="12"/>
        <v>-1694852</v>
      </c>
      <c r="F86" s="120">
        <f t="shared" si="13"/>
        <v>-9.648791464463187E-2</v>
      </c>
    </row>
    <row r="87" spans="1:6" ht="15.75" x14ac:dyDescent="0.25">
      <c r="A87" s="130">
        <v>4</v>
      </c>
      <c r="B87" s="122" t="s">
        <v>116</v>
      </c>
      <c r="C87" s="119">
        <f t="shared" si="11"/>
        <v>1454399</v>
      </c>
      <c r="D87" s="119">
        <f t="shared" si="11"/>
        <v>481734</v>
      </c>
      <c r="E87" s="119">
        <f t="shared" si="12"/>
        <v>-972665</v>
      </c>
      <c r="F87" s="120">
        <f t="shared" si="13"/>
        <v>-0.66877452473495924</v>
      </c>
    </row>
    <row r="88" spans="1:6" ht="15.75" x14ac:dyDescent="0.25">
      <c r="A88" s="130">
        <v>5</v>
      </c>
      <c r="B88" s="122" t="s">
        <v>117</v>
      </c>
      <c r="C88" s="119">
        <f t="shared" si="11"/>
        <v>567688</v>
      </c>
      <c r="D88" s="119">
        <f t="shared" si="11"/>
        <v>445300</v>
      </c>
      <c r="E88" s="119">
        <f t="shared" si="12"/>
        <v>-122388</v>
      </c>
      <c r="F88" s="120">
        <f t="shared" si="13"/>
        <v>-0.21559025380138386</v>
      </c>
    </row>
    <row r="89" spans="1:6" ht="15.75" x14ac:dyDescent="0.25">
      <c r="A89" s="130">
        <v>6</v>
      </c>
      <c r="B89" s="122" t="s">
        <v>118</v>
      </c>
      <c r="C89" s="119">
        <f t="shared" si="11"/>
        <v>47506121</v>
      </c>
      <c r="D89" s="119">
        <f t="shared" si="11"/>
        <v>45263690</v>
      </c>
      <c r="E89" s="119">
        <f t="shared" si="12"/>
        <v>-2242431</v>
      </c>
      <c r="F89" s="120">
        <f t="shared" si="13"/>
        <v>-4.7202990957733636E-2</v>
      </c>
    </row>
    <row r="90" spans="1:6" ht="15.75" x14ac:dyDescent="0.25">
      <c r="A90" s="130">
        <v>7</v>
      </c>
      <c r="B90" s="122" t="s">
        <v>119</v>
      </c>
      <c r="C90" s="119">
        <f t="shared" si="11"/>
        <v>0</v>
      </c>
      <c r="D90" s="119">
        <f t="shared" si="11"/>
        <v>0</v>
      </c>
      <c r="E90" s="119">
        <f t="shared" si="12"/>
        <v>0</v>
      </c>
      <c r="F90" s="120">
        <f t="shared" si="13"/>
        <v>0</v>
      </c>
    </row>
    <row r="91" spans="1:6" ht="15.75" x14ac:dyDescent="0.25">
      <c r="A91" s="130">
        <v>8</v>
      </c>
      <c r="B91" s="122" t="s">
        <v>120</v>
      </c>
      <c r="C91" s="119">
        <f t="shared" si="11"/>
        <v>1729099</v>
      </c>
      <c r="D91" s="119">
        <f t="shared" si="11"/>
        <v>1504932</v>
      </c>
      <c r="E91" s="119">
        <f t="shared" si="12"/>
        <v>-224167</v>
      </c>
      <c r="F91" s="120">
        <f t="shared" si="13"/>
        <v>-0.12964382027865379</v>
      </c>
    </row>
    <row r="92" spans="1:6" ht="15.75" x14ac:dyDescent="0.25">
      <c r="A92" s="130">
        <v>9</v>
      </c>
      <c r="B92" s="122" t="s">
        <v>121</v>
      </c>
      <c r="C92" s="119">
        <f t="shared" si="11"/>
        <v>471460</v>
      </c>
      <c r="D92" s="119">
        <f t="shared" si="11"/>
        <v>251298</v>
      </c>
      <c r="E92" s="119">
        <f t="shared" si="12"/>
        <v>-220162</v>
      </c>
      <c r="F92" s="120">
        <f t="shared" si="13"/>
        <v>-0.46697917108556397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108624719</v>
      </c>
      <c r="D95" s="128">
        <f>SUM(D84:D94)</f>
        <v>103906355</v>
      </c>
      <c r="E95" s="128">
        <f t="shared" si="12"/>
        <v>-4718364</v>
      </c>
      <c r="F95" s="129">
        <f t="shared" si="13"/>
        <v>-4.3437295336064344E-2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1865</v>
      </c>
      <c r="D100" s="133">
        <v>1569</v>
      </c>
      <c r="E100" s="133">
        <f t="shared" ref="E100:E111" si="14">D100-C100</f>
        <v>-296</v>
      </c>
      <c r="F100" s="114">
        <f t="shared" ref="F100:F111" si="15">IF(C100=0,0,E100/C100)</f>
        <v>-0.15871313672922252</v>
      </c>
    </row>
    <row r="101" spans="1:6" x14ac:dyDescent="0.2">
      <c r="A101" s="115">
        <v>2</v>
      </c>
      <c r="B101" s="116" t="s">
        <v>114</v>
      </c>
      <c r="C101" s="133">
        <v>343</v>
      </c>
      <c r="D101" s="133">
        <v>378</v>
      </c>
      <c r="E101" s="133">
        <f t="shared" si="14"/>
        <v>35</v>
      </c>
      <c r="F101" s="114">
        <f t="shared" si="15"/>
        <v>0.10204081632653061</v>
      </c>
    </row>
    <row r="102" spans="1:6" x14ac:dyDescent="0.2">
      <c r="A102" s="115">
        <v>3</v>
      </c>
      <c r="B102" s="116" t="s">
        <v>115</v>
      </c>
      <c r="C102" s="133">
        <v>1318</v>
      </c>
      <c r="D102" s="133">
        <v>1257</v>
      </c>
      <c r="E102" s="133">
        <f t="shared" si="14"/>
        <v>-61</v>
      </c>
      <c r="F102" s="114">
        <f t="shared" si="15"/>
        <v>-4.6282245827010619E-2</v>
      </c>
    </row>
    <row r="103" spans="1:6" x14ac:dyDescent="0.2">
      <c r="A103" s="115">
        <v>4</v>
      </c>
      <c r="B103" s="116" t="s">
        <v>116</v>
      </c>
      <c r="C103" s="133">
        <v>109</v>
      </c>
      <c r="D103" s="133">
        <v>8</v>
      </c>
      <c r="E103" s="133">
        <f t="shared" si="14"/>
        <v>-101</v>
      </c>
      <c r="F103" s="114">
        <f t="shared" si="15"/>
        <v>-0.92660550458715596</v>
      </c>
    </row>
    <row r="104" spans="1:6" x14ac:dyDescent="0.2">
      <c r="A104" s="115">
        <v>5</v>
      </c>
      <c r="B104" s="116" t="s">
        <v>117</v>
      </c>
      <c r="C104" s="133">
        <v>37</v>
      </c>
      <c r="D104" s="133">
        <v>20</v>
      </c>
      <c r="E104" s="133">
        <f t="shared" si="14"/>
        <v>-17</v>
      </c>
      <c r="F104" s="114">
        <f t="shared" si="15"/>
        <v>-0.45945945945945948</v>
      </c>
    </row>
    <row r="105" spans="1:6" x14ac:dyDescent="0.2">
      <c r="A105" s="115">
        <v>6</v>
      </c>
      <c r="B105" s="116" t="s">
        <v>118</v>
      </c>
      <c r="C105" s="133">
        <v>1343</v>
      </c>
      <c r="D105" s="133">
        <v>1036</v>
      </c>
      <c r="E105" s="133">
        <f t="shared" si="14"/>
        <v>-307</v>
      </c>
      <c r="F105" s="114">
        <f t="shared" si="15"/>
        <v>-0.2285927029039464</v>
      </c>
    </row>
    <row r="106" spans="1:6" x14ac:dyDescent="0.2">
      <c r="A106" s="115">
        <v>7</v>
      </c>
      <c r="B106" s="116" t="s">
        <v>119</v>
      </c>
      <c r="C106" s="133">
        <v>0</v>
      </c>
      <c r="D106" s="133">
        <v>0</v>
      </c>
      <c r="E106" s="133">
        <f t="shared" si="14"/>
        <v>0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11</v>
      </c>
      <c r="D107" s="133">
        <v>4</v>
      </c>
      <c r="E107" s="133">
        <f t="shared" si="14"/>
        <v>-7</v>
      </c>
      <c r="F107" s="114">
        <f t="shared" si="15"/>
        <v>-0.63636363636363635</v>
      </c>
    </row>
    <row r="108" spans="1:6" x14ac:dyDescent="0.2">
      <c r="A108" s="115">
        <v>9</v>
      </c>
      <c r="B108" s="116" t="s">
        <v>121</v>
      </c>
      <c r="C108" s="133">
        <v>71</v>
      </c>
      <c r="D108" s="133">
        <v>59</v>
      </c>
      <c r="E108" s="133">
        <f t="shared" si="14"/>
        <v>-12</v>
      </c>
      <c r="F108" s="114">
        <f t="shared" si="15"/>
        <v>-0.16901408450704225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5097</v>
      </c>
      <c r="D111" s="134">
        <f>SUM(D100:D110)</f>
        <v>4331</v>
      </c>
      <c r="E111" s="134">
        <f t="shared" si="14"/>
        <v>-766</v>
      </c>
      <c r="F111" s="120">
        <f t="shared" si="15"/>
        <v>-0.15028448106729447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7647</v>
      </c>
      <c r="D113" s="133">
        <v>6581</v>
      </c>
      <c r="E113" s="133">
        <f t="shared" ref="E113:E124" si="16">D113-C113</f>
        <v>-1066</v>
      </c>
      <c r="F113" s="114">
        <f t="shared" ref="F113:F124" si="17">IF(C113=0,0,E113/C113)</f>
        <v>-0.1394010723159409</v>
      </c>
    </row>
    <row r="114" spans="1:6" x14ac:dyDescent="0.2">
      <c r="A114" s="115">
        <v>2</v>
      </c>
      <c r="B114" s="116" t="s">
        <v>114</v>
      </c>
      <c r="C114" s="133">
        <v>1306</v>
      </c>
      <c r="D114" s="133">
        <v>1580</v>
      </c>
      <c r="E114" s="133">
        <f t="shared" si="16"/>
        <v>274</v>
      </c>
      <c r="F114" s="114">
        <f t="shared" si="17"/>
        <v>0.20980091883614088</v>
      </c>
    </row>
    <row r="115" spans="1:6" x14ac:dyDescent="0.2">
      <c r="A115" s="115">
        <v>3</v>
      </c>
      <c r="B115" s="116" t="s">
        <v>115</v>
      </c>
      <c r="C115" s="133">
        <v>4803</v>
      </c>
      <c r="D115" s="133">
        <v>4388</v>
      </c>
      <c r="E115" s="133">
        <f t="shared" si="16"/>
        <v>-415</v>
      </c>
      <c r="F115" s="114">
        <f t="shared" si="17"/>
        <v>-8.6404330626691644E-2</v>
      </c>
    </row>
    <row r="116" spans="1:6" x14ac:dyDescent="0.2">
      <c r="A116" s="115">
        <v>4</v>
      </c>
      <c r="B116" s="116" t="s">
        <v>116</v>
      </c>
      <c r="C116" s="133">
        <v>328</v>
      </c>
      <c r="D116" s="133">
        <v>42</v>
      </c>
      <c r="E116" s="133">
        <f t="shared" si="16"/>
        <v>-286</v>
      </c>
      <c r="F116" s="114">
        <f t="shared" si="17"/>
        <v>-0.87195121951219512</v>
      </c>
    </row>
    <row r="117" spans="1:6" x14ac:dyDescent="0.2">
      <c r="A117" s="115">
        <v>5</v>
      </c>
      <c r="B117" s="116" t="s">
        <v>117</v>
      </c>
      <c r="C117" s="133">
        <v>84</v>
      </c>
      <c r="D117" s="133">
        <v>52</v>
      </c>
      <c r="E117" s="133">
        <f t="shared" si="16"/>
        <v>-32</v>
      </c>
      <c r="F117" s="114">
        <f t="shared" si="17"/>
        <v>-0.38095238095238093</v>
      </c>
    </row>
    <row r="118" spans="1:6" x14ac:dyDescent="0.2">
      <c r="A118" s="115">
        <v>6</v>
      </c>
      <c r="B118" s="116" t="s">
        <v>118</v>
      </c>
      <c r="C118" s="133">
        <v>4097</v>
      </c>
      <c r="D118" s="133">
        <v>3264</v>
      </c>
      <c r="E118" s="133">
        <f t="shared" si="16"/>
        <v>-833</v>
      </c>
      <c r="F118" s="114">
        <f t="shared" si="17"/>
        <v>-0.2033195020746888</v>
      </c>
    </row>
    <row r="119" spans="1:6" x14ac:dyDescent="0.2">
      <c r="A119" s="115">
        <v>7</v>
      </c>
      <c r="B119" s="116" t="s">
        <v>119</v>
      </c>
      <c r="C119" s="133">
        <v>0</v>
      </c>
      <c r="D119" s="133">
        <v>0</v>
      </c>
      <c r="E119" s="133">
        <f t="shared" si="16"/>
        <v>0</v>
      </c>
      <c r="F119" s="114">
        <f t="shared" si="17"/>
        <v>0</v>
      </c>
    </row>
    <row r="120" spans="1:6" x14ac:dyDescent="0.2">
      <c r="A120" s="115">
        <v>8</v>
      </c>
      <c r="B120" s="116" t="s">
        <v>120</v>
      </c>
      <c r="C120" s="133">
        <v>27</v>
      </c>
      <c r="D120" s="133">
        <v>9</v>
      </c>
      <c r="E120" s="133">
        <f t="shared" si="16"/>
        <v>-18</v>
      </c>
      <c r="F120" s="114">
        <f t="shared" si="17"/>
        <v>-0.66666666666666663</v>
      </c>
    </row>
    <row r="121" spans="1:6" x14ac:dyDescent="0.2">
      <c r="A121" s="115">
        <v>9</v>
      </c>
      <c r="B121" s="116" t="s">
        <v>121</v>
      </c>
      <c r="C121" s="133">
        <v>192</v>
      </c>
      <c r="D121" s="133">
        <v>208</v>
      </c>
      <c r="E121" s="133">
        <f t="shared" si="16"/>
        <v>16</v>
      </c>
      <c r="F121" s="114">
        <f t="shared" si="17"/>
        <v>8.3333333333333329E-2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18484</v>
      </c>
      <c r="D124" s="134">
        <f>SUM(D113:D123)</f>
        <v>16124</v>
      </c>
      <c r="E124" s="134">
        <f t="shared" si="16"/>
        <v>-2360</v>
      </c>
      <c r="F124" s="120">
        <f t="shared" si="17"/>
        <v>-0.12767799177667172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108239</v>
      </c>
      <c r="D126" s="133">
        <v>103075</v>
      </c>
      <c r="E126" s="133">
        <f t="shared" ref="E126:E137" si="18">D126-C126</f>
        <v>-5164</v>
      </c>
      <c r="F126" s="114">
        <f t="shared" ref="F126:F137" si="19">IF(C126=0,0,E126/C126)</f>
        <v>-4.7709236042461592E-2</v>
      </c>
    </row>
    <row r="127" spans="1:6" x14ac:dyDescent="0.2">
      <c r="A127" s="115">
        <v>2</v>
      </c>
      <c r="B127" s="116" t="s">
        <v>114</v>
      </c>
      <c r="C127" s="133">
        <v>16278</v>
      </c>
      <c r="D127" s="133">
        <v>23503</v>
      </c>
      <c r="E127" s="133">
        <f t="shared" si="18"/>
        <v>7225</v>
      </c>
      <c r="F127" s="114">
        <f t="shared" si="19"/>
        <v>0.44385059589630177</v>
      </c>
    </row>
    <row r="128" spans="1:6" x14ac:dyDescent="0.2">
      <c r="A128" s="115">
        <v>3</v>
      </c>
      <c r="B128" s="116" t="s">
        <v>115</v>
      </c>
      <c r="C128" s="133">
        <v>55544</v>
      </c>
      <c r="D128" s="133">
        <v>61074</v>
      </c>
      <c r="E128" s="133">
        <f t="shared" si="18"/>
        <v>5530</v>
      </c>
      <c r="F128" s="114">
        <f t="shared" si="19"/>
        <v>9.9560708627394495E-2</v>
      </c>
    </row>
    <row r="129" spans="1:6" x14ac:dyDescent="0.2">
      <c r="A129" s="115">
        <v>4</v>
      </c>
      <c r="B129" s="116" t="s">
        <v>116</v>
      </c>
      <c r="C129" s="133">
        <v>13157</v>
      </c>
      <c r="D129" s="133">
        <v>911</v>
      </c>
      <c r="E129" s="133">
        <f t="shared" si="18"/>
        <v>-12246</v>
      </c>
      <c r="F129" s="114">
        <f t="shared" si="19"/>
        <v>-0.93075929163183091</v>
      </c>
    </row>
    <row r="130" spans="1:6" x14ac:dyDescent="0.2">
      <c r="A130" s="115">
        <v>5</v>
      </c>
      <c r="B130" s="116" t="s">
        <v>117</v>
      </c>
      <c r="C130" s="133">
        <v>2788</v>
      </c>
      <c r="D130" s="133">
        <v>1904</v>
      </c>
      <c r="E130" s="133">
        <f t="shared" si="18"/>
        <v>-884</v>
      </c>
      <c r="F130" s="114">
        <f t="shared" si="19"/>
        <v>-0.31707317073170732</v>
      </c>
    </row>
    <row r="131" spans="1:6" x14ac:dyDescent="0.2">
      <c r="A131" s="115">
        <v>6</v>
      </c>
      <c r="B131" s="116" t="s">
        <v>118</v>
      </c>
      <c r="C131" s="133">
        <v>122231</v>
      </c>
      <c r="D131" s="133">
        <v>92258</v>
      </c>
      <c r="E131" s="133">
        <f t="shared" si="18"/>
        <v>-29973</v>
      </c>
      <c r="F131" s="114">
        <f t="shared" si="19"/>
        <v>-0.24521602539453985</v>
      </c>
    </row>
    <row r="132" spans="1:6" x14ac:dyDescent="0.2">
      <c r="A132" s="115">
        <v>7</v>
      </c>
      <c r="B132" s="116" t="s">
        <v>119</v>
      </c>
      <c r="C132" s="133">
        <v>0</v>
      </c>
      <c r="D132" s="133">
        <v>0</v>
      </c>
      <c r="E132" s="133">
        <f t="shared" si="18"/>
        <v>0</v>
      </c>
      <c r="F132" s="114">
        <f t="shared" si="19"/>
        <v>0</v>
      </c>
    </row>
    <row r="133" spans="1:6" x14ac:dyDescent="0.2">
      <c r="A133" s="115">
        <v>8</v>
      </c>
      <c r="B133" s="116" t="s">
        <v>120</v>
      </c>
      <c r="C133" s="133">
        <v>2209</v>
      </c>
      <c r="D133" s="133">
        <v>2242</v>
      </c>
      <c r="E133" s="133">
        <f t="shared" si="18"/>
        <v>33</v>
      </c>
      <c r="F133" s="114">
        <f t="shared" si="19"/>
        <v>1.4938886373924853E-2</v>
      </c>
    </row>
    <row r="134" spans="1:6" x14ac:dyDescent="0.2">
      <c r="A134" s="115">
        <v>9</v>
      </c>
      <c r="B134" s="116" t="s">
        <v>121</v>
      </c>
      <c r="C134" s="133">
        <v>7734</v>
      </c>
      <c r="D134" s="133">
        <v>7035</v>
      </c>
      <c r="E134" s="133">
        <f t="shared" si="18"/>
        <v>-699</v>
      </c>
      <c r="F134" s="114">
        <f t="shared" si="19"/>
        <v>-9.0380139643134211E-2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328180</v>
      </c>
      <c r="D137" s="134">
        <f>SUM(D126:D136)</f>
        <v>292002</v>
      </c>
      <c r="E137" s="134">
        <f t="shared" si="18"/>
        <v>-36178</v>
      </c>
      <c r="F137" s="120">
        <f t="shared" si="19"/>
        <v>-0.11023828386860869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6248953</v>
      </c>
      <c r="D142" s="113">
        <v>6451335</v>
      </c>
      <c r="E142" s="113">
        <f t="shared" ref="E142:E153" si="20">D142-C142</f>
        <v>202382</v>
      </c>
      <c r="F142" s="114">
        <f t="shared" ref="F142:F153" si="21">IF(C142=0,0,E142/C142)</f>
        <v>3.2386545394084414E-2</v>
      </c>
    </row>
    <row r="143" spans="1:6" x14ac:dyDescent="0.2">
      <c r="A143" s="115">
        <v>2</v>
      </c>
      <c r="B143" s="116" t="s">
        <v>114</v>
      </c>
      <c r="C143" s="113">
        <v>1378427</v>
      </c>
      <c r="D143" s="113">
        <v>1472534</v>
      </c>
      <c r="E143" s="113">
        <f t="shared" si="20"/>
        <v>94107</v>
      </c>
      <c r="F143" s="114">
        <f t="shared" si="21"/>
        <v>6.8271297645794815E-2</v>
      </c>
    </row>
    <row r="144" spans="1:6" x14ac:dyDescent="0.2">
      <c r="A144" s="115">
        <v>3</v>
      </c>
      <c r="B144" s="116" t="s">
        <v>115</v>
      </c>
      <c r="C144" s="113">
        <v>8285258</v>
      </c>
      <c r="D144" s="113">
        <v>9463086</v>
      </c>
      <c r="E144" s="113">
        <f t="shared" si="20"/>
        <v>1177828</v>
      </c>
      <c r="F144" s="114">
        <f t="shared" si="21"/>
        <v>0.14215948374812226</v>
      </c>
    </row>
    <row r="145" spans="1:6" x14ac:dyDescent="0.2">
      <c r="A145" s="115">
        <v>4</v>
      </c>
      <c r="B145" s="116" t="s">
        <v>116</v>
      </c>
      <c r="C145" s="113">
        <v>1293466</v>
      </c>
      <c r="D145" s="113">
        <v>79924</v>
      </c>
      <c r="E145" s="113">
        <f t="shared" si="20"/>
        <v>-1213542</v>
      </c>
      <c r="F145" s="114">
        <f t="shared" si="21"/>
        <v>-0.93820943109443933</v>
      </c>
    </row>
    <row r="146" spans="1:6" x14ac:dyDescent="0.2">
      <c r="A146" s="115">
        <v>5</v>
      </c>
      <c r="B146" s="116" t="s">
        <v>117</v>
      </c>
      <c r="C146" s="113">
        <v>292111</v>
      </c>
      <c r="D146" s="113">
        <v>241243</v>
      </c>
      <c r="E146" s="113">
        <f t="shared" si="20"/>
        <v>-50868</v>
      </c>
      <c r="F146" s="114">
        <f t="shared" si="21"/>
        <v>-0.17413928266994397</v>
      </c>
    </row>
    <row r="147" spans="1:6" x14ac:dyDescent="0.2">
      <c r="A147" s="115">
        <v>6</v>
      </c>
      <c r="B147" s="116" t="s">
        <v>118</v>
      </c>
      <c r="C147" s="113">
        <v>10186146</v>
      </c>
      <c r="D147" s="113">
        <v>9242675</v>
      </c>
      <c r="E147" s="113">
        <f t="shared" si="20"/>
        <v>-943471</v>
      </c>
      <c r="F147" s="114">
        <f t="shared" si="21"/>
        <v>-9.2622960636927848E-2</v>
      </c>
    </row>
    <row r="148" spans="1:6" x14ac:dyDescent="0.2">
      <c r="A148" s="115">
        <v>7</v>
      </c>
      <c r="B148" s="116" t="s">
        <v>119</v>
      </c>
      <c r="C148" s="113">
        <v>0</v>
      </c>
      <c r="D148" s="113">
        <v>0</v>
      </c>
      <c r="E148" s="113">
        <f t="shared" si="20"/>
        <v>0</v>
      </c>
      <c r="F148" s="114">
        <f t="shared" si="21"/>
        <v>0</v>
      </c>
    </row>
    <row r="149" spans="1:6" x14ac:dyDescent="0.2">
      <c r="A149" s="115">
        <v>8</v>
      </c>
      <c r="B149" s="116" t="s">
        <v>120</v>
      </c>
      <c r="C149" s="113">
        <v>495383</v>
      </c>
      <c r="D149" s="113">
        <v>517853</v>
      </c>
      <c r="E149" s="113">
        <f t="shared" si="20"/>
        <v>22470</v>
      </c>
      <c r="F149" s="114">
        <f t="shared" si="21"/>
        <v>4.5358843561446399E-2</v>
      </c>
    </row>
    <row r="150" spans="1:6" x14ac:dyDescent="0.2">
      <c r="A150" s="115">
        <v>9</v>
      </c>
      <c r="B150" s="116" t="s">
        <v>121</v>
      </c>
      <c r="C150" s="113">
        <v>2272791</v>
      </c>
      <c r="D150" s="113">
        <v>1806232</v>
      </c>
      <c r="E150" s="113">
        <f t="shared" si="20"/>
        <v>-466559</v>
      </c>
      <c r="F150" s="114">
        <f t="shared" si="21"/>
        <v>-0.20528020394308144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30452535</v>
      </c>
      <c r="D153" s="119">
        <f>SUM(D142:D152)</f>
        <v>29274882</v>
      </c>
      <c r="E153" s="119">
        <f t="shared" si="20"/>
        <v>-1177653</v>
      </c>
      <c r="F153" s="120">
        <f t="shared" si="21"/>
        <v>-3.8671755898154289E-2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1802182</v>
      </c>
      <c r="D155" s="113">
        <v>1859188</v>
      </c>
      <c r="E155" s="113">
        <f t="shared" ref="E155:E166" si="22">D155-C155</f>
        <v>57006</v>
      </c>
      <c r="F155" s="114">
        <f t="shared" ref="F155:F166" si="23">IF(C155=0,0,E155/C155)</f>
        <v>3.1631655404393118E-2</v>
      </c>
    </row>
    <row r="156" spans="1:6" x14ac:dyDescent="0.2">
      <c r="A156" s="115">
        <v>2</v>
      </c>
      <c r="B156" s="116" t="s">
        <v>114</v>
      </c>
      <c r="C156" s="113">
        <v>415739</v>
      </c>
      <c r="D156" s="113">
        <v>427667</v>
      </c>
      <c r="E156" s="113">
        <f t="shared" si="22"/>
        <v>11928</v>
      </c>
      <c r="F156" s="114">
        <f t="shared" si="23"/>
        <v>2.8691077815648759E-2</v>
      </c>
    </row>
    <row r="157" spans="1:6" x14ac:dyDescent="0.2">
      <c r="A157" s="115">
        <v>3</v>
      </c>
      <c r="B157" s="116" t="s">
        <v>115</v>
      </c>
      <c r="C157" s="113">
        <v>2427252</v>
      </c>
      <c r="D157" s="113">
        <v>2382946</v>
      </c>
      <c r="E157" s="113">
        <f t="shared" si="22"/>
        <v>-44306</v>
      </c>
      <c r="F157" s="114">
        <f t="shared" si="23"/>
        <v>-1.8253564112832125E-2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18377</v>
      </c>
      <c r="E158" s="113">
        <f t="shared" si="22"/>
        <v>18377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109892</v>
      </c>
      <c r="D159" s="113">
        <v>85974</v>
      </c>
      <c r="E159" s="113">
        <f t="shared" si="22"/>
        <v>-23918</v>
      </c>
      <c r="F159" s="114">
        <f t="shared" si="23"/>
        <v>-0.2176500564190296</v>
      </c>
    </row>
    <row r="160" spans="1:6" x14ac:dyDescent="0.2">
      <c r="A160" s="115">
        <v>6</v>
      </c>
      <c r="B160" s="116" t="s">
        <v>118</v>
      </c>
      <c r="C160" s="113">
        <v>6941187</v>
      </c>
      <c r="D160" s="113">
        <v>6563596</v>
      </c>
      <c r="E160" s="113">
        <f t="shared" si="22"/>
        <v>-377591</v>
      </c>
      <c r="F160" s="114">
        <f t="shared" si="23"/>
        <v>-5.4398620869888684E-2</v>
      </c>
    </row>
    <row r="161" spans="1:6" x14ac:dyDescent="0.2">
      <c r="A161" s="115">
        <v>7</v>
      </c>
      <c r="B161" s="116" t="s">
        <v>119</v>
      </c>
      <c r="C161" s="113">
        <v>0</v>
      </c>
      <c r="D161" s="113">
        <v>0</v>
      </c>
      <c r="E161" s="113">
        <f t="shared" si="22"/>
        <v>0</v>
      </c>
      <c r="F161" s="114">
        <f t="shared" si="23"/>
        <v>0</v>
      </c>
    </row>
    <row r="162" spans="1:6" x14ac:dyDescent="0.2">
      <c r="A162" s="115">
        <v>8</v>
      </c>
      <c r="B162" s="116" t="s">
        <v>120</v>
      </c>
      <c r="C162" s="113">
        <v>431946</v>
      </c>
      <c r="D162" s="113">
        <v>442544</v>
      </c>
      <c r="E162" s="113">
        <f t="shared" si="22"/>
        <v>10598</v>
      </c>
      <c r="F162" s="114">
        <f t="shared" si="23"/>
        <v>2.4535474341700121E-2</v>
      </c>
    </row>
    <row r="163" spans="1:6" x14ac:dyDescent="0.2">
      <c r="A163" s="115">
        <v>9</v>
      </c>
      <c r="B163" s="116" t="s">
        <v>121</v>
      </c>
      <c r="C163" s="113">
        <v>117083</v>
      </c>
      <c r="D163" s="113">
        <v>773079</v>
      </c>
      <c r="E163" s="113">
        <f t="shared" si="22"/>
        <v>655996</v>
      </c>
      <c r="F163" s="114">
        <f t="shared" si="23"/>
        <v>5.6028287625018152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12245281</v>
      </c>
      <c r="D166" s="119">
        <f>SUM(D155:D165)</f>
        <v>12553371</v>
      </c>
      <c r="E166" s="119">
        <f t="shared" si="22"/>
        <v>308090</v>
      </c>
      <c r="F166" s="120">
        <f t="shared" si="23"/>
        <v>2.5159896289844226E-2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3996</v>
      </c>
      <c r="D168" s="133">
        <v>4086</v>
      </c>
      <c r="E168" s="133">
        <f t="shared" ref="E168:E179" si="24">D168-C168</f>
        <v>90</v>
      </c>
      <c r="F168" s="114">
        <f t="shared" ref="F168:F179" si="25">IF(C168=0,0,E168/C168)</f>
        <v>2.2522522522522521E-2</v>
      </c>
    </row>
    <row r="169" spans="1:6" x14ac:dyDescent="0.2">
      <c r="A169" s="115">
        <v>2</v>
      </c>
      <c r="B169" s="116" t="s">
        <v>114</v>
      </c>
      <c r="C169" s="133">
        <v>807</v>
      </c>
      <c r="D169" s="133">
        <v>918</v>
      </c>
      <c r="E169" s="133">
        <f t="shared" si="24"/>
        <v>111</v>
      </c>
      <c r="F169" s="114">
        <f t="shared" si="25"/>
        <v>0.13754646840148699</v>
      </c>
    </row>
    <row r="170" spans="1:6" x14ac:dyDescent="0.2">
      <c r="A170" s="115">
        <v>3</v>
      </c>
      <c r="B170" s="116" t="s">
        <v>115</v>
      </c>
      <c r="C170" s="133">
        <v>7600</v>
      </c>
      <c r="D170" s="133">
        <v>8000</v>
      </c>
      <c r="E170" s="133">
        <f t="shared" si="24"/>
        <v>400</v>
      </c>
      <c r="F170" s="114">
        <f t="shared" si="25"/>
        <v>5.2631578947368418E-2</v>
      </c>
    </row>
    <row r="171" spans="1:6" x14ac:dyDescent="0.2">
      <c r="A171" s="115">
        <v>4</v>
      </c>
      <c r="B171" s="116" t="s">
        <v>116</v>
      </c>
      <c r="C171" s="133">
        <v>1343</v>
      </c>
      <c r="D171" s="133">
        <v>41</v>
      </c>
      <c r="E171" s="133">
        <f t="shared" si="24"/>
        <v>-1302</v>
      </c>
      <c r="F171" s="114">
        <f t="shared" si="25"/>
        <v>-0.96947133283693221</v>
      </c>
    </row>
    <row r="172" spans="1:6" x14ac:dyDescent="0.2">
      <c r="A172" s="115">
        <v>5</v>
      </c>
      <c r="B172" s="116" t="s">
        <v>117</v>
      </c>
      <c r="C172" s="133">
        <v>278</v>
      </c>
      <c r="D172" s="133">
        <v>220</v>
      </c>
      <c r="E172" s="133">
        <f t="shared" si="24"/>
        <v>-58</v>
      </c>
      <c r="F172" s="114">
        <f t="shared" si="25"/>
        <v>-0.20863309352517986</v>
      </c>
    </row>
    <row r="173" spans="1:6" x14ac:dyDescent="0.2">
      <c r="A173" s="115">
        <v>6</v>
      </c>
      <c r="B173" s="116" t="s">
        <v>118</v>
      </c>
      <c r="C173" s="133">
        <v>8211</v>
      </c>
      <c r="D173" s="133">
        <v>6127</v>
      </c>
      <c r="E173" s="133">
        <f t="shared" si="24"/>
        <v>-2084</v>
      </c>
      <c r="F173" s="114">
        <f t="shared" si="25"/>
        <v>-0.25380587017415662</v>
      </c>
    </row>
    <row r="174" spans="1:6" x14ac:dyDescent="0.2">
      <c r="A174" s="115">
        <v>7</v>
      </c>
      <c r="B174" s="116" t="s">
        <v>119</v>
      </c>
      <c r="C174" s="133">
        <v>0</v>
      </c>
      <c r="D174" s="133">
        <v>0</v>
      </c>
      <c r="E174" s="133">
        <f t="shared" si="24"/>
        <v>0</v>
      </c>
      <c r="F174" s="114">
        <f t="shared" si="25"/>
        <v>0</v>
      </c>
    </row>
    <row r="175" spans="1:6" x14ac:dyDescent="0.2">
      <c r="A175" s="115">
        <v>8</v>
      </c>
      <c r="B175" s="116" t="s">
        <v>120</v>
      </c>
      <c r="C175" s="133">
        <v>620</v>
      </c>
      <c r="D175" s="133">
        <v>609</v>
      </c>
      <c r="E175" s="133">
        <f t="shared" si="24"/>
        <v>-11</v>
      </c>
      <c r="F175" s="114">
        <f t="shared" si="25"/>
        <v>-1.7741935483870968E-2</v>
      </c>
    </row>
    <row r="176" spans="1:6" x14ac:dyDescent="0.2">
      <c r="A176" s="115">
        <v>9</v>
      </c>
      <c r="B176" s="116" t="s">
        <v>121</v>
      </c>
      <c r="C176" s="133">
        <v>1871</v>
      </c>
      <c r="D176" s="133">
        <v>1490</v>
      </c>
      <c r="E176" s="133">
        <f t="shared" si="24"/>
        <v>-381</v>
      </c>
      <c r="F176" s="114">
        <f t="shared" si="25"/>
        <v>-0.20363442009620525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24726</v>
      </c>
      <c r="D179" s="134">
        <f>SUM(D168:D178)</f>
        <v>21491</v>
      </c>
      <c r="E179" s="134">
        <f t="shared" si="24"/>
        <v>-3235</v>
      </c>
      <c r="F179" s="120">
        <f t="shared" si="25"/>
        <v>-0.13083393998220497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16633835</v>
      </c>
      <c r="D15" s="157">
        <v>17402531</v>
      </c>
      <c r="E15" s="157">
        <f>+D15-C15</f>
        <v>768696</v>
      </c>
      <c r="F15" s="161">
        <f>IF(C15=0,0,E15/C15)</f>
        <v>4.6212794584051121E-2</v>
      </c>
    </row>
    <row r="16" spans="1:6" ht="15" customHeight="1" x14ac:dyDescent="0.2">
      <c r="A16" s="147">
        <v>2</v>
      </c>
      <c r="B16" s="160" t="s">
        <v>157</v>
      </c>
      <c r="C16" s="157">
        <v>3748829</v>
      </c>
      <c r="D16" s="157">
        <v>1443401</v>
      </c>
      <c r="E16" s="157">
        <f>+D16-C16</f>
        <v>-2305428</v>
      </c>
      <c r="F16" s="161">
        <f>IF(C16=0,0,E16/C16)</f>
        <v>-0.61497283551743753</v>
      </c>
    </row>
    <row r="17" spans="1:6" ht="15" customHeight="1" x14ac:dyDescent="0.2">
      <c r="A17" s="147">
        <v>3</v>
      </c>
      <c r="B17" s="160" t="s">
        <v>158</v>
      </c>
      <c r="C17" s="157">
        <v>30660397</v>
      </c>
      <c r="D17" s="157">
        <v>28859814</v>
      </c>
      <c r="E17" s="157">
        <f>+D17-C17</f>
        <v>-1800583</v>
      </c>
      <c r="F17" s="161">
        <f>IF(C17=0,0,E17/C17)</f>
        <v>-5.8726669455715134E-2</v>
      </c>
    </row>
    <row r="18" spans="1:6" ht="15.75" customHeight="1" x14ac:dyDescent="0.25">
      <c r="A18" s="147"/>
      <c r="B18" s="162" t="s">
        <v>159</v>
      </c>
      <c r="C18" s="158">
        <f>SUM(C15:C17)</f>
        <v>51043061</v>
      </c>
      <c r="D18" s="158">
        <f>SUM(D15:D17)</f>
        <v>47705746</v>
      </c>
      <c r="E18" s="158">
        <f>+D18-C18</f>
        <v>-3337315</v>
      </c>
      <c r="F18" s="159">
        <f>IF(C18=0,0,E18/C18)</f>
        <v>-6.538234452671246E-2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5673578</v>
      </c>
      <c r="D21" s="157">
        <v>6244691</v>
      </c>
      <c r="E21" s="157">
        <f>+D21-C21</f>
        <v>571113</v>
      </c>
      <c r="F21" s="161">
        <f>IF(C21=0,0,E21/C21)</f>
        <v>0.10066187509892346</v>
      </c>
    </row>
    <row r="22" spans="1:6" ht="15" customHeight="1" x14ac:dyDescent="0.2">
      <c r="A22" s="147">
        <v>2</v>
      </c>
      <c r="B22" s="160" t="s">
        <v>162</v>
      </c>
      <c r="C22" s="157">
        <v>1278675</v>
      </c>
      <c r="D22" s="157">
        <v>517947</v>
      </c>
      <c r="E22" s="157">
        <f>+D22-C22</f>
        <v>-760728</v>
      </c>
      <c r="F22" s="161">
        <f>IF(C22=0,0,E22/C22)</f>
        <v>-0.5949346002698106</v>
      </c>
    </row>
    <row r="23" spans="1:6" ht="15" customHeight="1" x14ac:dyDescent="0.2">
      <c r="A23" s="147">
        <v>3</v>
      </c>
      <c r="B23" s="160" t="s">
        <v>163</v>
      </c>
      <c r="C23" s="157">
        <v>10457849</v>
      </c>
      <c r="D23" s="157">
        <v>10356001</v>
      </c>
      <c r="E23" s="157">
        <f>+D23-C23</f>
        <v>-101848</v>
      </c>
      <c r="F23" s="161">
        <f>IF(C23=0,0,E23/C23)</f>
        <v>-9.7389051993387928E-3</v>
      </c>
    </row>
    <row r="24" spans="1:6" ht="15.75" customHeight="1" x14ac:dyDescent="0.25">
      <c r="A24" s="147"/>
      <c r="B24" s="162" t="s">
        <v>164</v>
      </c>
      <c r="C24" s="158">
        <f>SUM(C21:C23)</f>
        <v>17410102</v>
      </c>
      <c r="D24" s="158">
        <f>SUM(D21:D23)</f>
        <v>17118639</v>
      </c>
      <c r="E24" s="158">
        <f>+D24-C24</f>
        <v>-291463</v>
      </c>
      <c r="F24" s="159">
        <f>IF(C24=0,0,E24/C24)</f>
        <v>-1.674102770908522E-2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2826039</v>
      </c>
      <c r="D28" s="157">
        <v>3579600</v>
      </c>
      <c r="E28" s="157">
        <f>+D28-C28</f>
        <v>753561</v>
      </c>
      <c r="F28" s="161">
        <f>IF(C28=0,0,E28/C28)</f>
        <v>0.26664918637003948</v>
      </c>
    </row>
    <row r="29" spans="1:6" ht="15" customHeight="1" x14ac:dyDescent="0.2">
      <c r="A29" s="147">
        <v>3</v>
      </c>
      <c r="B29" s="160" t="s">
        <v>168</v>
      </c>
      <c r="C29" s="157">
        <v>4598954</v>
      </c>
      <c r="D29" s="157">
        <v>5941727</v>
      </c>
      <c r="E29" s="157">
        <f>+D29-C29</f>
        <v>1342773</v>
      </c>
      <c r="F29" s="161">
        <f>IF(C29=0,0,E29/C29)</f>
        <v>0.29197356616308839</v>
      </c>
    </row>
    <row r="30" spans="1:6" ht="15.75" customHeight="1" x14ac:dyDescent="0.25">
      <c r="A30" s="147"/>
      <c r="B30" s="162" t="s">
        <v>169</v>
      </c>
      <c r="C30" s="158">
        <f>SUM(C27:C29)</f>
        <v>7424993</v>
      </c>
      <c r="D30" s="158">
        <f>SUM(D27:D29)</f>
        <v>9521327</v>
      </c>
      <c r="E30" s="158">
        <f>+D30-C30</f>
        <v>2096334</v>
      </c>
      <c r="F30" s="159">
        <f>IF(C30=0,0,E30/C30)</f>
        <v>0.28233481162877866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7995227</v>
      </c>
      <c r="D33" s="157">
        <v>8449936</v>
      </c>
      <c r="E33" s="157">
        <f>+D33-C33</f>
        <v>454709</v>
      </c>
      <c r="F33" s="161">
        <f>IF(C33=0,0,E33/C33)</f>
        <v>5.687255658907496E-2</v>
      </c>
    </row>
    <row r="34" spans="1:6" ht="15" customHeight="1" x14ac:dyDescent="0.2">
      <c r="A34" s="147">
        <v>2</v>
      </c>
      <c r="B34" s="160" t="s">
        <v>173</v>
      </c>
      <c r="C34" s="157">
        <v>6110126</v>
      </c>
      <c r="D34" s="157">
        <v>6770077</v>
      </c>
      <c r="E34" s="157">
        <f>+D34-C34</f>
        <v>659951</v>
      </c>
      <c r="F34" s="161">
        <f>IF(C34=0,0,E34/C34)</f>
        <v>0.10800939293232251</v>
      </c>
    </row>
    <row r="35" spans="1:6" ht="15.75" customHeight="1" x14ac:dyDescent="0.25">
      <c r="A35" s="147"/>
      <c r="B35" s="162" t="s">
        <v>174</v>
      </c>
      <c r="C35" s="158">
        <f>SUM(C33:C34)</f>
        <v>14105353</v>
      </c>
      <c r="D35" s="158">
        <f>SUM(D33:D34)</f>
        <v>15220013</v>
      </c>
      <c r="E35" s="158">
        <f>+D35-C35</f>
        <v>1114660</v>
      </c>
      <c r="F35" s="159">
        <f>IF(C35=0,0,E35/C35)</f>
        <v>7.9023899650012303E-2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2401390</v>
      </c>
      <c r="D38" s="157">
        <v>2335753</v>
      </c>
      <c r="E38" s="157">
        <f>+D38-C38</f>
        <v>-65637</v>
      </c>
      <c r="F38" s="161">
        <f>IF(C38=0,0,E38/C38)</f>
        <v>-2.7332919684016341E-2</v>
      </c>
    </row>
    <row r="39" spans="1:6" ht="15" customHeight="1" x14ac:dyDescent="0.2">
      <c r="A39" s="147">
        <v>2</v>
      </c>
      <c r="B39" s="160" t="s">
        <v>178</v>
      </c>
      <c r="C39" s="157">
        <v>2351301</v>
      </c>
      <c r="D39" s="157">
        <v>2321199</v>
      </c>
      <c r="E39" s="157">
        <f>+D39-C39</f>
        <v>-30102</v>
      </c>
      <c r="F39" s="161">
        <f>IF(C39=0,0,E39/C39)</f>
        <v>-1.2802274145249801E-2</v>
      </c>
    </row>
    <row r="40" spans="1:6" ht="15" customHeight="1" x14ac:dyDescent="0.2">
      <c r="A40" s="147">
        <v>3</v>
      </c>
      <c r="B40" s="160" t="s">
        <v>179</v>
      </c>
      <c r="C40" s="157">
        <v>77598</v>
      </c>
      <c r="D40" s="157">
        <v>69281</v>
      </c>
      <c r="E40" s="157">
        <f>+D40-C40</f>
        <v>-8317</v>
      </c>
      <c r="F40" s="161">
        <f>IF(C40=0,0,E40/C40)</f>
        <v>-0.1071805974380783</v>
      </c>
    </row>
    <row r="41" spans="1:6" ht="15.75" customHeight="1" x14ac:dyDescent="0.25">
      <c r="A41" s="147"/>
      <c r="B41" s="162" t="s">
        <v>180</v>
      </c>
      <c r="C41" s="158">
        <f>SUM(C38:C40)</f>
        <v>4830289</v>
      </c>
      <c r="D41" s="158">
        <f>SUM(D38:D40)</f>
        <v>4726233</v>
      </c>
      <c r="E41" s="158">
        <f>+D41-C41</f>
        <v>-104056</v>
      </c>
      <c r="F41" s="159">
        <f>IF(C41=0,0,E41/C41)</f>
        <v>-2.1542396324526338E-2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3538140</v>
      </c>
      <c r="D44" s="157">
        <v>0</v>
      </c>
      <c r="E44" s="157">
        <f>+D44-C44</f>
        <v>-3538140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1028742</v>
      </c>
      <c r="D47" s="157">
        <v>952190</v>
      </c>
      <c r="E47" s="157">
        <f>+D47-C47</f>
        <v>-76552</v>
      </c>
      <c r="F47" s="161">
        <f>IF(C47=0,0,E47/C47)</f>
        <v>-7.441321536400769E-2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305901</v>
      </c>
      <c r="D50" s="157">
        <v>289062</v>
      </c>
      <c r="E50" s="157">
        <f>+D50-C50</f>
        <v>-16839</v>
      </c>
      <c r="F50" s="161">
        <f>IF(C50=0,0,E50/C50)</f>
        <v>-5.504722115978699E-2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79146</v>
      </c>
      <c r="D53" s="157">
        <v>75123</v>
      </c>
      <c r="E53" s="157">
        <f t="shared" ref="E53:E59" si="0">+D53-C53</f>
        <v>-4023</v>
      </c>
      <c r="F53" s="161">
        <f t="shared" ref="F53:F59" si="1">IF(C53=0,0,E53/C53)</f>
        <v>-5.0830111439617923E-2</v>
      </c>
    </row>
    <row r="54" spans="1:6" ht="15" customHeight="1" x14ac:dyDescent="0.2">
      <c r="A54" s="147">
        <v>2</v>
      </c>
      <c r="B54" s="160" t="s">
        <v>189</v>
      </c>
      <c r="C54" s="157">
        <v>402286</v>
      </c>
      <c r="D54" s="157">
        <v>354284</v>
      </c>
      <c r="E54" s="157">
        <f t="shared" si="0"/>
        <v>-48002</v>
      </c>
      <c r="F54" s="161">
        <f t="shared" si="1"/>
        <v>-0.11932306866259328</v>
      </c>
    </row>
    <row r="55" spans="1:6" ht="15" customHeight="1" x14ac:dyDescent="0.2">
      <c r="A55" s="147">
        <v>3</v>
      </c>
      <c r="B55" s="160" t="s">
        <v>190</v>
      </c>
      <c r="C55" s="157">
        <v>32667</v>
      </c>
      <c r="D55" s="157">
        <v>9264</v>
      </c>
      <c r="E55" s="157">
        <f t="shared" si="0"/>
        <v>-23403</v>
      </c>
      <c r="F55" s="161">
        <f t="shared" si="1"/>
        <v>-0.71641105703003027</v>
      </c>
    </row>
    <row r="56" spans="1:6" ht="15" customHeight="1" x14ac:dyDescent="0.2">
      <c r="A56" s="147">
        <v>4</v>
      </c>
      <c r="B56" s="160" t="s">
        <v>191</v>
      </c>
      <c r="C56" s="157">
        <v>1153562</v>
      </c>
      <c r="D56" s="157">
        <v>1121688</v>
      </c>
      <c r="E56" s="157">
        <f t="shared" si="0"/>
        <v>-31874</v>
      </c>
      <c r="F56" s="161">
        <f t="shared" si="1"/>
        <v>-2.7630937912309871E-2</v>
      </c>
    </row>
    <row r="57" spans="1:6" ht="15" customHeight="1" x14ac:dyDescent="0.2">
      <c r="A57" s="147">
        <v>5</v>
      </c>
      <c r="B57" s="160" t="s">
        <v>192</v>
      </c>
      <c r="C57" s="157">
        <v>533417</v>
      </c>
      <c r="D57" s="157">
        <v>516161</v>
      </c>
      <c r="E57" s="157">
        <f t="shared" si="0"/>
        <v>-17256</v>
      </c>
      <c r="F57" s="161">
        <f t="shared" si="1"/>
        <v>-3.2349925105499076E-2</v>
      </c>
    </row>
    <row r="58" spans="1:6" ht="15" customHeight="1" x14ac:dyDescent="0.2">
      <c r="A58" s="147">
        <v>6</v>
      </c>
      <c r="B58" s="160" t="s">
        <v>193</v>
      </c>
      <c r="C58" s="157">
        <v>301</v>
      </c>
      <c r="D58" s="157">
        <v>0</v>
      </c>
      <c r="E58" s="157">
        <f t="shared" si="0"/>
        <v>-301</v>
      </c>
      <c r="F58" s="161">
        <f t="shared" si="1"/>
        <v>-1</v>
      </c>
    </row>
    <row r="59" spans="1:6" ht="15.75" customHeight="1" x14ac:dyDescent="0.25">
      <c r="A59" s="147"/>
      <c r="B59" s="162" t="s">
        <v>194</v>
      </c>
      <c r="C59" s="158">
        <f>SUM(C53:C58)</f>
        <v>2201379</v>
      </c>
      <c r="D59" s="158">
        <f>SUM(D53:D58)</f>
        <v>2076520</v>
      </c>
      <c r="E59" s="158">
        <f t="shared" si="0"/>
        <v>-124859</v>
      </c>
      <c r="F59" s="159">
        <f t="shared" si="1"/>
        <v>-5.6718538697788978E-2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130030</v>
      </c>
      <c r="D62" s="157">
        <v>143379</v>
      </c>
      <c r="E62" s="157">
        <f t="shared" ref="E62:E90" si="2">+D62-C62</f>
        <v>13349</v>
      </c>
      <c r="F62" s="161">
        <f t="shared" ref="F62:F90" si="3">IF(C62=0,0,E62/C62)</f>
        <v>0.10266092440206107</v>
      </c>
    </row>
    <row r="63" spans="1:6" ht="15" customHeight="1" x14ac:dyDescent="0.2">
      <c r="A63" s="147">
        <v>2</v>
      </c>
      <c r="B63" s="160" t="s">
        <v>198</v>
      </c>
      <c r="C63" s="157">
        <v>657828</v>
      </c>
      <c r="D63" s="157">
        <v>663030</v>
      </c>
      <c r="E63" s="157">
        <f t="shared" si="2"/>
        <v>5202</v>
      </c>
      <c r="F63" s="161">
        <f t="shared" si="3"/>
        <v>7.9078421715098775E-3</v>
      </c>
    </row>
    <row r="64" spans="1:6" ht="15" customHeight="1" x14ac:dyDescent="0.2">
      <c r="A64" s="147">
        <v>3</v>
      </c>
      <c r="B64" s="160" t="s">
        <v>199</v>
      </c>
      <c r="C64" s="157">
        <v>539958</v>
      </c>
      <c r="D64" s="157">
        <v>1611379</v>
      </c>
      <c r="E64" s="157">
        <f t="shared" si="2"/>
        <v>1071421</v>
      </c>
      <c r="F64" s="161">
        <f t="shared" si="3"/>
        <v>1.9842672948636746</v>
      </c>
    </row>
    <row r="65" spans="1:6" ht="15" customHeight="1" x14ac:dyDescent="0.2">
      <c r="A65" s="147">
        <v>4</v>
      </c>
      <c r="B65" s="160" t="s">
        <v>200</v>
      </c>
      <c r="C65" s="157">
        <v>331633</v>
      </c>
      <c r="D65" s="157">
        <v>231177</v>
      </c>
      <c r="E65" s="157">
        <f t="shared" si="2"/>
        <v>-100456</v>
      </c>
      <c r="F65" s="161">
        <f t="shared" si="3"/>
        <v>-0.30291316002930951</v>
      </c>
    </row>
    <row r="66" spans="1:6" ht="15" customHeight="1" x14ac:dyDescent="0.2">
      <c r="A66" s="147">
        <v>5</v>
      </c>
      <c r="B66" s="160" t="s">
        <v>201</v>
      </c>
      <c r="C66" s="157">
        <v>911228</v>
      </c>
      <c r="D66" s="157">
        <v>794612</v>
      </c>
      <c r="E66" s="157">
        <f t="shared" si="2"/>
        <v>-116616</v>
      </c>
      <c r="F66" s="161">
        <f t="shared" si="3"/>
        <v>-0.12797675225080879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1037796</v>
      </c>
      <c r="D68" s="157">
        <v>1434294</v>
      </c>
      <c r="E68" s="157">
        <f t="shared" si="2"/>
        <v>396498</v>
      </c>
      <c r="F68" s="161">
        <f t="shared" si="3"/>
        <v>0.38205774545286358</v>
      </c>
    </row>
    <row r="69" spans="1:6" ht="15" customHeight="1" x14ac:dyDescent="0.2">
      <c r="A69" s="147">
        <v>8</v>
      </c>
      <c r="B69" s="160" t="s">
        <v>204</v>
      </c>
      <c r="C69" s="157">
        <v>1074818</v>
      </c>
      <c r="D69" s="157">
        <v>881263</v>
      </c>
      <c r="E69" s="157">
        <f t="shared" si="2"/>
        <v>-193555</v>
      </c>
      <c r="F69" s="161">
        <f t="shared" si="3"/>
        <v>-0.1800816510330121</v>
      </c>
    </row>
    <row r="70" spans="1:6" ht="15" customHeight="1" x14ac:dyDescent="0.2">
      <c r="A70" s="147">
        <v>9</v>
      </c>
      <c r="B70" s="160" t="s">
        <v>205</v>
      </c>
      <c r="C70" s="157">
        <v>353039</v>
      </c>
      <c r="D70" s="157">
        <v>354223</v>
      </c>
      <c r="E70" s="157">
        <f t="shared" si="2"/>
        <v>1184</v>
      </c>
      <c r="F70" s="161">
        <f t="shared" si="3"/>
        <v>3.3537371225275396E-3</v>
      </c>
    </row>
    <row r="71" spans="1:6" ht="15" customHeight="1" x14ac:dyDescent="0.2">
      <c r="A71" s="147">
        <v>10</v>
      </c>
      <c r="B71" s="160" t="s">
        <v>206</v>
      </c>
      <c r="C71" s="157">
        <v>48418</v>
      </c>
      <c r="D71" s="157">
        <v>45057</v>
      </c>
      <c r="E71" s="157">
        <f t="shared" si="2"/>
        <v>-3361</v>
      </c>
      <c r="F71" s="161">
        <f t="shared" si="3"/>
        <v>-6.9416332768804989E-2</v>
      </c>
    </row>
    <row r="72" spans="1:6" ht="15" customHeight="1" x14ac:dyDescent="0.2">
      <c r="A72" s="147">
        <v>11</v>
      </c>
      <c r="B72" s="160" t="s">
        <v>207</v>
      </c>
      <c r="C72" s="157">
        <v>55588</v>
      </c>
      <c r="D72" s="157">
        <v>80129</v>
      </c>
      <c r="E72" s="157">
        <f t="shared" si="2"/>
        <v>24541</v>
      </c>
      <c r="F72" s="161">
        <f t="shared" si="3"/>
        <v>0.44148017557746277</v>
      </c>
    </row>
    <row r="73" spans="1:6" ht="15" customHeight="1" x14ac:dyDescent="0.2">
      <c r="A73" s="147">
        <v>12</v>
      </c>
      <c r="B73" s="160" t="s">
        <v>208</v>
      </c>
      <c r="C73" s="157">
        <v>489191</v>
      </c>
      <c r="D73" s="157">
        <v>473288</v>
      </c>
      <c r="E73" s="157">
        <f t="shared" si="2"/>
        <v>-15903</v>
      </c>
      <c r="F73" s="161">
        <f t="shared" si="3"/>
        <v>-3.2508774691276006E-2</v>
      </c>
    </row>
    <row r="74" spans="1:6" ht="15" customHeight="1" x14ac:dyDescent="0.2">
      <c r="A74" s="147">
        <v>13</v>
      </c>
      <c r="B74" s="160" t="s">
        <v>209</v>
      </c>
      <c r="C74" s="157">
        <v>63424</v>
      </c>
      <c r="D74" s="157">
        <v>71278</v>
      </c>
      <c r="E74" s="157">
        <f t="shared" si="2"/>
        <v>7854</v>
      </c>
      <c r="F74" s="161">
        <f t="shared" si="3"/>
        <v>0.1238332492431887</v>
      </c>
    </row>
    <row r="75" spans="1:6" ht="15" customHeight="1" x14ac:dyDescent="0.2">
      <c r="A75" s="147">
        <v>14</v>
      </c>
      <c r="B75" s="160" t="s">
        <v>210</v>
      </c>
      <c r="C75" s="157">
        <v>127047</v>
      </c>
      <c r="D75" s="157">
        <v>113207</v>
      </c>
      <c r="E75" s="157">
        <f t="shared" si="2"/>
        <v>-13840</v>
      </c>
      <c r="F75" s="161">
        <f t="shared" si="3"/>
        <v>-0.10893606303179139</v>
      </c>
    </row>
    <row r="76" spans="1:6" ht="15" customHeight="1" x14ac:dyDescent="0.2">
      <c r="A76" s="147">
        <v>15</v>
      </c>
      <c r="B76" s="160" t="s">
        <v>211</v>
      </c>
      <c r="C76" s="157">
        <v>404327</v>
      </c>
      <c r="D76" s="157">
        <v>436812</v>
      </c>
      <c r="E76" s="157">
        <f t="shared" si="2"/>
        <v>32485</v>
      </c>
      <c r="F76" s="161">
        <f t="shared" si="3"/>
        <v>8.0343385428131187E-2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2348070</v>
      </c>
      <c r="D78" s="157">
        <v>2428222</v>
      </c>
      <c r="E78" s="157">
        <f t="shared" si="2"/>
        <v>80152</v>
      </c>
      <c r="F78" s="161">
        <f t="shared" si="3"/>
        <v>3.41352685396943E-2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634182</v>
      </c>
      <c r="D80" s="157">
        <v>668695</v>
      </c>
      <c r="E80" s="157">
        <f t="shared" si="2"/>
        <v>34513</v>
      </c>
      <c r="F80" s="161">
        <f t="shared" si="3"/>
        <v>5.4421286003071674E-2</v>
      </c>
    </row>
    <row r="81" spans="1:6" ht="15" customHeight="1" x14ac:dyDescent="0.2">
      <c r="A81" s="147">
        <v>20</v>
      </c>
      <c r="B81" s="160" t="s">
        <v>216</v>
      </c>
      <c r="C81" s="157">
        <v>1243618</v>
      </c>
      <c r="D81" s="157">
        <v>1882001</v>
      </c>
      <c r="E81" s="157">
        <f t="shared" si="2"/>
        <v>638383</v>
      </c>
      <c r="F81" s="161">
        <f t="shared" si="3"/>
        <v>0.51332724357479542</v>
      </c>
    </row>
    <row r="82" spans="1:6" ht="15" customHeight="1" x14ac:dyDescent="0.2">
      <c r="A82" s="147">
        <v>21</v>
      </c>
      <c r="B82" s="160" t="s">
        <v>217</v>
      </c>
      <c r="C82" s="157">
        <v>644431</v>
      </c>
      <c r="D82" s="157">
        <v>202936</v>
      </c>
      <c r="E82" s="157">
        <f t="shared" si="2"/>
        <v>-441495</v>
      </c>
      <c r="F82" s="161">
        <f t="shared" si="3"/>
        <v>-0.68509274072786686</v>
      </c>
    </row>
    <row r="83" spans="1:6" ht="15" customHeight="1" x14ac:dyDescent="0.2">
      <c r="A83" s="147">
        <v>22</v>
      </c>
      <c r="B83" s="160" t="s">
        <v>218</v>
      </c>
      <c r="C83" s="157">
        <v>78878</v>
      </c>
      <c r="D83" s="157">
        <v>18672</v>
      </c>
      <c r="E83" s="157">
        <f t="shared" si="2"/>
        <v>-60206</v>
      </c>
      <c r="F83" s="161">
        <f t="shared" si="3"/>
        <v>-0.76328000202844903</v>
      </c>
    </row>
    <row r="84" spans="1:6" ht="15" customHeight="1" x14ac:dyDescent="0.2">
      <c r="A84" s="147">
        <v>23</v>
      </c>
      <c r="B84" s="160" t="s">
        <v>219</v>
      </c>
      <c r="C84" s="157">
        <v>18992</v>
      </c>
      <c r="D84" s="157">
        <v>169745</v>
      </c>
      <c r="E84" s="157">
        <f t="shared" si="2"/>
        <v>150753</v>
      </c>
      <c r="F84" s="161">
        <f t="shared" si="3"/>
        <v>7.9377106149957877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116198</v>
      </c>
      <c r="D86" s="157">
        <v>105543</v>
      </c>
      <c r="E86" s="157">
        <f t="shared" si="2"/>
        <v>-10655</v>
      </c>
      <c r="F86" s="161">
        <f t="shared" si="3"/>
        <v>-9.1696931100363172E-2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11308694</v>
      </c>
      <c r="D90" s="158">
        <f>SUM(D62:D89)</f>
        <v>12808942</v>
      </c>
      <c r="E90" s="158">
        <f t="shared" si="2"/>
        <v>1500248</v>
      </c>
      <c r="F90" s="159">
        <f t="shared" si="3"/>
        <v>0.13266324121954312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2044775</v>
      </c>
      <c r="D93" s="157">
        <v>205920</v>
      </c>
      <c r="E93" s="157">
        <f>+D93-C93</f>
        <v>-1838855</v>
      </c>
      <c r="F93" s="161">
        <f>IF(C93=0,0,E93/C93)</f>
        <v>-0.89929454340942161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115241429</v>
      </c>
      <c r="D95" s="158">
        <f>+D93+D90+D59+D50+D47+D44+D41+D35+D30+D24+D18</f>
        <v>110624592</v>
      </c>
      <c r="E95" s="158">
        <f>+D95-C95</f>
        <v>-4616837</v>
      </c>
      <c r="F95" s="159">
        <f>IF(C95=0,0,E95/C95)</f>
        <v>-4.006230259432135E-2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6950126</v>
      </c>
      <c r="D103" s="157">
        <v>8301978</v>
      </c>
      <c r="E103" s="157">
        <f t="shared" ref="E103:E121" si="4">D103-C103</f>
        <v>1351852</v>
      </c>
      <c r="F103" s="161">
        <f t="shared" ref="F103:F121" si="5">IF(C103=0,0,E103/C103)</f>
        <v>0.19450755281271159</v>
      </c>
    </row>
    <row r="104" spans="1:6" ht="15" customHeight="1" x14ac:dyDescent="0.2">
      <c r="A104" s="147">
        <v>2</v>
      </c>
      <c r="B104" s="169" t="s">
        <v>234</v>
      </c>
      <c r="C104" s="157">
        <v>1018284</v>
      </c>
      <c r="D104" s="157">
        <v>1148208</v>
      </c>
      <c r="E104" s="157">
        <f t="shared" si="4"/>
        <v>129924</v>
      </c>
      <c r="F104" s="161">
        <f t="shared" si="5"/>
        <v>0.12759112389078095</v>
      </c>
    </row>
    <row r="105" spans="1:6" ht="15" customHeight="1" x14ac:dyDescent="0.2">
      <c r="A105" s="147">
        <v>3</v>
      </c>
      <c r="B105" s="169" t="s">
        <v>235</v>
      </c>
      <c r="C105" s="157">
        <v>2856830</v>
      </c>
      <c r="D105" s="157">
        <v>2899006</v>
      </c>
      <c r="E105" s="157">
        <f t="shared" si="4"/>
        <v>42176</v>
      </c>
      <c r="F105" s="161">
        <f t="shared" si="5"/>
        <v>1.4763216572214657E-2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662695</v>
      </c>
      <c r="D108" s="157">
        <v>452579</v>
      </c>
      <c r="E108" s="157">
        <f t="shared" si="4"/>
        <v>-210116</v>
      </c>
      <c r="F108" s="161">
        <f t="shared" si="5"/>
        <v>-0.31706290224009537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1878821</v>
      </c>
      <c r="D112" s="157">
        <v>1947487</v>
      </c>
      <c r="E112" s="157">
        <f t="shared" si="4"/>
        <v>68666</v>
      </c>
      <c r="F112" s="161">
        <f t="shared" si="5"/>
        <v>3.6547387962983166E-2</v>
      </c>
    </row>
    <row r="113" spans="1:6" ht="15" customHeight="1" x14ac:dyDescent="0.2">
      <c r="A113" s="147">
        <v>11</v>
      </c>
      <c r="B113" s="169" t="s">
        <v>243</v>
      </c>
      <c r="C113" s="157">
        <v>979263</v>
      </c>
      <c r="D113" s="157">
        <v>971774</v>
      </c>
      <c r="E113" s="157">
        <f t="shared" si="4"/>
        <v>-7489</v>
      </c>
      <c r="F113" s="161">
        <f t="shared" si="5"/>
        <v>-7.6475880330411751E-3</v>
      </c>
    </row>
    <row r="114" spans="1:6" ht="15" customHeight="1" x14ac:dyDescent="0.2">
      <c r="A114" s="147">
        <v>12</v>
      </c>
      <c r="B114" s="169" t="s">
        <v>244</v>
      </c>
      <c r="C114" s="157">
        <v>18992</v>
      </c>
      <c r="D114" s="157">
        <v>0</v>
      </c>
      <c r="E114" s="157">
        <f t="shared" si="4"/>
        <v>-18992</v>
      </c>
      <c r="F114" s="161">
        <f t="shared" si="5"/>
        <v>-1</v>
      </c>
    </row>
    <row r="115" spans="1:6" ht="15" customHeight="1" x14ac:dyDescent="0.2">
      <c r="A115" s="147">
        <v>13</v>
      </c>
      <c r="B115" s="169" t="s">
        <v>245</v>
      </c>
      <c r="C115" s="157">
        <v>3188681</v>
      </c>
      <c r="D115" s="157">
        <v>3407585</v>
      </c>
      <c r="E115" s="157">
        <f t="shared" si="4"/>
        <v>218904</v>
      </c>
      <c r="F115" s="161">
        <f t="shared" si="5"/>
        <v>6.8650329085913578E-2</v>
      </c>
    </row>
    <row r="116" spans="1:6" ht="15" customHeight="1" x14ac:dyDescent="0.2">
      <c r="A116" s="147">
        <v>14</v>
      </c>
      <c r="B116" s="169" t="s">
        <v>246</v>
      </c>
      <c r="C116" s="157">
        <v>441145</v>
      </c>
      <c r="D116" s="157">
        <v>517967</v>
      </c>
      <c r="E116" s="157">
        <f t="shared" si="4"/>
        <v>76822</v>
      </c>
      <c r="F116" s="161">
        <f t="shared" si="5"/>
        <v>0.17414228881660226</v>
      </c>
    </row>
    <row r="117" spans="1:6" ht="15" customHeight="1" x14ac:dyDescent="0.2">
      <c r="A117" s="147">
        <v>15</v>
      </c>
      <c r="B117" s="169" t="s">
        <v>203</v>
      </c>
      <c r="C117" s="157">
        <v>1195715</v>
      </c>
      <c r="D117" s="157">
        <v>1198709</v>
      </c>
      <c r="E117" s="157">
        <f t="shared" si="4"/>
        <v>2994</v>
      </c>
      <c r="F117" s="161">
        <f t="shared" si="5"/>
        <v>2.5039411565465014E-3</v>
      </c>
    </row>
    <row r="118" spans="1:6" ht="15" customHeight="1" x14ac:dyDescent="0.2">
      <c r="A118" s="147">
        <v>16</v>
      </c>
      <c r="B118" s="169" t="s">
        <v>247</v>
      </c>
      <c r="C118" s="157">
        <v>266169</v>
      </c>
      <c r="D118" s="157">
        <v>267244</v>
      </c>
      <c r="E118" s="157">
        <f t="shared" si="4"/>
        <v>1075</v>
      </c>
      <c r="F118" s="161">
        <f t="shared" si="5"/>
        <v>4.0387873869609158E-3</v>
      </c>
    </row>
    <row r="119" spans="1:6" ht="15" customHeight="1" x14ac:dyDescent="0.2">
      <c r="A119" s="147">
        <v>17</v>
      </c>
      <c r="B119" s="169" t="s">
        <v>248</v>
      </c>
      <c r="C119" s="157">
        <v>6542318</v>
      </c>
      <c r="D119" s="157">
        <v>7601777</v>
      </c>
      <c r="E119" s="157">
        <f t="shared" si="4"/>
        <v>1059459</v>
      </c>
      <c r="F119" s="161">
        <f t="shared" si="5"/>
        <v>0.16193939212370906</v>
      </c>
    </row>
    <row r="120" spans="1:6" ht="15" customHeight="1" x14ac:dyDescent="0.2">
      <c r="A120" s="147">
        <v>18</v>
      </c>
      <c r="B120" s="169" t="s">
        <v>249</v>
      </c>
      <c r="C120" s="157">
        <v>2132851</v>
      </c>
      <c r="D120" s="157">
        <v>2126018</v>
      </c>
      <c r="E120" s="157">
        <f t="shared" si="4"/>
        <v>-6833</v>
      </c>
      <c r="F120" s="161">
        <f t="shared" si="5"/>
        <v>-3.2036930849834331E-3</v>
      </c>
    </row>
    <row r="121" spans="1:6" ht="15.75" customHeight="1" x14ac:dyDescent="0.25">
      <c r="A121" s="147"/>
      <c r="B121" s="165" t="s">
        <v>250</v>
      </c>
      <c r="C121" s="158">
        <f>SUM(C103:C120)</f>
        <v>28131890</v>
      </c>
      <c r="D121" s="158">
        <f>SUM(D103:D120)</f>
        <v>30840332</v>
      </c>
      <c r="E121" s="158">
        <f t="shared" si="4"/>
        <v>2708442</v>
      </c>
      <c r="F121" s="159">
        <f t="shared" si="5"/>
        <v>9.6276574378756641E-2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82434</v>
      </c>
      <c r="D124" s="157">
        <v>93895</v>
      </c>
      <c r="E124" s="157">
        <f t="shared" ref="E124:E130" si="6">D124-C124</f>
        <v>11461</v>
      </c>
      <c r="F124" s="161">
        <f t="shared" ref="F124:F130" si="7">IF(C124=0,0,E124/C124)</f>
        <v>0.13903243807166946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1143628</v>
      </c>
      <c r="D126" s="157">
        <v>1544145</v>
      </c>
      <c r="E126" s="157">
        <f t="shared" si="6"/>
        <v>400517</v>
      </c>
      <c r="F126" s="161">
        <f t="shared" si="7"/>
        <v>0.35021615420398938</v>
      </c>
    </row>
    <row r="127" spans="1:6" ht="15" customHeight="1" x14ac:dyDescent="0.2">
      <c r="A127" s="147">
        <v>4</v>
      </c>
      <c r="B127" s="169" t="s">
        <v>255</v>
      </c>
      <c r="C127" s="157">
        <v>1173694</v>
      </c>
      <c r="D127" s="157">
        <v>1140241</v>
      </c>
      <c r="E127" s="157">
        <f t="shared" si="6"/>
        <v>-33453</v>
      </c>
      <c r="F127" s="161">
        <f t="shared" si="7"/>
        <v>-2.8502318321470502E-2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131714</v>
      </c>
      <c r="D129" s="157">
        <v>124533</v>
      </c>
      <c r="E129" s="157">
        <f t="shared" si="6"/>
        <v>-7181</v>
      </c>
      <c r="F129" s="161">
        <f t="shared" si="7"/>
        <v>-5.45196410404361E-2</v>
      </c>
    </row>
    <row r="130" spans="1:6" ht="15.75" customHeight="1" x14ac:dyDescent="0.25">
      <c r="A130" s="147"/>
      <c r="B130" s="165" t="s">
        <v>258</v>
      </c>
      <c r="C130" s="158">
        <f>SUM(C124:C129)</f>
        <v>2531470</v>
      </c>
      <c r="D130" s="158">
        <f>SUM(D124:D129)</f>
        <v>2902814</v>
      </c>
      <c r="E130" s="158">
        <f t="shared" si="6"/>
        <v>371344</v>
      </c>
      <c r="F130" s="159">
        <f t="shared" si="7"/>
        <v>0.14669105302452726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4837641</v>
      </c>
      <c r="D133" s="157">
        <v>5257709</v>
      </c>
      <c r="E133" s="157">
        <f t="shared" ref="E133:E167" si="8">D133-C133</f>
        <v>420068</v>
      </c>
      <c r="F133" s="161">
        <f t="shared" ref="F133:F167" si="9">IF(C133=0,0,E133/C133)</f>
        <v>8.6833231320802839E-2</v>
      </c>
    </row>
    <row r="134" spans="1:6" ht="15" customHeight="1" x14ac:dyDescent="0.2">
      <c r="A134" s="147">
        <v>2</v>
      </c>
      <c r="B134" s="169" t="s">
        <v>261</v>
      </c>
      <c r="C134" s="157">
        <v>454976</v>
      </c>
      <c r="D134" s="157">
        <v>534443</v>
      </c>
      <c r="E134" s="157">
        <f t="shared" si="8"/>
        <v>79467</v>
      </c>
      <c r="F134" s="161">
        <f t="shared" si="9"/>
        <v>0.17466196019130678</v>
      </c>
    </row>
    <row r="135" spans="1:6" ht="15" customHeight="1" x14ac:dyDescent="0.2">
      <c r="A135" s="147">
        <v>3</v>
      </c>
      <c r="B135" s="169" t="s">
        <v>262</v>
      </c>
      <c r="C135" s="157">
        <v>107483</v>
      </c>
      <c r="D135" s="157">
        <v>197859</v>
      </c>
      <c r="E135" s="157">
        <f t="shared" si="8"/>
        <v>90376</v>
      </c>
      <c r="F135" s="161">
        <f t="shared" si="9"/>
        <v>0.8408399467822818</v>
      </c>
    </row>
    <row r="136" spans="1:6" ht="15" customHeight="1" x14ac:dyDescent="0.2">
      <c r="A136" s="147">
        <v>4</v>
      </c>
      <c r="B136" s="169" t="s">
        <v>263</v>
      </c>
      <c r="C136" s="157">
        <v>1319953</v>
      </c>
      <c r="D136" s="157">
        <v>1207346</v>
      </c>
      <c r="E136" s="157">
        <f t="shared" si="8"/>
        <v>-112607</v>
      </c>
      <c r="F136" s="161">
        <f t="shared" si="9"/>
        <v>-8.5311370935177239E-2</v>
      </c>
    </row>
    <row r="137" spans="1:6" ht="15" customHeight="1" x14ac:dyDescent="0.2">
      <c r="A137" s="147">
        <v>5</v>
      </c>
      <c r="B137" s="169" t="s">
        <v>264</v>
      </c>
      <c r="C137" s="157">
        <v>2344859</v>
      </c>
      <c r="D137" s="157">
        <v>2340966</v>
      </c>
      <c r="E137" s="157">
        <f t="shared" si="8"/>
        <v>-3893</v>
      </c>
      <c r="F137" s="161">
        <f t="shared" si="9"/>
        <v>-1.6602277578310679E-3</v>
      </c>
    </row>
    <row r="138" spans="1:6" ht="15" customHeight="1" x14ac:dyDescent="0.2">
      <c r="A138" s="147">
        <v>6</v>
      </c>
      <c r="B138" s="169" t="s">
        <v>265</v>
      </c>
      <c r="C138" s="157">
        <v>868057</v>
      </c>
      <c r="D138" s="157">
        <v>907576</v>
      </c>
      <c r="E138" s="157">
        <f t="shared" si="8"/>
        <v>39519</v>
      </c>
      <c r="F138" s="161">
        <f t="shared" si="9"/>
        <v>4.5525812245048425E-2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488168</v>
      </c>
      <c r="D140" s="157">
        <v>487707</v>
      </c>
      <c r="E140" s="157">
        <f t="shared" si="8"/>
        <v>-461</v>
      </c>
      <c r="F140" s="161">
        <f t="shared" si="9"/>
        <v>-9.4434702807230295E-4</v>
      </c>
    </row>
    <row r="141" spans="1:6" ht="15" customHeight="1" x14ac:dyDescent="0.2">
      <c r="A141" s="147">
        <v>9</v>
      </c>
      <c r="B141" s="169" t="s">
        <v>268</v>
      </c>
      <c r="C141" s="157">
        <v>648236</v>
      </c>
      <c r="D141" s="157">
        <v>662655</v>
      </c>
      <c r="E141" s="157">
        <f t="shared" si="8"/>
        <v>14419</v>
      </c>
      <c r="F141" s="161">
        <f t="shared" si="9"/>
        <v>2.2243442203148237E-2</v>
      </c>
    </row>
    <row r="142" spans="1:6" ht="15" customHeight="1" x14ac:dyDescent="0.2">
      <c r="A142" s="147">
        <v>10</v>
      </c>
      <c r="B142" s="169" t="s">
        <v>269</v>
      </c>
      <c r="C142" s="157">
        <v>5805036</v>
      </c>
      <c r="D142" s="157">
        <v>7061290</v>
      </c>
      <c r="E142" s="157">
        <f t="shared" si="8"/>
        <v>1256254</v>
      </c>
      <c r="F142" s="161">
        <f t="shared" si="9"/>
        <v>0.21640761573227107</v>
      </c>
    </row>
    <row r="143" spans="1:6" ht="15" customHeight="1" x14ac:dyDescent="0.2">
      <c r="A143" s="147">
        <v>11</v>
      </c>
      <c r="B143" s="169" t="s">
        <v>270</v>
      </c>
      <c r="C143" s="157">
        <v>354117</v>
      </c>
      <c r="D143" s="157">
        <v>309209</v>
      </c>
      <c r="E143" s="157">
        <f t="shared" si="8"/>
        <v>-44908</v>
      </c>
      <c r="F143" s="161">
        <f t="shared" si="9"/>
        <v>-0.12681684302080951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491338</v>
      </c>
      <c r="D145" s="157">
        <v>508122</v>
      </c>
      <c r="E145" s="157">
        <f t="shared" si="8"/>
        <v>16784</v>
      </c>
      <c r="F145" s="161">
        <f t="shared" si="9"/>
        <v>3.4159784099743962E-2</v>
      </c>
    </row>
    <row r="146" spans="1:6" ht="15" customHeight="1" x14ac:dyDescent="0.2">
      <c r="A146" s="147">
        <v>14</v>
      </c>
      <c r="B146" s="169" t="s">
        <v>273</v>
      </c>
      <c r="C146" s="157">
        <v>124201</v>
      </c>
      <c r="D146" s="157">
        <v>138478</v>
      </c>
      <c r="E146" s="157">
        <f t="shared" si="8"/>
        <v>14277</v>
      </c>
      <c r="F146" s="161">
        <f t="shared" si="9"/>
        <v>0.11495076529174483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677807</v>
      </c>
      <c r="D150" s="157">
        <v>726070</v>
      </c>
      <c r="E150" s="157">
        <f t="shared" si="8"/>
        <v>48263</v>
      </c>
      <c r="F150" s="161">
        <f t="shared" si="9"/>
        <v>7.1204634947706347E-2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363033</v>
      </c>
      <c r="D152" s="157">
        <v>382578</v>
      </c>
      <c r="E152" s="157">
        <f t="shared" si="8"/>
        <v>19545</v>
      </c>
      <c r="F152" s="161">
        <f t="shared" si="9"/>
        <v>5.3838080835626516E-2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3574946</v>
      </c>
      <c r="D156" s="157">
        <v>3475728</v>
      </c>
      <c r="E156" s="157">
        <f t="shared" si="8"/>
        <v>-99218</v>
      </c>
      <c r="F156" s="161">
        <f t="shared" si="9"/>
        <v>-2.775370593010356E-2</v>
      </c>
    </row>
    <row r="157" spans="1:6" ht="15" customHeight="1" x14ac:dyDescent="0.2">
      <c r="A157" s="147">
        <v>25</v>
      </c>
      <c r="B157" s="169" t="s">
        <v>284</v>
      </c>
      <c r="C157" s="157">
        <v>1754028</v>
      </c>
      <c r="D157" s="157">
        <v>1572962</v>
      </c>
      <c r="E157" s="157">
        <f t="shared" si="8"/>
        <v>-181066</v>
      </c>
      <c r="F157" s="161">
        <f t="shared" si="9"/>
        <v>-0.10322868278043452</v>
      </c>
    </row>
    <row r="158" spans="1:6" ht="15" customHeight="1" x14ac:dyDescent="0.2">
      <c r="A158" s="147">
        <v>26</v>
      </c>
      <c r="B158" s="169" t="s">
        <v>285</v>
      </c>
      <c r="C158" s="157">
        <v>212451</v>
      </c>
      <c r="D158" s="157">
        <v>270590</v>
      </c>
      <c r="E158" s="157">
        <f t="shared" si="8"/>
        <v>58139</v>
      </c>
      <c r="F158" s="161">
        <f t="shared" si="9"/>
        <v>0.27365839652437501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758572</v>
      </c>
      <c r="D160" s="157">
        <v>830432</v>
      </c>
      <c r="E160" s="157">
        <f t="shared" si="8"/>
        <v>71860</v>
      </c>
      <c r="F160" s="161">
        <f t="shared" si="9"/>
        <v>9.4730625438323585E-2</v>
      </c>
    </row>
    <row r="161" spans="1:6" ht="15" customHeight="1" x14ac:dyDescent="0.2">
      <c r="A161" s="147">
        <v>29</v>
      </c>
      <c r="B161" s="169" t="s">
        <v>288</v>
      </c>
      <c r="C161" s="157">
        <v>452771</v>
      </c>
      <c r="D161" s="157">
        <v>477899</v>
      </c>
      <c r="E161" s="157">
        <f t="shared" si="8"/>
        <v>25128</v>
      </c>
      <c r="F161" s="161">
        <f t="shared" si="9"/>
        <v>5.549825408429427E-2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278280</v>
      </c>
      <c r="D163" s="157">
        <v>282982</v>
      </c>
      <c r="E163" s="157">
        <f t="shared" si="8"/>
        <v>4702</v>
      </c>
      <c r="F163" s="161">
        <f t="shared" si="9"/>
        <v>1.68966508552537E-2</v>
      </c>
    </row>
    <row r="164" spans="1:6" ht="15" customHeight="1" x14ac:dyDescent="0.2">
      <c r="A164" s="147">
        <v>32</v>
      </c>
      <c r="B164" s="169" t="s">
        <v>291</v>
      </c>
      <c r="C164" s="157">
        <v>0</v>
      </c>
      <c r="D164" s="157">
        <v>0</v>
      </c>
      <c r="E164" s="157">
        <f t="shared" si="8"/>
        <v>0</v>
      </c>
      <c r="F164" s="161">
        <f t="shared" si="9"/>
        <v>0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1273110</v>
      </c>
      <c r="D166" s="157">
        <v>1785337</v>
      </c>
      <c r="E166" s="157">
        <f t="shared" si="8"/>
        <v>512227</v>
      </c>
      <c r="F166" s="161">
        <f t="shared" si="9"/>
        <v>0.40234308111632144</v>
      </c>
    </row>
    <row r="167" spans="1:6" ht="15.75" customHeight="1" x14ac:dyDescent="0.25">
      <c r="A167" s="147"/>
      <c r="B167" s="165" t="s">
        <v>294</v>
      </c>
      <c r="C167" s="158">
        <f>SUM(C133:C166)</f>
        <v>27189063</v>
      </c>
      <c r="D167" s="158">
        <f>SUM(D133:D166)</f>
        <v>29417938</v>
      </c>
      <c r="E167" s="158">
        <f t="shared" si="8"/>
        <v>2228875</v>
      </c>
      <c r="F167" s="159">
        <f t="shared" si="9"/>
        <v>8.197689637189777E-2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3491631</v>
      </c>
      <c r="D170" s="157">
        <v>3541413</v>
      </c>
      <c r="E170" s="157">
        <f t="shared" ref="E170:E183" si="10">D170-C170</f>
        <v>49782</v>
      </c>
      <c r="F170" s="161">
        <f t="shared" ref="F170:F183" si="11">IF(C170=0,0,E170/C170)</f>
        <v>1.4257520339348575E-2</v>
      </c>
    </row>
    <row r="171" spans="1:6" ht="15" customHeight="1" x14ac:dyDescent="0.2">
      <c r="A171" s="147">
        <v>2</v>
      </c>
      <c r="B171" s="169" t="s">
        <v>297</v>
      </c>
      <c r="C171" s="157">
        <v>2470784</v>
      </c>
      <c r="D171" s="157">
        <v>2604342</v>
      </c>
      <c r="E171" s="157">
        <f t="shared" si="10"/>
        <v>133558</v>
      </c>
      <c r="F171" s="161">
        <f t="shared" si="11"/>
        <v>5.4054907268300263E-2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2123778</v>
      </c>
      <c r="D173" s="157">
        <v>2260167</v>
      </c>
      <c r="E173" s="157">
        <f t="shared" si="10"/>
        <v>136389</v>
      </c>
      <c r="F173" s="161">
        <f t="shared" si="11"/>
        <v>6.4219989094905394E-2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456063</v>
      </c>
      <c r="D175" s="157">
        <v>510296</v>
      </c>
      <c r="E175" s="157">
        <f t="shared" si="10"/>
        <v>54233</v>
      </c>
      <c r="F175" s="161">
        <f t="shared" si="11"/>
        <v>0.11891558841651263</v>
      </c>
    </row>
    <row r="176" spans="1:6" ht="15" customHeight="1" x14ac:dyDescent="0.2">
      <c r="A176" s="147">
        <v>7</v>
      </c>
      <c r="B176" s="169" t="s">
        <v>302</v>
      </c>
      <c r="C176" s="157">
        <v>449590</v>
      </c>
      <c r="D176" s="157">
        <v>506036</v>
      </c>
      <c r="E176" s="157">
        <f t="shared" si="10"/>
        <v>56446</v>
      </c>
      <c r="F176" s="161">
        <f t="shared" si="11"/>
        <v>0.12554994550590537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2432552</v>
      </c>
      <c r="D178" s="157">
        <v>2540423</v>
      </c>
      <c r="E178" s="157">
        <f t="shared" si="10"/>
        <v>107871</v>
      </c>
      <c r="F178" s="161">
        <f t="shared" si="11"/>
        <v>4.4344786874031879E-2</v>
      </c>
    </row>
    <row r="179" spans="1:6" ht="15" customHeight="1" x14ac:dyDescent="0.2">
      <c r="A179" s="147">
        <v>10</v>
      </c>
      <c r="B179" s="169" t="s">
        <v>305</v>
      </c>
      <c r="C179" s="157">
        <v>1197079</v>
      </c>
      <c r="D179" s="157">
        <v>1219968</v>
      </c>
      <c r="E179" s="157">
        <f t="shared" si="10"/>
        <v>22889</v>
      </c>
      <c r="F179" s="161">
        <f t="shared" si="11"/>
        <v>1.9120709660765914E-2</v>
      </c>
    </row>
    <row r="180" spans="1:6" ht="15" customHeight="1" x14ac:dyDescent="0.2">
      <c r="A180" s="147">
        <v>11</v>
      </c>
      <c r="B180" s="169" t="s">
        <v>306</v>
      </c>
      <c r="C180" s="157">
        <v>6037295</v>
      </c>
      <c r="D180" s="157">
        <v>5853684</v>
      </c>
      <c r="E180" s="157">
        <f t="shared" si="10"/>
        <v>-183611</v>
      </c>
      <c r="F180" s="161">
        <f t="shared" si="11"/>
        <v>-3.0412792484051217E-2</v>
      </c>
    </row>
    <row r="181" spans="1:6" ht="15" customHeight="1" x14ac:dyDescent="0.2">
      <c r="A181" s="147">
        <v>12</v>
      </c>
      <c r="B181" s="169" t="s">
        <v>307</v>
      </c>
      <c r="C181" s="157">
        <v>7158684</v>
      </c>
      <c r="D181" s="157">
        <v>2020251</v>
      </c>
      <c r="E181" s="157">
        <f t="shared" si="10"/>
        <v>-5138433</v>
      </c>
      <c r="F181" s="161">
        <f t="shared" si="11"/>
        <v>-0.71779016925457251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25817456</v>
      </c>
      <c r="D183" s="158">
        <f>SUM(D170:D182)</f>
        <v>21056580</v>
      </c>
      <c r="E183" s="158">
        <f t="shared" si="10"/>
        <v>-4760876</v>
      </c>
      <c r="F183" s="159">
        <f t="shared" si="11"/>
        <v>-0.18440531088733142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31571550</v>
      </c>
      <c r="D186" s="157">
        <v>26406928</v>
      </c>
      <c r="E186" s="157">
        <f>D186-C186</f>
        <v>-5164622</v>
      </c>
      <c r="F186" s="161">
        <f>IF(C186=0,0,E186/C186)</f>
        <v>-0.16358468304533672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115241429</v>
      </c>
      <c r="D188" s="158">
        <f>+D186+D183+D167+D130+D121</f>
        <v>110624592</v>
      </c>
      <c r="E188" s="158">
        <f>D188-C188</f>
        <v>-4616837</v>
      </c>
      <c r="F188" s="159">
        <f>IF(C188=0,0,E188/C188)</f>
        <v>-4.006230259432135E-2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106400269</v>
      </c>
      <c r="D11" s="183">
        <v>113405335</v>
      </c>
      <c r="E11" s="76">
        <v>104649330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3994274</v>
      </c>
      <c r="D12" s="185">
        <v>6539058</v>
      </c>
      <c r="E12" s="185">
        <v>6431641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110394543</v>
      </c>
      <c r="D13" s="76">
        <f>+D11+D12</f>
        <v>119944393</v>
      </c>
      <c r="E13" s="76">
        <f>+E11+E12</f>
        <v>111080971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108436817</v>
      </c>
      <c r="D14" s="185">
        <v>115241429</v>
      </c>
      <c r="E14" s="185">
        <v>110624592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1957726</v>
      </c>
      <c r="D15" s="76">
        <f>+D13-D14</f>
        <v>4702964</v>
      </c>
      <c r="E15" s="76">
        <f>+E13-E14</f>
        <v>456379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1333404</v>
      </c>
      <c r="D16" s="185">
        <v>483967</v>
      </c>
      <c r="E16" s="185">
        <v>430535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3291130</v>
      </c>
      <c r="D17" s="76">
        <f>D15+D16</f>
        <v>5186931</v>
      </c>
      <c r="E17" s="76">
        <f>E15+E16</f>
        <v>886914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1.7522258777385395E-2</v>
      </c>
      <c r="D20" s="189">
        <f>IF(+D27=0,0,+D24/+D27)</f>
        <v>3.9051964171894396E-2</v>
      </c>
      <c r="E20" s="189">
        <f>IF(+E27=0,0,+E24/+E27)</f>
        <v>4.0926628683501057E-3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1.1934382003815035E-2</v>
      </c>
      <c r="D21" s="189">
        <f>IF(D27=0,0,+D26/D27)</f>
        <v>4.0187128679656523E-3</v>
      </c>
      <c r="E21" s="189">
        <f>IF(E27=0,0,+E26/E27)</f>
        <v>3.8609020310424289E-3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2.9456640781200426E-2</v>
      </c>
      <c r="D22" s="189">
        <f>IF(D27=0,0,+D28/D27)</f>
        <v>4.3070677039860047E-2</v>
      </c>
      <c r="E22" s="189">
        <f>IF(E27=0,0,+E28/E27)</f>
        <v>7.9535648993925342E-3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1957726</v>
      </c>
      <c r="D24" s="76">
        <f>+D15</f>
        <v>4702964</v>
      </c>
      <c r="E24" s="76">
        <f>+E15</f>
        <v>456379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110394543</v>
      </c>
      <c r="D25" s="76">
        <f>+D13</f>
        <v>119944393</v>
      </c>
      <c r="E25" s="76">
        <f>+E13</f>
        <v>111080971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1333404</v>
      </c>
      <c r="D26" s="76">
        <f>+D16</f>
        <v>483967</v>
      </c>
      <c r="E26" s="76">
        <f>+E16</f>
        <v>430535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111727947</v>
      </c>
      <c r="D27" s="76">
        <f>+D25+D26</f>
        <v>120428360</v>
      </c>
      <c r="E27" s="76">
        <f>+E25+E26</f>
        <v>111511506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3291130</v>
      </c>
      <c r="D28" s="76">
        <f>+D17</f>
        <v>5186931</v>
      </c>
      <c r="E28" s="76">
        <f>+E17</f>
        <v>886914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16542725</v>
      </c>
      <c r="D31" s="76">
        <v>16901258</v>
      </c>
      <c r="E31" s="76">
        <v>7050300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24758534</v>
      </c>
      <c r="D32" s="76">
        <v>27415950</v>
      </c>
      <c r="E32" s="76">
        <v>16084923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2584573</v>
      </c>
      <c r="D33" s="76">
        <f>+D32-C32</f>
        <v>2657416</v>
      </c>
      <c r="E33" s="76">
        <f>+E32-D32</f>
        <v>-11331027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1.1165</v>
      </c>
      <c r="D34" s="193">
        <f>IF(C32=0,0,+D33/C32)</f>
        <v>0.10733333403342864</v>
      </c>
      <c r="E34" s="193">
        <f>IF(D32=0,0,+E33/D32)</f>
        <v>-0.41330054220262291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0.5777977192401349</v>
      </c>
      <c r="D38" s="195">
        <f>IF((D40+D41)=0,0,+D39/(D40+D41))</f>
        <v>0.52730458553554471</v>
      </c>
      <c r="E38" s="195">
        <f>IF((E40+E41)=0,0,+E39/(E40+E41))</f>
        <v>0.49930668894830704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108436817</v>
      </c>
      <c r="D39" s="76">
        <v>115241429</v>
      </c>
      <c r="E39" s="196">
        <v>110624592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183998991</v>
      </c>
      <c r="D40" s="76">
        <v>212323692</v>
      </c>
      <c r="E40" s="196">
        <v>216749399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3673638</v>
      </c>
      <c r="D41" s="76">
        <v>6224434</v>
      </c>
      <c r="E41" s="196">
        <v>4807000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1.0995252508471143</v>
      </c>
      <c r="D43" s="197">
        <f>IF(D38=0,0,IF((D46-D47)=0,0,((+D44-D45)/(D46-D47)/D38)))</f>
        <v>1.1520726640615744</v>
      </c>
      <c r="E43" s="197">
        <f>IF(E38=0,0,IF((E46-E47)=0,0,((+E44-E45)/(E46-E47)/E38)))</f>
        <v>1.2046832054168157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47103686</v>
      </c>
      <c r="D44" s="76">
        <v>49706680</v>
      </c>
      <c r="E44" s="196">
        <v>47019920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170368</v>
      </c>
      <c r="D45" s="76">
        <v>471460</v>
      </c>
      <c r="E45" s="196">
        <v>251298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77494199</v>
      </c>
      <c r="D46" s="76">
        <v>85690455</v>
      </c>
      <c r="E46" s="196">
        <v>81728750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3618734</v>
      </c>
      <c r="D47" s="76">
        <v>4643918</v>
      </c>
      <c r="E47" s="76">
        <v>3976255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0.93949042006308559</v>
      </c>
      <c r="D49" s="198">
        <f>IF(D38=0,0,IF(D51=0,0,(D50/D51)/D38))</f>
        <v>0.91871540557405584</v>
      </c>
      <c r="E49" s="198">
        <f>IF(E38=0,0,IF(E51=0,0,(E50/E51)/E38))</f>
        <v>0.89296566989665982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38521730</v>
      </c>
      <c r="D50" s="199">
        <v>39330519</v>
      </c>
      <c r="E50" s="199">
        <v>40088820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70963921</v>
      </c>
      <c r="D51" s="199">
        <v>81187119</v>
      </c>
      <c r="E51" s="199">
        <v>89912718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0.77356418798962345</v>
      </c>
      <c r="D53" s="198">
        <f>IF(D38=0,0,IF(D55=0,0,(D54/D55)/D38))</f>
        <v>0.82127563319336683</v>
      </c>
      <c r="E53" s="198">
        <f>IF(E38=0,0,IF(E55=0,0,(E54/E55)/E38))</f>
        <v>0.74587745930070237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15279999</v>
      </c>
      <c r="D54" s="199">
        <v>19019832</v>
      </c>
      <c r="E54" s="199">
        <v>16352315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34186225</v>
      </c>
      <c r="D55" s="199">
        <v>43919379</v>
      </c>
      <c r="E55" s="199">
        <v>43908073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2196342.6021048971</v>
      </c>
      <c r="D57" s="88">
        <f>+D60*D38</f>
        <v>2200156.2363544679</v>
      </c>
      <c r="E57" s="88">
        <f>+E60*E38</f>
        <v>1859895.946144819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446519</v>
      </c>
      <c r="D58" s="199">
        <v>710098</v>
      </c>
      <c r="E58" s="199">
        <v>703850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3354712</v>
      </c>
      <c r="D59" s="199">
        <v>3462360</v>
      </c>
      <c r="E59" s="199">
        <v>3021107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3801231</v>
      </c>
      <c r="D60" s="76">
        <v>4172458</v>
      </c>
      <c r="E60" s="201">
        <v>3724957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2.0254583847706422E-2</v>
      </c>
      <c r="D62" s="202">
        <f>IF(D63=0,0,+D57/D63)</f>
        <v>1.9091712550305742E-2</v>
      </c>
      <c r="E62" s="202">
        <f>IF(E63=0,0,+E57/E63)</f>
        <v>1.681268072965927E-2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108436817</v>
      </c>
      <c r="D63" s="199">
        <v>115241429</v>
      </c>
      <c r="E63" s="199">
        <v>110624592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1.8505679651216906</v>
      </c>
      <c r="D67" s="203">
        <f>IF(D69=0,0,D68/D69)</f>
        <v>1.9735009639653078</v>
      </c>
      <c r="E67" s="203">
        <f>IF(E69=0,0,E68/E69)</f>
        <v>1.3589780203487243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28768813</v>
      </c>
      <c r="D68" s="204">
        <v>33417651</v>
      </c>
      <c r="E68" s="204">
        <v>32034489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15545937</v>
      </c>
      <c r="D69" s="204">
        <v>16933182</v>
      </c>
      <c r="E69" s="204">
        <v>23572485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37.642356734143057</v>
      </c>
      <c r="D71" s="203">
        <f>IF((D77/365)=0,0,+D74/(D77/365))</f>
        <v>28.165312213966814</v>
      </c>
      <c r="E71" s="203">
        <f>IF((E77/365)=0,0,+E74/(E77/365))</f>
        <v>27.54262367748305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2168500</v>
      </c>
      <c r="D72" s="183">
        <v>2156339</v>
      </c>
      <c r="E72" s="183">
        <v>5285678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8537281</v>
      </c>
      <c r="D73" s="206">
        <v>6363563</v>
      </c>
      <c r="E73" s="206">
        <v>2705332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10705781</v>
      </c>
      <c r="D74" s="204">
        <f>+D72+D73</f>
        <v>8519902</v>
      </c>
      <c r="E74" s="204">
        <f>+E72+E73</f>
        <v>7991010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108436817</v>
      </c>
      <c r="D75" s="204">
        <f>+D14</f>
        <v>115241429</v>
      </c>
      <c r="E75" s="204">
        <f>+E14</f>
        <v>110624592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4627959</v>
      </c>
      <c r="D76" s="204">
        <v>4830289</v>
      </c>
      <c r="E76" s="204">
        <v>4726233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103808858</v>
      </c>
      <c r="D77" s="204">
        <f>+D75-D76</f>
        <v>110411140</v>
      </c>
      <c r="E77" s="204">
        <f>+E75-E76</f>
        <v>105898359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39.993278212482714</v>
      </c>
      <c r="D79" s="203">
        <f>IF((D84/365)=0,0,+D83/(D84/365))</f>
        <v>49.52903247453041</v>
      </c>
      <c r="E79" s="203">
        <f>IF((E84/365)=0,0,+E83/(E84/365))</f>
        <v>40.893557369168057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11823463</v>
      </c>
      <c r="D80" s="212">
        <v>12743539</v>
      </c>
      <c r="E80" s="212">
        <v>12792119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2645109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165119</v>
      </c>
      <c r="D82" s="212">
        <v>0</v>
      </c>
      <c r="E82" s="212">
        <v>1067507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11658344</v>
      </c>
      <c r="D83" s="212">
        <f>+D80+D81-D82</f>
        <v>15388648</v>
      </c>
      <c r="E83" s="212">
        <f>+E80+E81-E82</f>
        <v>11724612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106400269</v>
      </c>
      <c r="D84" s="204">
        <f>+D11</f>
        <v>113405335</v>
      </c>
      <c r="E84" s="204">
        <f>+E11</f>
        <v>104649330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54.660720812476335</v>
      </c>
      <c r="D86" s="203">
        <f>IF((D90/365)=0,0,+D87/(D90/365))</f>
        <v>55.978150664869503</v>
      </c>
      <c r="E86" s="203">
        <f>IF((E90/365)=0,0,+E87/(E90/365))</f>
        <v>81.247312104241388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15545937</v>
      </c>
      <c r="D87" s="76">
        <f>+D69</f>
        <v>16933182</v>
      </c>
      <c r="E87" s="76">
        <f>+E69</f>
        <v>23572485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108436817</v>
      </c>
      <c r="D88" s="76">
        <f t="shared" si="0"/>
        <v>115241429</v>
      </c>
      <c r="E88" s="76">
        <f t="shared" si="0"/>
        <v>110624592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4627959</v>
      </c>
      <c r="D89" s="201">
        <f t="shared" si="0"/>
        <v>4830289</v>
      </c>
      <c r="E89" s="201">
        <f t="shared" si="0"/>
        <v>4726233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103808858</v>
      </c>
      <c r="D90" s="76">
        <f>+D88-D89</f>
        <v>110411140</v>
      </c>
      <c r="E90" s="76">
        <f>+E88-E89</f>
        <v>105898359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28.435847897566539</v>
      </c>
      <c r="D94" s="214">
        <f>IF(D96=0,0,(D95/D96)*100)</f>
        <v>28.051214350395526</v>
      </c>
      <c r="E94" s="214">
        <f>IF(E96=0,0,(E95/E96)*100)</f>
        <v>16.582494169372293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24758534</v>
      </c>
      <c r="D95" s="76">
        <f>+D32</f>
        <v>27415950</v>
      </c>
      <c r="E95" s="76">
        <f>+E32</f>
        <v>16084923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87068035</v>
      </c>
      <c r="D96" s="76">
        <v>97735341</v>
      </c>
      <c r="E96" s="76">
        <v>96999419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24.136425382236794</v>
      </c>
      <c r="D98" s="214">
        <f>IF(D104=0,0,(D101/D104)*100)</f>
        <v>29.946190714152383</v>
      </c>
      <c r="E98" s="214">
        <f>IF(E104=0,0,(E101/E104)*100)</f>
        <v>10.532977009156845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3291130</v>
      </c>
      <c r="D99" s="76">
        <f>+D28</f>
        <v>5186931</v>
      </c>
      <c r="E99" s="76">
        <f>+E28</f>
        <v>886914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4627959</v>
      </c>
      <c r="D100" s="201">
        <f>+D76</f>
        <v>4830289</v>
      </c>
      <c r="E100" s="201">
        <f>+E76</f>
        <v>4726233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7919089</v>
      </c>
      <c r="D101" s="76">
        <f>+D99+D100</f>
        <v>10017220</v>
      </c>
      <c r="E101" s="76">
        <f>+E99+E100</f>
        <v>5613147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15545937</v>
      </c>
      <c r="D102" s="204">
        <f>+D69</f>
        <v>16933182</v>
      </c>
      <c r="E102" s="204">
        <f>+E69</f>
        <v>23572485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17263764</v>
      </c>
      <c r="D103" s="216">
        <v>16517550</v>
      </c>
      <c r="E103" s="216">
        <v>29718688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32809701</v>
      </c>
      <c r="D104" s="204">
        <f>+D102+D103</f>
        <v>33450732</v>
      </c>
      <c r="E104" s="204">
        <f>+E102+E103</f>
        <v>53291173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41.082389163962432</v>
      </c>
      <c r="D106" s="214">
        <f>IF(D109=0,0,(D107/D109)*100)</f>
        <v>37.596708661955006</v>
      </c>
      <c r="E106" s="214">
        <f>IF(E109=0,0,(E107/E109)*100)</f>
        <v>64.882849520314025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17263764</v>
      </c>
      <c r="D107" s="204">
        <f>+D103</f>
        <v>16517550</v>
      </c>
      <c r="E107" s="204">
        <f>+E103</f>
        <v>29718688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24758534</v>
      </c>
      <c r="D108" s="204">
        <f>+D32</f>
        <v>27415950</v>
      </c>
      <c r="E108" s="204">
        <f>+E32</f>
        <v>16084923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42022298</v>
      </c>
      <c r="D109" s="204">
        <f>+D107+D108</f>
        <v>43933500</v>
      </c>
      <c r="E109" s="204">
        <f>+E107+E108</f>
        <v>45803611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5.9801136229059448</v>
      </c>
      <c r="D111" s="214">
        <f>IF((+D113+D115)=0,0,((+D112+D113+D114)/(+D113+D115)))</f>
        <v>6.8237940326500457</v>
      </c>
      <c r="E111" s="214">
        <f>IF((+E113+E115)=0,0,((+E112+E113+E114)/(+E113+E115)))</f>
        <v>4.2479710751635533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3291130</v>
      </c>
      <c r="D112" s="76">
        <f>+D17</f>
        <v>5186931</v>
      </c>
      <c r="E112" s="76">
        <f>+E17</f>
        <v>886914</v>
      </c>
    </row>
    <row r="113" spans="1:8" ht="24" customHeight="1" x14ac:dyDescent="0.2">
      <c r="A113" s="85">
        <v>17</v>
      </c>
      <c r="B113" s="75" t="s">
        <v>88</v>
      </c>
      <c r="C113" s="218">
        <v>917695</v>
      </c>
      <c r="D113" s="76">
        <v>1028742</v>
      </c>
      <c r="E113" s="76">
        <v>952190</v>
      </c>
    </row>
    <row r="114" spans="1:8" ht="24" customHeight="1" x14ac:dyDescent="0.2">
      <c r="A114" s="85">
        <v>18</v>
      </c>
      <c r="B114" s="75" t="s">
        <v>374</v>
      </c>
      <c r="C114" s="218">
        <v>4627959</v>
      </c>
      <c r="D114" s="76">
        <v>4830289</v>
      </c>
      <c r="E114" s="76">
        <v>4726233</v>
      </c>
    </row>
    <row r="115" spans="1:8" ht="24" customHeight="1" x14ac:dyDescent="0.2">
      <c r="A115" s="85">
        <v>19</v>
      </c>
      <c r="B115" s="75" t="s">
        <v>104</v>
      </c>
      <c r="C115" s="218">
        <v>560000</v>
      </c>
      <c r="D115" s="76">
        <v>590000</v>
      </c>
      <c r="E115" s="76">
        <v>593333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13.922179301934179</v>
      </c>
      <c r="D119" s="214">
        <f>IF(+D121=0,0,(+D120)/(+D121))</f>
        <v>14.074894483539184</v>
      </c>
      <c r="E119" s="214">
        <f>IF(+E121=0,0,(+E120)/(+E121))</f>
        <v>14.973263484893783</v>
      </c>
    </row>
    <row r="120" spans="1:8" ht="24" customHeight="1" x14ac:dyDescent="0.2">
      <c r="A120" s="85">
        <v>21</v>
      </c>
      <c r="B120" s="75" t="s">
        <v>378</v>
      </c>
      <c r="C120" s="218">
        <v>64431275</v>
      </c>
      <c r="D120" s="218">
        <v>67985808</v>
      </c>
      <c r="E120" s="218">
        <v>70767132</v>
      </c>
    </row>
    <row r="121" spans="1:8" ht="24" customHeight="1" x14ac:dyDescent="0.2">
      <c r="A121" s="85">
        <v>22</v>
      </c>
      <c r="B121" s="75" t="s">
        <v>374</v>
      </c>
      <c r="C121" s="218">
        <v>4627959</v>
      </c>
      <c r="D121" s="218">
        <v>4830289</v>
      </c>
      <c r="E121" s="218">
        <v>4726233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18418</v>
      </c>
      <c r="D124" s="218">
        <v>18484</v>
      </c>
      <c r="E124" s="218">
        <v>16124</v>
      </c>
    </row>
    <row r="125" spans="1:8" ht="24" customHeight="1" x14ac:dyDescent="0.2">
      <c r="A125" s="85">
        <v>2</v>
      </c>
      <c r="B125" s="75" t="s">
        <v>381</v>
      </c>
      <c r="C125" s="218">
        <v>5182</v>
      </c>
      <c r="D125" s="218">
        <v>5097</v>
      </c>
      <c r="E125" s="218">
        <v>4331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3.5542261675028946</v>
      </c>
      <c r="D126" s="219">
        <f>IF(D125=0,0,D124/D125)</f>
        <v>3.6264469295664115</v>
      </c>
      <c r="E126" s="219">
        <f>IF(E125=0,0,E124/E125)</f>
        <v>3.7229277303163242</v>
      </c>
    </row>
    <row r="127" spans="1:8" ht="24" customHeight="1" x14ac:dyDescent="0.2">
      <c r="A127" s="85">
        <v>4</v>
      </c>
      <c r="B127" s="75" t="s">
        <v>383</v>
      </c>
      <c r="C127" s="218">
        <v>72</v>
      </c>
      <c r="D127" s="218">
        <v>65</v>
      </c>
      <c r="E127" s="218">
        <v>65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122</v>
      </c>
      <c r="E128" s="218">
        <v>122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122</v>
      </c>
      <c r="D129" s="218">
        <v>122</v>
      </c>
      <c r="E129" s="218">
        <v>122</v>
      </c>
    </row>
    <row r="130" spans="1:7" ht="24" customHeight="1" x14ac:dyDescent="0.2">
      <c r="A130" s="85">
        <v>7</v>
      </c>
      <c r="B130" s="75" t="s">
        <v>386</v>
      </c>
      <c r="C130" s="193">
        <v>0.70079999999999998</v>
      </c>
      <c r="D130" s="193">
        <v>0.77900000000000003</v>
      </c>
      <c r="E130" s="193">
        <v>0.67959999999999998</v>
      </c>
    </row>
    <row r="131" spans="1:7" ht="24" customHeight="1" x14ac:dyDescent="0.2">
      <c r="A131" s="85">
        <v>8</v>
      </c>
      <c r="B131" s="75" t="s">
        <v>387</v>
      </c>
      <c r="C131" s="193">
        <v>0.41360000000000002</v>
      </c>
      <c r="D131" s="193">
        <v>0.41499999999999998</v>
      </c>
      <c r="E131" s="193">
        <v>0.36199999999999999</v>
      </c>
    </row>
    <row r="132" spans="1:7" ht="24" customHeight="1" x14ac:dyDescent="0.2">
      <c r="A132" s="85">
        <v>9</v>
      </c>
      <c r="B132" s="75" t="s">
        <v>388</v>
      </c>
      <c r="C132" s="219">
        <v>802.8</v>
      </c>
      <c r="D132" s="219">
        <v>835.4</v>
      </c>
      <c r="E132" s="219">
        <v>806.7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0.40149929409123769</v>
      </c>
      <c r="D135" s="227">
        <f>IF(D149=0,0,D143/D149)</f>
        <v>0.38171216898394927</v>
      </c>
      <c r="E135" s="227">
        <f>IF(E149=0,0,E143/E149)</f>
        <v>0.3587206947688007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0.38567559862325551</v>
      </c>
      <c r="D136" s="227">
        <f>IF(D149=0,0,D144/D149)</f>
        <v>0.38237428068083895</v>
      </c>
      <c r="E136" s="227">
        <f>IF(E149=0,0,E144/E149)</f>
        <v>0.4148233785875457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0.18579571993413813</v>
      </c>
      <c r="D137" s="227">
        <f>IF(D149=0,0,D145/D149)</f>
        <v>0.20685105174226154</v>
      </c>
      <c r="E137" s="227">
        <f>IF(E149=0,0,E145/E149)</f>
        <v>0.20257529295386881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1.9667140457308267E-2</v>
      </c>
      <c r="D139" s="227">
        <f>IF(D149=0,0,D147/D149)</f>
        <v>2.1871878527809321E-2</v>
      </c>
      <c r="E139" s="227">
        <f>IF(E149=0,0,E147/E149)</f>
        <v>1.8344941293239755E-2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7.3622468940604136E-3</v>
      </c>
      <c r="D140" s="227">
        <f>IF(D149=0,0,D148/D149)</f>
        <v>7.190620065140917E-3</v>
      </c>
      <c r="E140" s="227">
        <f>IF(E149=0,0,E148/E149)</f>
        <v>5.5356923965450069E-3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73875465</v>
      </c>
      <c r="D143" s="229">
        <f>+D46-D147</f>
        <v>81046537</v>
      </c>
      <c r="E143" s="229">
        <f>+E46-E147</f>
        <v>77752495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70963921</v>
      </c>
      <c r="D144" s="229">
        <f>+D51</f>
        <v>81187119</v>
      </c>
      <c r="E144" s="229">
        <f>+E51</f>
        <v>89912718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34186225</v>
      </c>
      <c r="D145" s="229">
        <f>+D55</f>
        <v>43919379</v>
      </c>
      <c r="E145" s="229">
        <f>+E55</f>
        <v>43908073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3618734</v>
      </c>
      <c r="D147" s="229">
        <f>+D47</f>
        <v>4643918</v>
      </c>
      <c r="E147" s="229">
        <f>+E47</f>
        <v>3976255</v>
      </c>
    </row>
    <row r="148" spans="1:7" ht="20.100000000000001" customHeight="1" x14ac:dyDescent="0.2">
      <c r="A148" s="226">
        <v>13</v>
      </c>
      <c r="B148" s="224" t="s">
        <v>402</v>
      </c>
      <c r="C148" s="230">
        <v>1354646</v>
      </c>
      <c r="D148" s="229">
        <v>1526739</v>
      </c>
      <c r="E148" s="229">
        <v>1199858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183998991</v>
      </c>
      <c r="D149" s="229">
        <f>SUM(D143:D148)</f>
        <v>212323692</v>
      </c>
      <c r="E149" s="229">
        <f>SUM(E143:E148)</f>
        <v>216749399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0.46229135467735843</v>
      </c>
      <c r="D152" s="227">
        <f>IF(D166=0,0,D160/D166)</f>
        <v>0.45325981464679321</v>
      </c>
      <c r="E152" s="227">
        <f>IF(E166=0,0,E160/E166)</f>
        <v>0.45010357643668669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0.37943754043162764</v>
      </c>
      <c r="D153" s="227">
        <f>IF(D166=0,0,D161/D166)</f>
        <v>0.36207706093122322</v>
      </c>
      <c r="E153" s="227">
        <f>IF(E166=0,0,E161/E166)</f>
        <v>0.38581682515953908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0.15050739513406408</v>
      </c>
      <c r="D154" s="227">
        <f>IF(D166=0,0,D162/D166)</f>
        <v>0.17509671992799355</v>
      </c>
      <c r="E154" s="227">
        <f>IF(E166=0,0,E162/E166)</f>
        <v>0.15737550412580636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1.6781181657276436E-3</v>
      </c>
      <c r="D156" s="227">
        <f>IF(D166=0,0,D164/D166)</f>
        <v>4.3402643923065067E-3</v>
      </c>
      <c r="E156" s="227">
        <f>IF(E166=0,0,E164/E166)</f>
        <v>2.418504623706606E-3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6.0855915912222036E-3</v>
      </c>
      <c r="D157" s="227">
        <f>IF(D166=0,0,D165/D166)</f>
        <v>5.2261401016834852E-3</v>
      </c>
      <c r="E157" s="227">
        <f>IF(E166=0,0,E165/E166)</f>
        <v>4.2855896542612817E-3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46933318</v>
      </c>
      <c r="D160" s="229">
        <f>+D44-D164</f>
        <v>49235220</v>
      </c>
      <c r="E160" s="229">
        <f>+E44-E164</f>
        <v>46768622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38521730</v>
      </c>
      <c r="D161" s="229">
        <f>+D50</f>
        <v>39330519</v>
      </c>
      <c r="E161" s="229">
        <f>+E50</f>
        <v>40088820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15279999</v>
      </c>
      <c r="D162" s="229">
        <f>+D54</f>
        <v>19019832</v>
      </c>
      <c r="E162" s="229">
        <f>+E54</f>
        <v>16352315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170368</v>
      </c>
      <c r="D164" s="229">
        <f>+D45</f>
        <v>471460</v>
      </c>
      <c r="E164" s="229">
        <f>+E45</f>
        <v>251298</v>
      </c>
    </row>
    <row r="165" spans="1:6" ht="20.100000000000001" customHeight="1" x14ac:dyDescent="0.2">
      <c r="A165" s="226">
        <v>13</v>
      </c>
      <c r="B165" s="224" t="s">
        <v>417</v>
      </c>
      <c r="C165" s="230">
        <v>617829</v>
      </c>
      <c r="D165" s="229">
        <v>567688</v>
      </c>
      <c r="E165" s="229">
        <v>445300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101523244</v>
      </c>
      <c r="D166" s="229">
        <f>SUM(D160:D165)</f>
        <v>108624719</v>
      </c>
      <c r="E166" s="229">
        <f>SUM(E160:E165)</f>
        <v>103906355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1542</v>
      </c>
      <c r="D169" s="218">
        <v>1425</v>
      </c>
      <c r="E169" s="218">
        <v>1099</v>
      </c>
    </row>
    <row r="170" spans="1:6" ht="20.100000000000001" customHeight="1" x14ac:dyDescent="0.2">
      <c r="A170" s="226">
        <v>2</v>
      </c>
      <c r="B170" s="224" t="s">
        <v>420</v>
      </c>
      <c r="C170" s="218">
        <v>2368</v>
      </c>
      <c r="D170" s="218">
        <v>2208</v>
      </c>
      <c r="E170" s="218">
        <v>1947</v>
      </c>
    </row>
    <row r="171" spans="1:6" ht="20.100000000000001" customHeight="1" x14ac:dyDescent="0.2">
      <c r="A171" s="226">
        <v>3</v>
      </c>
      <c r="B171" s="224" t="s">
        <v>421</v>
      </c>
      <c r="C171" s="218">
        <v>1240</v>
      </c>
      <c r="D171" s="218">
        <v>1427</v>
      </c>
      <c r="E171" s="218">
        <v>1265</v>
      </c>
    </row>
    <row r="172" spans="1:6" ht="20.100000000000001" customHeight="1" x14ac:dyDescent="0.2">
      <c r="A172" s="226">
        <v>4</v>
      </c>
      <c r="B172" s="224" t="s">
        <v>422</v>
      </c>
      <c r="C172" s="218">
        <v>1240</v>
      </c>
      <c r="D172" s="218">
        <v>1427</v>
      </c>
      <c r="E172" s="218">
        <v>1265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32</v>
      </c>
      <c r="D174" s="218">
        <v>37</v>
      </c>
      <c r="E174" s="218">
        <v>20</v>
      </c>
    </row>
    <row r="175" spans="1:6" ht="20.100000000000001" customHeight="1" x14ac:dyDescent="0.2">
      <c r="A175" s="226">
        <v>7</v>
      </c>
      <c r="B175" s="224" t="s">
        <v>425</v>
      </c>
      <c r="C175" s="218">
        <v>69</v>
      </c>
      <c r="D175" s="218">
        <v>71</v>
      </c>
      <c r="E175" s="218">
        <v>59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5182</v>
      </c>
      <c r="D176" s="218">
        <f>+D169+D170+D171+D174</f>
        <v>5097</v>
      </c>
      <c r="E176" s="218">
        <f>+E169+E170+E171+E174</f>
        <v>4331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1.1379999999999999</v>
      </c>
      <c r="D179" s="231">
        <v>1.0543</v>
      </c>
      <c r="E179" s="231">
        <v>0.95760000000000001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1.0536000000000001</v>
      </c>
      <c r="D180" s="231">
        <v>1.1484000000000001</v>
      </c>
      <c r="E180" s="231">
        <v>1.2448999999999999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0.69320000000000004</v>
      </c>
      <c r="D181" s="231">
        <v>0.83</v>
      </c>
      <c r="E181" s="231">
        <v>0.89239999999999997</v>
      </c>
    </row>
    <row r="182" spans="1:6" ht="20.100000000000001" customHeight="1" x14ac:dyDescent="0.2">
      <c r="A182" s="226">
        <v>4</v>
      </c>
      <c r="B182" s="224" t="s">
        <v>422</v>
      </c>
      <c r="C182" s="231">
        <v>0.69320000000000004</v>
      </c>
      <c r="D182" s="231">
        <v>0.83</v>
      </c>
      <c r="E182" s="231">
        <v>0.89239999999999997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0.55510000000000004</v>
      </c>
      <c r="D184" s="231">
        <v>0.54179999999999995</v>
      </c>
      <c r="E184" s="231">
        <v>1.1019000000000001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0.76759999999999995</v>
      </c>
      <c r="D185" s="231">
        <v>0.95209999999999995</v>
      </c>
      <c r="E185" s="231">
        <v>0.89780000000000004</v>
      </c>
    </row>
    <row r="186" spans="1:6" ht="20.100000000000001" customHeight="1" x14ac:dyDescent="0.2">
      <c r="A186" s="226">
        <v>8</v>
      </c>
      <c r="B186" s="224" t="s">
        <v>429</v>
      </c>
      <c r="C186" s="231">
        <v>0.98939600000000005</v>
      </c>
      <c r="D186" s="231">
        <v>1.028546</v>
      </c>
      <c r="E186" s="231">
        <v>1.068378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3521</v>
      </c>
      <c r="D189" s="218">
        <v>3285</v>
      </c>
      <c r="E189" s="218">
        <v>2777</v>
      </c>
    </row>
    <row r="190" spans="1:6" ht="20.100000000000001" customHeight="1" x14ac:dyDescent="0.2">
      <c r="A190" s="226">
        <v>2</v>
      </c>
      <c r="B190" s="224" t="s">
        <v>433</v>
      </c>
      <c r="C190" s="218">
        <v>25284</v>
      </c>
      <c r="D190" s="218">
        <v>24726</v>
      </c>
      <c r="E190" s="218">
        <v>21491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28805</v>
      </c>
      <c r="D191" s="218">
        <f>+D190+D189</f>
        <v>28011</v>
      </c>
      <c r="E191" s="218">
        <f>+E190+E189</f>
        <v>24268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407305</v>
      </c>
      <c r="D14" s="258">
        <v>68020</v>
      </c>
      <c r="E14" s="258">
        <f t="shared" ref="E14:E24" si="0">D14-C14</f>
        <v>-339285</v>
      </c>
      <c r="F14" s="259">
        <f t="shared" ref="F14:F24" si="1">IF(C14=0,0,E14/C14)</f>
        <v>-0.83299984041443143</v>
      </c>
    </row>
    <row r="15" spans="1:7" ht="20.25" customHeight="1" x14ac:dyDescent="0.3">
      <c r="A15" s="256">
        <v>2</v>
      </c>
      <c r="B15" s="257" t="s">
        <v>442</v>
      </c>
      <c r="C15" s="258">
        <v>219962</v>
      </c>
      <c r="D15" s="258">
        <v>27726</v>
      </c>
      <c r="E15" s="258">
        <f t="shared" si="0"/>
        <v>-192236</v>
      </c>
      <c r="F15" s="259">
        <f t="shared" si="1"/>
        <v>-0.873950955164983</v>
      </c>
    </row>
    <row r="16" spans="1:7" ht="20.25" customHeight="1" x14ac:dyDescent="0.3">
      <c r="A16" s="256">
        <v>3</v>
      </c>
      <c r="B16" s="257" t="s">
        <v>443</v>
      </c>
      <c r="C16" s="258">
        <v>747130</v>
      </c>
      <c r="D16" s="258">
        <v>400293</v>
      </c>
      <c r="E16" s="258">
        <f t="shared" si="0"/>
        <v>-346837</v>
      </c>
      <c r="F16" s="259">
        <f t="shared" si="1"/>
        <v>-0.46422577061555553</v>
      </c>
    </row>
    <row r="17" spans="1:6" ht="20.25" customHeight="1" x14ac:dyDescent="0.3">
      <c r="A17" s="256">
        <v>4</v>
      </c>
      <c r="B17" s="257" t="s">
        <v>444</v>
      </c>
      <c r="C17" s="258">
        <v>393733</v>
      </c>
      <c r="D17" s="258">
        <v>142186</v>
      </c>
      <c r="E17" s="258">
        <f t="shared" si="0"/>
        <v>-251547</v>
      </c>
      <c r="F17" s="259">
        <f t="shared" si="1"/>
        <v>-0.63887710707509915</v>
      </c>
    </row>
    <row r="18" spans="1:6" ht="20.25" customHeight="1" x14ac:dyDescent="0.3">
      <c r="A18" s="256">
        <v>5</v>
      </c>
      <c r="B18" s="257" t="s">
        <v>381</v>
      </c>
      <c r="C18" s="260">
        <v>20</v>
      </c>
      <c r="D18" s="260">
        <v>7</v>
      </c>
      <c r="E18" s="260">
        <f t="shared" si="0"/>
        <v>-13</v>
      </c>
      <c r="F18" s="259">
        <f t="shared" si="1"/>
        <v>-0.65</v>
      </c>
    </row>
    <row r="19" spans="1:6" ht="20.25" customHeight="1" x14ac:dyDescent="0.3">
      <c r="A19" s="256">
        <v>6</v>
      </c>
      <c r="B19" s="257" t="s">
        <v>380</v>
      </c>
      <c r="C19" s="260">
        <v>96</v>
      </c>
      <c r="D19" s="260">
        <v>33</v>
      </c>
      <c r="E19" s="260">
        <f t="shared" si="0"/>
        <v>-63</v>
      </c>
      <c r="F19" s="259">
        <f t="shared" si="1"/>
        <v>-0.65625</v>
      </c>
    </row>
    <row r="20" spans="1:6" ht="20.25" customHeight="1" x14ac:dyDescent="0.3">
      <c r="A20" s="256">
        <v>7</v>
      </c>
      <c r="B20" s="257" t="s">
        <v>445</v>
      </c>
      <c r="C20" s="260">
        <v>1036</v>
      </c>
      <c r="D20" s="260">
        <v>594</v>
      </c>
      <c r="E20" s="260">
        <f t="shared" si="0"/>
        <v>-442</v>
      </c>
      <c r="F20" s="259">
        <f t="shared" si="1"/>
        <v>-0.42664092664092662</v>
      </c>
    </row>
    <row r="21" spans="1:6" ht="20.25" customHeight="1" x14ac:dyDescent="0.3">
      <c r="A21" s="256">
        <v>8</v>
      </c>
      <c r="B21" s="257" t="s">
        <v>446</v>
      </c>
      <c r="C21" s="260">
        <v>56</v>
      </c>
      <c r="D21" s="260">
        <v>26</v>
      </c>
      <c r="E21" s="260">
        <f t="shared" si="0"/>
        <v>-30</v>
      </c>
      <c r="F21" s="259">
        <f t="shared" si="1"/>
        <v>-0.5357142857142857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1154435</v>
      </c>
      <c r="D23" s="263">
        <f>+D14+D16</f>
        <v>468313</v>
      </c>
      <c r="E23" s="263">
        <f t="shared" si="0"/>
        <v>-686122</v>
      </c>
      <c r="F23" s="264">
        <f t="shared" si="1"/>
        <v>-0.59433575731851507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613695</v>
      </c>
      <c r="D24" s="263">
        <f>+D15+D17</f>
        <v>169912</v>
      </c>
      <c r="E24" s="263">
        <f t="shared" si="0"/>
        <v>-443783</v>
      </c>
      <c r="F24" s="264">
        <f t="shared" si="1"/>
        <v>-0.72313282656694289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17</v>
      </c>
      <c r="E29" s="258">
        <f t="shared" si="2"/>
        <v>17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17</v>
      </c>
      <c r="E30" s="258">
        <f t="shared" si="2"/>
        <v>17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1</v>
      </c>
      <c r="E33" s="260">
        <f t="shared" si="2"/>
        <v>1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17</v>
      </c>
      <c r="E36" s="263">
        <f t="shared" si="2"/>
        <v>17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17</v>
      </c>
      <c r="E37" s="263">
        <f t="shared" si="2"/>
        <v>17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1570022</v>
      </c>
      <c r="D40" s="258">
        <v>2005918</v>
      </c>
      <c r="E40" s="258">
        <f t="shared" ref="E40:E50" si="4">D40-C40</f>
        <v>435896</v>
      </c>
      <c r="F40" s="259">
        <f t="shared" ref="F40:F50" si="5">IF(C40=0,0,E40/C40)</f>
        <v>0.27763687387820041</v>
      </c>
    </row>
    <row r="41" spans="1:6" ht="20.25" customHeight="1" x14ac:dyDescent="0.3">
      <c r="A41" s="256">
        <v>2</v>
      </c>
      <c r="B41" s="257" t="s">
        <v>442</v>
      </c>
      <c r="C41" s="258">
        <v>810543</v>
      </c>
      <c r="D41" s="258">
        <v>1000168</v>
      </c>
      <c r="E41" s="258">
        <f t="shared" si="4"/>
        <v>189625</v>
      </c>
      <c r="F41" s="259">
        <f t="shared" si="5"/>
        <v>0.23394810639287489</v>
      </c>
    </row>
    <row r="42" spans="1:6" ht="20.25" customHeight="1" x14ac:dyDescent="0.3">
      <c r="A42" s="256">
        <v>3</v>
      </c>
      <c r="B42" s="257" t="s">
        <v>443</v>
      </c>
      <c r="C42" s="258">
        <v>4040389</v>
      </c>
      <c r="D42" s="258">
        <v>4715363</v>
      </c>
      <c r="E42" s="258">
        <f t="shared" si="4"/>
        <v>674974</v>
      </c>
      <c r="F42" s="259">
        <f t="shared" si="5"/>
        <v>0.16705668686851688</v>
      </c>
    </row>
    <row r="43" spans="1:6" ht="20.25" customHeight="1" x14ac:dyDescent="0.3">
      <c r="A43" s="256">
        <v>4</v>
      </c>
      <c r="B43" s="257" t="s">
        <v>444</v>
      </c>
      <c r="C43" s="258">
        <v>1584873</v>
      </c>
      <c r="D43" s="258">
        <v>1610089</v>
      </c>
      <c r="E43" s="258">
        <f t="shared" si="4"/>
        <v>25216</v>
      </c>
      <c r="F43" s="259">
        <f t="shared" si="5"/>
        <v>1.591042310645711E-2</v>
      </c>
    </row>
    <row r="44" spans="1:6" ht="20.25" customHeight="1" x14ac:dyDescent="0.3">
      <c r="A44" s="256">
        <v>5</v>
      </c>
      <c r="B44" s="257" t="s">
        <v>381</v>
      </c>
      <c r="C44" s="260">
        <v>103</v>
      </c>
      <c r="D44" s="260">
        <v>113</v>
      </c>
      <c r="E44" s="260">
        <f t="shared" si="4"/>
        <v>10</v>
      </c>
      <c r="F44" s="259">
        <f t="shared" si="5"/>
        <v>9.7087378640776698E-2</v>
      </c>
    </row>
    <row r="45" spans="1:6" ht="20.25" customHeight="1" x14ac:dyDescent="0.3">
      <c r="A45" s="256">
        <v>6</v>
      </c>
      <c r="B45" s="257" t="s">
        <v>380</v>
      </c>
      <c r="C45" s="260">
        <v>430</v>
      </c>
      <c r="D45" s="260">
        <v>398</v>
      </c>
      <c r="E45" s="260">
        <f t="shared" si="4"/>
        <v>-32</v>
      </c>
      <c r="F45" s="259">
        <f t="shared" si="5"/>
        <v>-7.441860465116279E-2</v>
      </c>
    </row>
    <row r="46" spans="1:6" ht="20.25" customHeight="1" x14ac:dyDescent="0.3">
      <c r="A46" s="256">
        <v>7</v>
      </c>
      <c r="B46" s="257" t="s">
        <v>445</v>
      </c>
      <c r="C46" s="260">
        <v>5308</v>
      </c>
      <c r="D46" s="260">
        <v>8007</v>
      </c>
      <c r="E46" s="260">
        <f t="shared" si="4"/>
        <v>2699</v>
      </c>
      <c r="F46" s="259">
        <f t="shared" si="5"/>
        <v>0.50847776940467215</v>
      </c>
    </row>
    <row r="47" spans="1:6" ht="20.25" customHeight="1" x14ac:dyDescent="0.3">
      <c r="A47" s="256">
        <v>8</v>
      </c>
      <c r="B47" s="257" t="s">
        <v>446</v>
      </c>
      <c r="C47" s="260">
        <v>217</v>
      </c>
      <c r="D47" s="260">
        <v>258</v>
      </c>
      <c r="E47" s="260">
        <f t="shared" si="4"/>
        <v>41</v>
      </c>
      <c r="F47" s="259">
        <f t="shared" si="5"/>
        <v>0.1889400921658986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5610411</v>
      </c>
      <c r="D49" s="263">
        <f>+D40+D42</f>
        <v>6721281</v>
      </c>
      <c r="E49" s="263">
        <f t="shared" si="4"/>
        <v>1110870</v>
      </c>
      <c r="F49" s="264">
        <f t="shared" si="5"/>
        <v>0.19800153678580767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2395416</v>
      </c>
      <c r="D50" s="263">
        <f>+D41+D43</f>
        <v>2610257</v>
      </c>
      <c r="E50" s="263">
        <f t="shared" si="4"/>
        <v>214841</v>
      </c>
      <c r="F50" s="264">
        <f t="shared" si="5"/>
        <v>8.9688388154708823E-2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134270</v>
      </c>
      <c r="D66" s="258">
        <v>72164</v>
      </c>
      <c r="E66" s="258">
        <f t="shared" ref="E66:E76" si="8">D66-C66</f>
        <v>-62106</v>
      </c>
      <c r="F66" s="259">
        <f t="shared" ref="F66:F76" si="9">IF(C66=0,0,E66/C66)</f>
        <v>-0.46254561704029196</v>
      </c>
    </row>
    <row r="67" spans="1:6" ht="20.25" customHeight="1" x14ac:dyDescent="0.3">
      <c r="A67" s="256">
        <v>2</v>
      </c>
      <c r="B67" s="257" t="s">
        <v>442</v>
      </c>
      <c r="C67" s="258">
        <v>28449</v>
      </c>
      <c r="D67" s="258">
        <v>27400</v>
      </c>
      <c r="E67" s="258">
        <f t="shared" si="8"/>
        <v>-1049</v>
      </c>
      <c r="F67" s="259">
        <f t="shared" si="9"/>
        <v>-3.6873000808464271E-2</v>
      </c>
    </row>
    <row r="68" spans="1:6" ht="20.25" customHeight="1" x14ac:dyDescent="0.3">
      <c r="A68" s="256">
        <v>3</v>
      </c>
      <c r="B68" s="257" t="s">
        <v>443</v>
      </c>
      <c r="C68" s="258">
        <v>95849</v>
      </c>
      <c r="D68" s="258">
        <v>97737</v>
      </c>
      <c r="E68" s="258">
        <f t="shared" si="8"/>
        <v>1888</v>
      </c>
      <c r="F68" s="259">
        <f t="shared" si="9"/>
        <v>1.9697649427745725E-2</v>
      </c>
    </row>
    <row r="69" spans="1:6" ht="20.25" customHeight="1" x14ac:dyDescent="0.3">
      <c r="A69" s="256">
        <v>4</v>
      </c>
      <c r="B69" s="257" t="s">
        <v>444</v>
      </c>
      <c r="C69" s="258">
        <v>40546</v>
      </c>
      <c r="D69" s="258">
        <v>6257</v>
      </c>
      <c r="E69" s="258">
        <f t="shared" si="8"/>
        <v>-34289</v>
      </c>
      <c r="F69" s="259">
        <f t="shared" si="9"/>
        <v>-0.84568144823163816</v>
      </c>
    </row>
    <row r="70" spans="1:6" ht="20.25" customHeight="1" x14ac:dyDescent="0.3">
      <c r="A70" s="256">
        <v>5</v>
      </c>
      <c r="B70" s="257" t="s">
        <v>381</v>
      </c>
      <c r="C70" s="260">
        <v>16</v>
      </c>
      <c r="D70" s="260">
        <v>6</v>
      </c>
      <c r="E70" s="260">
        <f t="shared" si="8"/>
        <v>-10</v>
      </c>
      <c r="F70" s="259">
        <f t="shared" si="9"/>
        <v>-0.625</v>
      </c>
    </row>
    <row r="71" spans="1:6" ht="20.25" customHeight="1" x14ac:dyDescent="0.3">
      <c r="A71" s="256">
        <v>6</v>
      </c>
      <c r="B71" s="257" t="s">
        <v>380</v>
      </c>
      <c r="C71" s="260">
        <v>78</v>
      </c>
      <c r="D71" s="260">
        <v>25</v>
      </c>
      <c r="E71" s="260">
        <f t="shared" si="8"/>
        <v>-53</v>
      </c>
      <c r="F71" s="259">
        <f t="shared" si="9"/>
        <v>-0.67948717948717952</v>
      </c>
    </row>
    <row r="72" spans="1:6" ht="20.25" customHeight="1" x14ac:dyDescent="0.3">
      <c r="A72" s="256">
        <v>7</v>
      </c>
      <c r="B72" s="257" t="s">
        <v>445</v>
      </c>
      <c r="C72" s="260">
        <v>132</v>
      </c>
      <c r="D72" s="260">
        <v>75</v>
      </c>
      <c r="E72" s="260">
        <f t="shared" si="8"/>
        <v>-57</v>
      </c>
      <c r="F72" s="259">
        <f t="shared" si="9"/>
        <v>-0.43181818181818182</v>
      </c>
    </row>
    <row r="73" spans="1:6" ht="20.25" customHeight="1" x14ac:dyDescent="0.3">
      <c r="A73" s="256">
        <v>8</v>
      </c>
      <c r="B73" s="257" t="s">
        <v>446</v>
      </c>
      <c r="C73" s="260">
        <v>26</v>
      </c>
      <c r="D73" s="260">
        <v>24</v>
      </c>
      <c r="E73" s="260">
        <f t="shared" si="8"/>
        <v>-2</v>
      </c>
      <c r="F73" s="259">
        <f t="shared" si="9"/>
        <v>-7.6923076923076927E-2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230119</v>
      </c>
      <c r="D75" s="263">
        <f>+D66+D68</f>
        <v>169901</v>
      </c>
      <c r="E75" s="263">
        <f t="shared" si="8"/>
        <v>-60218</v>
      </c>
      <c r="F75" s="264">
        <f t="shared" si="9"/>
        <v>-0.26168199931339869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68995</v>
      </c>
      <c r="D76" s="263">
        <f>+D67+D69</f>
        <v>33657</v>
      </c>
      <c r="E76" s="263">
        <f t="shared" si="8"/>
        <v>-35338</v>
      </c>
      <c r="F76" s="264">
        <f t="shared" si="9"/>
        <v>-0.51218204217696939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2716543</v>
      </c>
      <c r="D92" s="258">
        <v>4686174</v>
      </c>
      <c r="E92" s="258">
        <f t="shared" ref="E92:E102" si="12">D92-C92</f>
        <v>1969631</v>
      </c>
      <c r="F92" s="259">
        <f t="shared" ref="F92:F102" si="13">IF(C92=0,0,E92/C92)</f>
        <v>0.72505055138092789</v>
      </c>
    </row>
    <row r="93" spans="1:6" ht="20.25" customHeight="1" x14ac:dyDescent="0.3">
      <c r="A93" s="256">
        <v>2</v>
      </c>
      <c r="B93" s="257" t="s">
        <v>442</v>
      </c>
      <c r="C93" s="258">
        <v>1407378</v>
      </c>
      <c r="D93" s="258">
        <v>2289200</v>
      </c>
      <c r="E93" s="258">
        <f t="shared" si="12"/>
        <v>881822</v>
      </c>
      <c r="F93" s="259">
        <f t="shared" si="13"/>
        <v>0.62657082887468751</v>
      </c>
    </row>
    <row r="94" spans="1:6" ht="20.25" customHeight="1" x14ac:dyDescent="0.3">
      <c r="A94" s="256">
        <v>3</v>
      </c>
      <c r="B94" s="257" t="s">
        <v>443</v>
      </c>
      <c r="C94" s="258">
        <v>5530027</v>
      </c>
      <c r="D94" s="258">
        <v>7186575</v>
      </c>
      <c r="E94" s="258">
        <f t="shared" si="12"/>
        <v>1656548</v>
      </c>
      <c r="F94" s="259">
        <f t="shared" si="13"/>
        <v>0.29955513779589144</v>
      </c>
    </row>
    <row r="95" spans="1:6" ht="20.25" customHeight="1" x14ac:dyDescent="0.3">
      <c r="A95" s="256">
        <v>4</v>
      </c>
      <c r="B95" s="257" t="s">
        <v>444</v>
      </c>
      <c r="C95" s="258">
        <v>2320688</v>
      </c>
      <c r="D95" s="258">
        <v>2769805</v>
      </c>
      <c r="E95" s="258">
        <f t="shared" si="12"/>
        <v>449117</v>
      </c>
      <c r="F95" s="259">
        <f t="shared" si="13"/>
        <v>0.19352752287252745</v>
      </c>
    </row>
    <row r="96" spans="1:6" ht="20.25" customHeight="1" x14ac:dyDescent="0.3">
      <c r="A96" s="256">
        <v>5</v>
      </c>
      <c r="B96" s="257" t="s">
        <v>381</v>
      </c>
      <c r="C96" s="260">
        <v>193</v>
      </c>
      <c r="D96" s="260">
        <v>248</v>
      </c>
      <c r="E96" s="260">
        <f t="shared" si="12"/>
        <v>55</v>
      </c>
      <c r="F96" s="259">
        <f t="shared" si="13"/>
        <v>0.28497409326424872</v>
      </c>
    </row>
    <row r="97" spans="1:6" ht="20.25" customHeight="1" x14ac:dyDescent="0.3">
      <c r="A97" s="256">
        <v>6</v>
      </c>
      <c r="B97" s="257" t="s">
        <v>380</v>
      </c>
      <c r="C97" s="260">
        <v>667</v>
      </c>
      <c r="D97" s="260">
        <v>1106</v>
      </c>
      <c r="E97" s="260">
        <f t="shared" si="12"/>
        <v>439</v>
      </c>
      <c r="F97" s="259">
        <f t="shared" si="13"/>
        <v>0.65817091454272869</v>
      </c>
    </row>
    <row r="98" spans="1:6" ht="20.25" customHeight="1" x14ac:dyDescent="0.3">
      <c r="A98" s="256">
        <v>7</v>
      </c>
      <c r="B98" s="257" t="s">
        <v>445</v>
      </c>
      <c r="C98" s="260">
        <v>8441</v>
      </c>
      <c r="D98" s="260">
        <v>13573</v>
      </c>
      <c r="E98" s="260">
        <f t="shared" si="12"/>
        <v>5132</v>
      </c>
      <c r="F98" s="259">
        <f t="shared" si="13"/>
        <v>0.6079848359199147</v>
      </c>
    </row>
    <row r="99" spans="1:6" ht="20.25" customHeight="1" x14ac:dyDescent="0.3">
      <c r="A99" s="256">
        <v>8</v>
      </c>
      <c r="B99" s="257" t="s">
        <v>446</v>
      </c>
      <c r="C99" s="260">
        <v>472</v>
      </c>
      <c r="D99" s="260">
        <v>604</v>
      </c>
      <c r="E99" s="260">
        <f t="shared" si="12"/>
        <v>132</v>
      </c>
      <c r="F99" s="259">
        <f t="shared" si="13"/>
        <v>0.27966101694915252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8246570</v>
      </c>
      <c r="D101" s="263">
        <f>+D92+D94</f>
        <v>11872749</v>
      </c>
      <c r="E101" s="263">
        <f t="shared" si="12"/>
        <v>3626179</v>
      </c>
      <c r="F101" s="264">
        <f t="shared" si="13"/>
        <v>0.43971966526689277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3728066</v>
      </c>
      <c r="D102" s="263">
        <f>+D93+D95</f>
        <v>5059005</v>
      </c>
      <c r="E102" s="263">
        <f t="shared" si="12"/>
        <v>1330939</v>
      </c>
      <c r="F102" s="264">
        <f t="shared" si="13"/>
        <v>0.35700521396348672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18029</v>
      </c>
      <c r="D118" s="258">
        <v>28899</v>
      </c>
      <c r="E118" s="258">
        <f t="shared" ref="E118:E128" si="16">D118-C118</f>
        <v>10870</v>
      </c>
      <c r="F118" s="259">
        <f t="shared" ref="F118:F128" si="17">IF(C118=0,0,E118/C118)</f>
        <v>0.60291752177048086</v>
      </c>
    </row>
    <row r="119" spans="1:6" ht="20.25" customHeight="1" x14ac:dyDescent="0.3">
      <c r="A119" s="256">
        <v>2</v>
      </c>
      <c r="B119" s="257" t="s">
        <v>442</v>
      </c>
      <c r="C119" s="258">
        <v>7077</v>
      </c>
      <c r="D119" s="258">
        <v>24873</v>
      </c>
      <c r="E119" s="258">
        <f t="shared" si="16"/>
        <v>17796</v>
      </c>
      <c r="F119" s="259">
        <f t="shared" si="17"/>
        <v>2.5146248410343364</v>
      </c>
    </row>
    <row r="120" spans="1:6" ht="20.25" customHeight="1" x14ac:dyDescent="0.3">
      <c r="A120" s="256">
        <v>3</v>
      </c>
      <c r="B120" s="257" t="s">
        <v>443</v>
      </c>
      <c r="C120" s="258">
        <v>54063</v>
      </c>
      <c r="D120" s="258">
        <v>110727</v>
      </c>
      <c r="E120" s="258">
        <f t="shared" si="16"/>
        <v>56664</v>
      </c>
      <c r="F120" s="259">
        <f t="shared" si="17"/>
        <v>1.0481105377060096</v>
      </c>
    </row>
    <row r="121" spans="1:6" ht="20.25" customHeight="1" x14ac:dyDescent="0.3">
      <c r="A121" s="256">
        <v>4</v>
      </c>
      <c r="B121" s="257" t="s">
        <v>444</v>
      </c>
      <c r="C121" s="258">
        <v>15907</v>
      </c>
      <c r="D121" s="258">
        <v>39677</v>
      </c>
      <c r="E121" s="258">
        <f t="shared" si="16"/>
        <v>23770</v>
      </c>
      <c r="F121" s="259">
        <f t="shared" si="17"/>
        <v>1.4943106808323379</v>
      </c>
    </row>
    <row r="122" spans="1:6" ht="20.25" customHeight="1" x14ac:dyDescent="0.3">
      <c r="A122" s="256">
        <v>5</v>
      </c>
      <c r="B122" s="257" t="s">
        <v>381</v>
      </c>
      <c r="C122" s="260">
        <v>2</v>
      </c>
      <c r="D122" s="260">
        <v>3</v>
      </c>
      <c r="E122" s="260">
        <f t="shared" si="16"/>
        <v>1</v>
      </c>
      <c r="F122" s="259">
        <f t="shared" si="17"/>
        <v>0.5</v>
      </c>
    </row>
    <row r="123" spans="1:6" ht="20.25" customHeight="1" x14ac:dyDescent="0.3">
      <c r="A123" s="256">
        <v>6</v>
      </c>
      <c r="B123" s="257" t="s">
        <v>380</v>
      </c>
      <c r="C123" s="260">
        <v>3</v>
      </c>
      <c r="D123" s="260">
        <v>12</v>
      </c>
      <c r="E123" s="260">
        <f t="shared" si="16"/>
        <v>9</v>
      </c>
      <c r="F123" s="259">
        <f t="shared" si="17"/>
        <v>3</v>
      </c>
    </row>
    <row r="124" spans="1:6" ht="20.25" customHeight="1" x14ac:dyDescent="0.3">
      <c r="A124" s="256">
        <v>7</v>
      </c>
      <c r="B124" s="257" t="s">
        <v>445</v>
      </c>
      <c r="C124" s="260">
        <v>76</v>
      </c>
      <c r="D124" s="260">
        <v>256</v>
      </c>
      <c r="E124" s="260">
        <f t="shared" si="16"/>
        <v>180</v>
      </c>
      <c r="F124" s="259">
        <f t="shared" si="17"/>
        <v>2.3684210526315788</v>
      </c>
    </row>
    <row r="125" spans="1:6" ht="20.25" customHeight="1" x14ac:dyDescent="0.3">
      <c r="A125" s="256">
        <v>8</v>
      </c>
      <c r="B125" s="257" t="s">
        <v>446</v>
      </c>
      <c r="C125" s="260">
        <v>7</v>
      </c>
      <c r="D125" s="260">
        <v>3</v>
      </c>
      <c r="E125" s="260">
        <f t="shared" si="16"/>
        <v>-4</v>
      </c>
      <c r="F125" s="259">
        <f t="shared" si="17"/>
        <v>-0.5714285714285714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72092</v>
      </c>
      <c r="D127" s="263">
        <f>+D118+D120</f>
        <v>139626</v>
      </c>
      <c r="E127" s="263">
        <f t="shared" si="16"/>
        <v>67534</v>
      </c>
      <c r="F127" s="264">
        <f t="shared" si="17"/>
        <v>0.93677523164844922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22984</v>
      </c>
      <c r="D128" s="263">
        <f>+D119+D121</f>
        <v>64550</v>
      </c>
      <c r="E128" s="263">
        <f t="shared" si="16"/>
        <v>41566</v>
      </c>
      <c r="F128" s="264">
        <f t="shared" si="17"/>
        <v>1.8084754611903933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118500</v>
      </c>
      <c r="D183" s="258">
        <v>20386</v>
      </c>
      <c r="E183" s="258">
        <f t="shared" ref="E183:E193" si="26">D183-C183</f>
        <v>-98114</v>
      </c>
      <c r="F183" s="259">
        <f t="shared" ref="F183:F193" si="27">IF(C183=0,0,E183/C183)</f>
        <v>-0.82796624472573843</v>
      </c>
    </row>
    <row r="184" spans="1:6" ht="20.25" customHeight="1" x14ac:dyDescent="0.3">
      <c r="A184" s="256">
        <v>2</v>
      </c>
      <c r="B184" s="257" t="s">
        <v>442</v>
      </c>
      <c r="C184" s="258">
        <v>62563</v>
      </c>
      <c r="D184" s="258">
        <v>8582</v>
      </c>
      <c r="E184" s="258">
        <f t="shared" si="26"/>
        <v>-53981</v>
      </c>
      <c r="F184" s="259">
        <f t="shared" si="27"/>
        <v>-0.86282627111871235</v>
      </c>
    </row>
    <row r="185" spans="1:6" ht="20.25" customHeight="1" x14ac:dyDescent="0.3">
      <c r="A185" s="256">
        <v>3</v>
      </c>
      <c r="B185" s="257" t="s">
        <v>443</v>
      </c>
      <c r="C185" s="258">
        <v>208736</v>
      </c>
      <c r="D185" s="258">
        <v>29618</v>
      </c>
      <c r="E185" s="258">
        <f t="shared" si="26"/>
        <v>-179118</v>
      </c>
      <c r="F185" s="259">
        <f t="shared" si="27"/>
        <v>-0.85810784914916449</v>
      </c>
    </row>
    <row r="186" spans="1:6" ht="20.25" customHeight="1" x14ac:dyDescent="0.3">
      <c r="A186" s="256">
        <v>4</v>
      </c>
      <c r="B186" s="257" t="s">
        <v>444</v>
      </c>
      <c r="C186" s="258">
        <v>69292</v>
      </c>
      <c r="D186" s="258">
        <v>0</v>
      </c>
      <c r="E186" s="258">
        <f t="shared" si="26"/>
        <v>-69292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9</v>
      </c>
      <c r="D187" s="260">
        <v>1</v>
      </c>
      <c r="E187" s="260">
        <f t="shared" si="26"/>
        <v>-8</v>
      </c>
      <c r="F187" s="259">
        <f t="shared" si="27"/>
        <v>-0.88888888888888884</v>
      </c>
    </row>
    <row r="188" spans="1:6" ht="20.25" customHeight="1" x14ac:dyDescent="0.3">
      <c r="A188" s="256">
        <v>6</v>
      </c>
      <c r="B188" s="257" t="s">
        <v>380</v>
      </c>
      <c r="C188" s="260">
        <v>32</v>
      </c>
      <c r="D188" s="260">
        <v>6</v>
      </c>
      <c r="E188" s="260">
        <f t="shared" si="26"/>
        <v>-26</v>
      </c>
      <c r="F188" s="259">
        <f t="shared" si="27"/>
        <v>-0.8125</v>
      </c>
    </row>
    <row r="189" spans="1:6" ht="20.25" customHeight="1" x14ac:dyDescent="0.3">
      <c r="A189" s="256">
        <v>7</v>
      </c>
      <c r="B189" s="257" t="s">
        <v>445</v>
      </c>
      <c r="C189" s="260">
        <v>478</v>
      </c>
      <c r="D189" s="260">
        <v>79</v>
      </c>
      <c r="E189" s="260">
        <f t="shared" si="26"/>
        <v>-399</v>
      </c>
      <c r="F189" s="259">
        <f t="shared" si="27"/>
        <v>-0.83472803347280333</v>
      </c>
    </row>
    <row r="190" spans="1:6" ht="20.25" customHeight="1" x14ac:dyDescent="0.3">
      <c r="A190" s="256">
        <v>8</v>
      </c>
      <c r="B190" s="257" t="s">
        <v>446</v>
      </c>
      <c r="C190" s="260">
        <v>29</v>
      </c>
      <c r="D190" s="260">
        <v>3</v>
      </c>
      <c r="E190" s="260">
        <f t="shared" si="26"/>
        <v>-26</v>
      </c>
      <c r="F190" s="259">
        <f t="shared" si="27"/>
        <v>-0.89655172413793105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327236</v>
      </c>
      <c r="D192" s="263">
        <f>+D183+D185</f>
        <v>50004</v>
      </c>
      <c r="E192" s="263">
        <f t="shared" si="26"/>
        <v>-277232</v>
      </c>
      <c r="F192" s="264">
        <f t="shared" si="27"/>
        <v>-0.8471928516422399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131855</v>
      </c>
      <c r="D193" s="263">
        <f>+D184+D186</f>
        <v>8582</v>
      </c>
      <c r="E193" s="263">
        <f t="shared" si="26"/>
        <v>-123273</v>
      </c>
      <c r="F193" s="264">
        <f t="shared" si="27"/>
        <v>-0.93491335178794888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4964669</v>
      </c>
      <c r="D198" s="263">
        <f t="shared" si="28"/>
        <v>6881561</v>
      </c>
      <c r="E198" s="263">
        <f t="shared" ref="E198:E208" si="29">D198-C198</f>
        <v>1916892</v>
      </c>
      <c r="F198" s="273">
        <f t="shared" ref="F198:F208" si="30">IF(C198=0,0,E198/C198)</f>
        <v>0.38610670721451923</v>
      </c>
    </row>
    <row r="199" spans="1:9" ht="20.25" customHeight="1" x14ac:dyDescent="0.3">
      <c r="A199" s="271"/>
      <c r="B199" s="272" t="s">
        <v>466</v>
      </c>
      <c r="C199" s="263">
        <f t="shared" si="28"/>
        <v>2535972</v>
      </c>
      <c r="D199" s="263">
        <f t="shared" si="28"/>
        <v>3377949</v>
      </c>
      <c r="E199" s="263">
        <f t="shared" si="29"/>
        <v>841977</v>
      </c>
      <c r="F199" s="273">
        <f t="shared" si="30"/>
        <v>0.33201352380862248</v>
      </c>
    </row>
    <row r="200" spans="1:9" ht="20.25" customHeight="1" x14ac:dyDescent="0.3">
      <c r="A200" s="271"/>
      <c r="B200" s="272" t="s">
        <v>467</v>
      </c>
      <c r="C200" s="263">
        <f t="shared" si="28"/>
        <v>10676194</v>
      </c>
      <c r="D200" s="263">
        <f t="shared" si="28"/>
        <v>12540330</v>
      </c>
      <c r="E200" s="263">
        <f t="shared" si="29"/>
        <v>1864136</v>
      </c>
      <c r="F200" s="273">
        <f t="shared" si="30"/>
        <v>0.17460679339472476</v>
      </c>
    </row>
    <row r="201" spans="1:9" ht="20.25" customHeight="1" x14ac:dyDescent="0.3">
      <c r="A201" s="271"/>
      <c r="B201" s="272" t="s">
        <v>468</v>
      </c>
      <c r="C201" s="263">
        <f t="shared" si="28"/>
        <v>4425039</v>
      </c>
      <c r="D201" s="263">
        <f t="shared" si="28"/>
        <v>4568031</v>
      </c>
      <c r="E201" s="263">
        <f t="shared" si="29"/>
        <v>142992</v>
      </c>
      <c r="F201" s="273">
        <f t="shared" si="30"/>
        <v>3.2314291467261641E-2</v>
      </c>
    </row>
    <row r="202" spans="1:9" ht="20.25" customHeight="1" x14ac:dyDescent="0.3">
      <c r="A202" s="271"/>
      <c r="B202" s="272" t="s">
        <v>138</v>
      </c>
      <c r="C202" s="274">
        <f t="shared" si="28"/>
        <v>343</v>
      </c>
      <c r="D202" s="274">
        <f t="shared" si="28"/>
        <v>378</v>
      </c>
      <c r="E202" s="274">
        <f t="shared" si="29"/>
        <v>35</v>
      </c>
      <c r="F202" s="273">
        <f t="shared" si="30"/>
        <v>0.10204081632653061</v>
      </c>
    </row>
    <row r="203" spans="1:9" ht="20.25" customHeight="1" x14ac:dyDescent="0.3">
      <c r="A203" s="271"/>
      <c r="B203" s="272" t="s">
        <v>140</v>
      </c>
      <c r="C203" s="274">
        <f t="shared" si="28"/>
        <v>1306</v>
      </c>
      <c r="D203" s="274">
        <f t="shared" si="28"/>
        <v>1580</v>
      </c>
      <c r="E203" s="274">
        <f t="shared" si="29"/>
        <v>274</v>
      </c>
      <c r="F203" s="273">
        <f t="shared" si="30"/>
        <v>0.20980091883614088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15471</v>
      </c>
      <c r="D204" s="274">
        <f t="shared" si="28"/>
        <v>22585</v>
      </c>
      <c r="E204" s="274">
        <f t="shared" si="29"/>
        <v>7114</v>
      </c>
      <c r="F204" s="273">
        <f t="shared" si="30"/>
        <v>0.45982806541270765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807</v>
      </c>
      <c r="D205" s="274">
        <f t="shared" si="28"/>
        <v>918</v>
      </c>
      <c r="E205" s="274">
        <f t="shared" si="29"/>
        <v>111</v>
      </c>
      <c r="F205" s="273">
        <f t="shared" si="30"/>
        <v>0.13754646840148699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15640863</v>
      </c>
      <c r="D207" s="263">
        <f>+D198+D200</f>
        <v>19421891</v>
      </c>
      <c r="E207" s="263">
        <f t="shared" si="29"/>
        <v>3781028</v>
      </c>
      <c r="F207" s="273">
        <f t="shared" si="30"/>
        <v>0.24174036944125141</v>
      </c>
    </row>
    <row r="208" spans="1:9" ht="20.25" customHeight="1" x14ac:dyDescent="0.3">
      <c r="A208" s="271"/>
      <c r="B208" s="262" t="s">
        <v>472</v>
      </c>
      <c r="C208" s="263">
        <f>+C199+C201</f>
        <v>6961011</v>
      </c>
      <c r="D208" s="263">
        <f>+D199+D201</f>
        <v>7945980</v>
      </c>
      <c r="E208" s="263">
        <f t="shared" si="29"/>
        <v>984969</v>
      </c>
      <c r="F208" s="273">
        <f t="shared" si="30"/>
        <v>0.14149798068125449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645984</v>
      </c>
      <c r="D26" s="258">
        <v>0</v>
      </c>
      <c r="E26" s="258">
        <f t="shared" ref="E26:E36" si="2">D26-C26</f>
        <v>-645984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78988</v>
      </c>
      <c r="D27" s="258">
        <v>0</v>
      </c>
      <c r="E27" s="258">
        <f t="shared" si="2"/>
        <v>-78988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2473349</v>
      </c>
      <c r="D28" s="258">
        <v>0</v>
      </c>
      <c r="E28" s="258">
        <f t="shared" si="2"/>
        <v>-2473349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207891</v>
      </c>
      <c r="D29" s="258">
        <v>0</v>
      </c>
      <c r="E29" s="258">
        <f t="shared" si="2"/>
        <v>-207891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62</v>
      </c>
      <c r="D30" s="260">
        <v>0</v>
      </c>
      <c r="E30" s="260">
        <f t="shared" si="2"/>
        <v>-62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169</v>
      </c>
      <c r="D31" s="260">
        <v>0</v>
      </c>
      <c r="E31" s="260">
        <f t="shared" si="2"/>
        <v>-169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5678</v>
      </c>
      <c r="D32" s="260">
        <v>0</v>
      </c>
      <c r="E32" s="260">
        <f t="shared" si="2"/>
        <v>-5678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821</v>
      </c>
      <c r="D33" s="260">
        <v>0</v>
      </c>
      <c r="E33" s="260">
        <f t="shared" si="2"/>
        <v>-821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3119333</v>
      </c>
      <c r="D35" s="263">
        <f>+D26+D28</f>
        <v>0</v>
      </c>
      <c r="E35" s="263">
        <f t="shared" si="2"/>
        <v>-3119333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286879</v>
      </c>
      <c r="D36" s="263">
        <f>+D27+D29</f>
        <v>0</v>
      </c>
      <c r="E36" s="263">
        <f t="shared" si="2"/>
        <v>-286879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179997</v>
      </c>
      <c r="D50" s="258">
        <v>141843</v>
      </c>
      <c r="E50" s="258">
        <f t="shared" ref="E50:E60" si="6">D50-C50</f>
        <v>-38154</v>
      </c>
      <c r="F50" s="259">
        <f t="shared" ref="F50:F60" si="7">IF(C50=0,0,E50/C50)</f>
        <v>-0.21197019950332505</v>
      </c>
    </row>
    <row r="51" spans="1:6" ht="20.25" customHeight="1" x14ac:dyDescent="0.3">
      <c r="A51" s="256">
        <v>2</v>
      </c>
      <c r="B51" s="257" t="s">
        <v>442</v>
      </c>
      <c r="C51" s="258">
        <v>146120</v>
      </c>
      <c r="D51" s="258">
        <v>34500</v>
      </c>
      <c r="E51" s="258">
        <f t="shared" si="6"/>
        <v>-111620</v>
      </c>
      <c r="F51" s="259">
        <f t="shared" si="7"/>
        <v>-0.76389269093895429</v>
      </c>
    </row>
    <row r="52" spans="1:6" ht="20.25" customHeight="1" x14ac:dyDescent="0.3">
      <c r="A52" s="256">
        <v>3</v>
      </c>
      <c r="B52" s="257" t="s">
        <v>443</v>
      </c>
      <c r="C52" s="258">
        <v>1129494</v>
      </c>
      <c r="D52" s="258">
        <v>976202</v>
      </c>
      <c r="E52" s="258">
        <f t="shared" si="6"/>
        <v>-153292</v>
      </c>
      <c r="F52" s="259">
        <f t="shared" si="7"/>
        <v>-0.13571740974276977</v>
      </c>
    </row>
    <row r="53" spans="1:6" ht="20.25" customHeight="1" x14ac:dyDescent="0.3">
      <c r="A53" s="256">
        <v>4</v>
      </c>
      <c r="B53" s="257" t="s">
        <v>444</v>
      </c>
      <c r="C53" s="258">
        <v>912991</v>
      </c>
      <c r="D53" s="258">
        <v>447234</v>
      </c>
      <c r="E53" s="258">
        <f t="shared" si="6"/>
        <v>-465757</v>
      </c>
      <c r="F53" s="259">
        <f t="shared" si="7"/>
        <v>-0.51014413066503395</v>
      </c>
    </row>
    <row r="54" spans="1:6" ht="20.25" customHeight="1" x14ac:dyDescent="0.3">
      <c r="A54" s="256">
        <v>5</v>
      </c>
      <c r="B54" s="257" t="s">
        <v>381</v>
      </c>
      <c r="C54" s="260">
        <v>10</v>
      </c>
      <c r="D54" s="260">
        <v>8</v>
      </c>
      <c r="E54" s="260">
        <f t="shared" si="6"/>
        <v>-2</v>
      </c>
      <c r="F54" s="259">
        <f t="shared" si="7"/>
        <v>-0.2</v>
      </c>
    </row>
    <row r="55" spans="1:6" ht="20.25" customHeight="1" x14ac:dyDescent="0.3">
      <c r="A55" s="256">
        <v>6</v>
      </c>
      <c r="B55" s="257" t="s">
        <v>380</v>
      </c>
      <c r="C55" s="260">
        <v>35</v>
      </c>
      <c r="D55" s="260">
        <v>42</v>
      </c>
      <c r="E55" s="260">
        <f t="shared" si="6"/>
        <v>7</v>
      </c>
      <c r="F55" s="259">
        <f t="shared" si="7"/>
        <v>0.2</v>
      </c>
    </row>
    <row r="56" spans="1:6" ht="20.25" customHeight="1" x14ac:dyDescent="0.3">
      <c r="A56" s="256">
        <v>7</v>
      </c>
      <c r="B56" s="257" t="s">
        <v>445</v>
      </c>
      <c r="C56" s="260">
        <v>3882</v>
      </c>
      <c r="D56" s="260">
        <v>870</v>
      </c>
      <c r="E56" s="260">
        <f t="shared" si="6"/>
        <v>-3012</v>
      </c>
      <c r="F56" s="259">
        <f t="shared" si="7"/>
        <v>-0.77588871715610508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41</v>
      </c>
      <c r="E57" s="260">
        <f t="shared" si="6"/>
        <v>41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1309491</v>
      </c>
      <c r="D59" s="263">
        <f>+D50+D52</f>
        <v>1118045</v>
      </c>
      <c r="E59" s="263">
        <f t="shared" si="6"/>
        <v>-191446</v>
      </c>
      <c r="F59" s="264">
        <f t="shared" si="7"/>
        <v>-0.14619879021696217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1059111</v>
      </c>
      <c r="D60" s="263">
        <f>+D51+D53</f>
        <v>481734</v>
      </c>
      <c r="E60" s="263">
        <f t="shared" si="6"/>
        <v>-577377</v>
      </c>
      <c r="F60" s="264">
        <f t="shared" si="7"/>
        <v>-0.5451524910986667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99718</v>
      </c>
      <c r="D86" s="258">
        <v>0</v>
      </c>
      <c r="E86" s="258">
        <f t="shared" ref="E86:E96" si="12">D86-C86</f>
        <v>-99718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6340</v>
      </c>
      <c r="D87" s="258">
        <v>0</v>
      </c>
      <c r="E87" s="258">
        <f t="shared" si="12"/>
        <v>-6340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539647</v>
      </c>
      <c r="D88" s="258">
        <v>0</v>
      </c>
      <c r="E88" s="258">
        <f t="shared" si="12"/>
        <v>-539647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102069</v>
      </c>
      <c r="D89" s="258">
        <v>0</v>
      </c>
      <c r="E89" s="258">
        <f t="shared" si="12"/>
        <v>-102069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11</v>
      </c>
      <c r="D90" s="260">
        <v>0</v>
      </c>
      <c r="E90" s="260">
        <f t="shared" si="12"/>
        <v>-11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28</v>
      </c>
      <c r="D91" s="260">
        <v>0</v>
      </c>
      <c r="E91" s="260">
        <f t="shared" si="12"/>
        <v>-28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1132</v>
      </c>
      <c r="D92" s="260">
        <v>0</v>
      </c>
      <c r="E92" s="260">
        <f t="shared" si="12"/>
        <v>-1132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183</v>
      </c>
      <c r="D93" s="260">
        <v>0</v>
      </c>
      <c r="E93" s="260">
        <f t="shared" si="12"/>
        <v>-183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639365</v>
      </c>
      <c r="D95" s="263">
        <f>+D86+D88</f>
        <v>0</v>
      </c>
      <c r="E95" s="263">
        <f t="shared" si="12"/>
        <v>-639365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108409</v>
      </c>
      <c r="D96" s="263">
        <f>+D87+D89</f>
        <v>0</v>
      </c>
      <c r="E96" s="263">
        <f t="shared" si="12"/>
        <v>-108409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241097</v>
      </c>
      <c r="D98" s="258">
        <v>0</v>
      </c>
      <c r="E98" s="258">
        <f t="shared" ref="E98:E108" si="14">D98-C98</f>
        <v>-241097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741398</v>
      </c>
      <c r="D100" s="258">
        <v>0</v>
      </c>
      <c r="E100" s="258">
        <f t="shared" si="14"/>
        <v>-741398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26</v>
      </c>
      <c r="D102" s="260">
        <v>0</v>
      </c>
      <c r="E102" s="260">
        <f t="shared" si="14"/>
        <v>-26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96</v>
      </c>
      <c r="D103" s="260">
        <v>0</v>
      </c>
      <c r="E103" s="260">
        <f t="shared" si="14"/>
        <v>-96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1122</v>
      </c>
      <c r="D104" s="260">
        <v>0</v>
      </c>
      <c r="E104" s="260">
        <f t="shared" si="14"/>
        <v>-1122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339</v>
      </c>
      <c r="D105" s="260">
        <v>0</v>
      </c>
      <c r="E105" s="260">
        <f t="shared" si="14"/>
        <v>-339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982495</v>
      </c>
      <c r="D107" s="263">
        <f>+D98+D100</f>
        <v>0</v>
      </c>
      <c r="E107" s="263">
        <f t="shared" si="14"/>
        <v>-982495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1166796</v>
      </c>
      <c r="D112" s="263">
        <f t="shared" si="16"/>
        <v>141843</v>
      </c>
      <c r="E112" s="263">
        <f t="shared" ref="E112:E122" si="17">D112-C112</f>
        <v>-1024953</v>
      </c>
      <c r="F112" s="264">
        <f t="shared" ref="F112:F122" si="18">IF(C112=0,0,E112/C112)</f>
        <v>-0.87843376220007607</v>
      </c>
    </row>
    <row r="113" spans="1:6" ht="20.25" customHeight="1" x14ac:dyDescent="0.3">
      <c r="A113" s="271"/>
      <c r="B113" s="286" t="s">
        <v>492</v>
      </c>
      <c r="C113" s="263">
        <f t="shared" si="16"/>
        <v>231448</v>
      </c>
      <c r="D113" s="263">
        <f t="shared" si="16"/>
        <v>34500</v>
      </c>
      <c r="E113" s="263">
        <f t="shared" si="17"/>
        <v>-196948</v>
      </c>
      <c r="F113" s="264">
        <f t="shared" si="18"/>
        <v>-0.85093843973592342</v>
      </c>
    </row>
    <row r="114" spans="1:6" ht="20.25" customHeight="1" x14ac:dyDescent="0.3">
      <c r="A114" s="271"/>
      <c r="B114" s="286" t="s">
        <v>493</v>
      </c>
      <c r="C114" s="263">
        <f t="shared" si="16"/>
        <v>4883888</v>
      </c>
      <c r="D114" s="263">
        <f t="shared" si="16"/>
        <v>976202</v>
      </c>
      <c r="E114" s="263">
        <f t="shared" si="17"/>
        <v>-3907686</v>
      </c>
      <c r="F114" s="264">
        <f t="shared" si="18"/>
        <v>-0.80011785692055182</v>
      </c>
    </row>
    <row r="115" spans="1:6" ht="20.25" customHeight="1" x14ac:dyDescent="0.3">
      <c r="A115" s="271"/>
      <c r="B115" s="286" t="s">
        <v>494</v>
      </c>
      <c r="C115" s="263">
        <f t="shared" si="16"/>
        <v>1222951</v>
      </c>
      <c r="D115" s="263">
        <f t="shared" si="16"/>
        <v>447234</v>
      </c>
      <c r="E115" s="263">
        <f t="shared" si="17"/>
        <v>-775717</v>
      </c>
      <c r="F115" s="264">
        <f t="shared" si="18"/>
        <v>-0.63429933006310146</v>
      </c>
    </row>
    <row r="116" spans="1:6" ht="20.25" customHeight="1" x14ac:dyDescent="0.3">
      <c r="A116" s="271"/>
      <c r="B116" s="286" t="s">
        <v>495</v>
      </c>
      <c r="C116" s="287">
        <f t="shared" si="16"/>
        <v>109</v>
      </c>
      <c r="D116" s="287">
        <f t="shared" si="16"/>
        <v>8</v>
      </c>
      <c r="E116" s="287">
        <f t="shared" si="17"/>
        <v>-101</v>
      </c>
      <c r="F116" s="264">
        <f t="shared" si="18"/>
        <v>-0.92660550458715596</v>
      </c>
    </row>
    <row r="117" spans="1:6" ht="20.25" customHeight="1" x14ac:dyDescent="0.3">
      <c r="A117" s="271"/>
      <c r="B117" s="286" t="s">
        <v>496</v>
      </c>
      <c r="C117" s="287">
        <f t="shared" si="16"/>
        <v>328</v>
      </c>
      <c r="D117" s="287">
        <f t="shared" si="16"/>
        <v>42</v>
      </c>
      <c r="E117" s="287">
        <f t="shared" si="17"/>
        <v>-286</v>
      </c>
      <c r="F117" s="264">
        <f t="shared" si="18"/>
        <v>-0.87195121951219512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11814</v>
      </c>
      <c r="D118" s="287">
        <f t="shared" si="16"/>
        <v>870</v>
      </c>
      <c r="E118" s="287">
        <f t="shared" si="17"/>
        <v>-10944</v>
      </c>
      <c r="F118" s="264">
        <f t="shared" si="18"/>
        <v>-0.92635855764347386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1343</v>
      </c>
      <c r="D119" s="287">
        <f t="shared" si="16"/>
        <v>41</v>
      </c>
      <c r="E119" s="287">
        <f t="shared" si="17"/>
        <v>-1302</v>
      </c>
      <c r="F119" s="264">
        <f t="shared" si="18"/>
        <v>-0.96947133283693221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6050684</v>
      </c>
      <c r="D121" s="263">
        <f>+D112+D114</f>
        <v>1118045</v>
      </c>
      <c r="E121" s="263">
        <f t="shared" si="17"/>
        <v>-4932639</v>
      </c>
      <c r="F121" s="264">
        <f t="shared" si="18"/>
        <v>-0.81522006437619288</v>
      </c>
    </row>
    <row r="122" spans="1:6" ht="20.25" customHeight="1" x14ac:dyDescent="0.3">
      <c r="A122" s="271"/>
      <c r="B122" s="284" t="s">
        <v>472</v>
      </c>
      <c r="C122" s="263">
        <f>+C113+C115</f>
        <v>1454399</v>
      </c>
      <c r="D122" s="263">
        <f>+D113+D115</f>
        <v>481734</v>
      </c>
      <c r="E122" s="263">
        <f t="shared" si="17"/>
        <v>-972665</v>
      </c>
      <c r="F122" s="264">
        <f t="shared" si="18"/>
        <v>-0.66877452473495924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500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3277302</v>
      </c>
      <c r="D13" s="22">
        <v>6386290</v>
      </c>
      <c r="E13" s="22">
        <f t="shared" ref="E13:E22" si="0">D13-C13</f>
        <v>3108988</v>
      </c>
      <c r="F13" s="306">
        <f t="shared" ref="F13:F22" si="1">IF(C13=0,0,E13/C13)</f>
        <v>0.94864251143165934</v>
      </c>
    </row>
    <row r="14" spans="1:8" ht="24" customHeight="1" x14ac:dyDescent="0.2">
      <c r="A14" s="304">
        <v>2</v>
      </c>
      <c r="B14" s="305" t="s">
        <v>17</v>
      </c>
      <c r="C14" s="22">
        <v>6363563</v>
      </c>
      <c r="D14" s="22">
        <v>2705332</v>
      </c>
      <c r="E14" s="22">
        <f t="shared" si="0"/>
        <v>-3658231</v>
      </c>
      <c r="F14" s="306">
        <f t="shared" si="1"/>
        <v>-0.57487149887570843</v>
      </c>
    </row>
    <row r="15" spans="1:8" ht="35.1" customHeight="1" x14ac:dyDescent="0.2">
      <c r="A15" s="304">
        <v>3</v>
      </c>
      <c r="B15" s="305" t="s">
        <v>18</v>
      </c>
      <c r="C15" s="22">
        <v>14676491</v>
      </c>
      <c r="D15" s="22">
        <v>14973355</v>
      </c>
      <c r="E15" s="22">
        <f t="shared" si="0"/>
        <v>296864</v>
      </c>
      <c r="F15" s="306">
        <f t="shared" si="1"/>
        <v>2.0227178281239024E-2</v>
      </c>
    </row>
    <row r="16" spans="1:8" ht="35.1" customHeight="1" x14ac:dyDescent="0.2">
      <c r="A16" s="304">
        <v>4</v>
      </c>
      <c r="B16" s="305" t="s">
        <v>19</v>
      </c>
      <c r="C16" s="22">
        <v>324188</v>
      </c>
      <c r="D16" s="22">
        <v>7166565</v>
      </c>
      <c r="E16" s="22">
        <f t="shared" si="0"/>
        <v>6842377</v>
      </c>
      <c r="F16" s="306">
        <f t="shared" si="1"/>
        <v>21.106200723037251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2645109</v>
      </c>
      <c r="D18" s="22">
        <v>0</v>
      </c>
      <c r="E18" s="22">
        <f t="shared" si="0"/>
        <v>-2645109</v>
      </c>
      <c r="F18" s="306">
        <f t="shared" si="1"/>
        <v>-1</v>
      </c>
    </row>
    <row r="19" spans="1:11" ht="24" customHeight="1" x14ac:dyDescent="0.2">
      <c r="A19" s="304">
        <v>7</v>
      </c>
      <c r="B19" s="305" t="s">
        <v>22</v>
      </c>
      <c r="C19" s="22">
        <v>2276547</v>
      </c>
      <c r="D19" s="22">
        <v>2348921</v>
      </c>
      <c r="E19" s="22">
        <f t="shared" si="0"/>
        <v>72374</v>
      </c>
      <c r="F19" s="306">
        <f t="shared" si="1"/>
        <v>3.1791129284833568E-2</v>
      </c>
    </row>
    <row r="20" spans="1:11" ht="24" customHeight="1" x14ac:dyDescent="0.2">
      <c r="A20" s="304">
        <v>8</v>
      </c>
      <c r="B20" s="305" t="s">
        <v>23</v>
      </c>
      <c r="C20" s="22">
        <v>301350</v>
      </c>
      <c r="D20" s="22">
        <v>489720</v>
      </c>
      <c r="E20" s="22">
        <f t="shared" si="0"/>
        <v>188370</v>
      </c>
      <c r="F20" s="306">
        <f t="shared" si="1"/>
        <v>0.6250871080139373</v>
      </c>
    </row>
    <row r="21" spans="1:11" ht="24" customHeight="1" x14ac:dyDescent="0.2">
      <c r="A21" s="304">
        <v>9</v>
      </c>
      <c r="B21" s="305" t="s">
        <v>24</v>
      </c>
      <c r="C21" s="22">
        <v>1534648</v>
      </c>
      <c r="D21" s="22">
        <v>1462227</v>
      </c>
      <c r="E21" s="22">
        <f t="shared" si="0"/>
        <v>-72421</v>
      </c>
      <c r="F21" s="306">
        <f t="shared" si="1"/>
        <v>-4.719062612403626E-2</v>
      </c>
    </row>
    <row r="22" spans="1:11" ht="24" customHeight="1" x14ac:dyDescent="0.25">
      <c r="A22" s="307"/>
      <c r="B22" s="308" t="s">
        <v>25</v>
      </c>
      <c r="C22" s="309">
        <f>SUM(C13:C21)</f>
        <v>31399198</v>
      </c>
      <c r="D22" s="309">
        <f>SUM(D13:D21)</f>
        <v>35532410</v>
      </c>
      <c r="E22" s="309">
        <f t="shared" si="0"/>
        <v>4133212</v>
      </c>
      <c r="F22" s="310">
        <f t="shared" si="1"/>
        <v>0.13163431753893842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4310243</v>
      </c>
      <c r="D25" s="22">
        <v>4538749</v>
      </c>
      <c r="E25" s="22">
        <f>D25-C25</f>
        <v>228506</v>
      </c>
      <c r="F25" s="306">
        <f>IF(C25=0,0,E25/C25)</f>
        <v>5.3014644417959729E-2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1292108</v>
      </c>
      <c r="D27" s="22">
        <v>2340577</v>
      </c>
      <c r="E27" s="22">
        <f>D27-C27</f>
        <v>1048469</v>
      </c>
      <c r="F27" s="306">
        <f>IF(C27=0,0,E27/C27)</f>
        <v>0.81144068452482299</v>
      </c>
    </row>
    <row r="28" spans="1:11" ht="35.1" customHeight="1" x14ac:dyDescent="0.2">
      <c r="A28" s="304">
        <v>4</v>
      </c>
      <c r="B28" s="305" t="s">
        <v>31</v>
      </c>
      <c r="C28" s="22">
        <v>6157077</v>
      </c>
      <c r="D28" s="22">
        <v>3941601</v>
      </c>
      <c r="E28" s="22">
        <f>D28-C28</f>
        <v>-2215476</v>
      </c>
      <c r="F28" s="306">
        <f>IF(C28=0,0,E28/C28)</f>
        <v>-0.359825936885311</v>
      </c>
    </row>
    <row r="29" spans="1:11" ht="35.1" customHeight="1" x14ac:dyDescent="0.25">
      <c r="A29" s="307"/>
      <c r="B29" s="308" t="s">
        <v>32</v>
      </c>
      <c r="C29" s="309">
        <f>SUM(C25:C28)</f>
        <v>11759428</v>
      </c>
      <c r="D29" s="309">
        <f>SUM(D25:D28)</f>
        <v>10820927</v>
      </c>
      <c r="E29" s="309">
        <f>D29-C29</f>
        <v>-938501</v>
      </c>
      <c r="F29" s="310">
        <f>IF(C29=0,0,E29/C29)</f>
        <v>-7.9808388639311362E-2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8045237</v>
      </c>
      <c r="D32" s="22">
        <v>10747916</v>
      </c>
      <c r="E32" s="22">
        <f>D32-C32</f>
        <v>2702679</v>
      </c>
      <c r="F32" s="306">
        <f>IF(C32=0,0,E32/C32)</f>
        <v>0.33593528692815389</v>
      </c>
    </row>
    <row r="33" spans="1:8" ht="24" customHeight="1" x14ac:dyDescent="0.2">
      <c r="A33" s="304">
        <v>7</v>
      </c>
      <c r="B33" s="305" t="s">
        <v>35</v>
      </c>
      <c r="C33" s="22">
        <v>541087</v>
      </c>
      <c r="D33" s="22">
        <v>1318867</v>
      </c>
      <c r="E33" s="22">
        <f>D33-C33</f>
        <v>777780</v>
      </c>
      <c r="F33" s="306">
        <f>IF(C33=0,0,E33/C33)</f>
        <v>1.4374398202137548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101365601</v>
      </c>
      <c r="D36" s="22">
        <v>102281427</v>
      </c>
      <c r="E36" s="22">
        <f>D36-C36</f>
        <v>915826</v>
      </c>
      <c r="F36" s="306">
        <f>IF(C36=0,0,E36/C36)</f>
        <v>9.0348795939166771E-3</v>
      </c>
    </row>
    <row r="37" spans="1:8" ht="24" customHeight="1" x14ac:dyDescent="0.2">
      <c r="A37" s="304">
        <v>2</v>
      </c>
      <c r="B37" s="305" t="s">
        <v>39</v>
      </c>
      <c r="C37" s="22">
        <v>68176177</v>
      </c>
      <c r="D37" s="22">
        <v>70912402</v>
      </c>
      <c r="E37" s="22">
        <f>D37-C37</f>
        <v>2736225</v>
      </c>
      <c r="F37" s="22">
        <f>IF(C37=0,0,E37/C37)</f>
        <v>4.0134620631485395E-2</v>
      </c>
    </row>
    <row r="38" spans="1:8" ht="24" customHeight="1" x14ac:dyDescent="0.25">
      <c r="A38" s="307"/>
      <c r="B38" s="308" t="s">
        <v>40</v>
      </c>
      <c r="C38" s="309">
        <f>C36-C37</f>
        <v>33189424</v>
      </c>
      <c r="D38" s="309">
        <f>D36-D37</f>
        <v>31369025</v>
      </c>
      <c r="E38" s="309">
        <f>D38-C38</f>
        <v>-1820399</v>
      </c>
      <c r="F38" s="310">
        <f>IF(C38=0,0,E38/C38)</f>
        <v>-5.4848767486895829E-2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3849846</v>
      </c>
      <c r="D40" s="22">
        <v>10356162</v>
      </c>
      <c r="E40" s="22">
        <f>D40-C40</f>
        <v>6506316</v>
      </c>
      <c r="F40" s="306">
        <f>IF(C40=0,0,E40/C40)</f>
        <v>1.6900198085845513</v>
      </c>
    </row>
    <row r="41" spans="1:8" ht="24" customHeight="1" x14ac:dyDescent="0.25">
      <c r="A41" s="307"/>
      <c r="B41" s="308" t="s">
        <v>42</v>
      </c>
      <c r="C41" s="309">
        <f>+C38+C40</f>
        <v>37039270</v>
      </c>
      <c r="D41" s="309">
        <f>+D38+D40</f>
        <v>41725187</v>
      </c>
      <c r="E41" s="309">
        <f>D41-C41</f>
        <v>4685917</v>
      </c>
      <c r="F41" s="310">
        <f>IF(C41=0,0,E41/C41)</f>
        <v>0.12651213158358682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88784220</v>
      </c>
      <c r="D43" s="309">
        <f>D22+D29+D31+D32+D33+D41</f>
        <v>100145307</v>
      </c>
      <c r="E43" s="309">
        <f>D43-C43</f>
        <v>11361087</v>
      </c>
      <c r="F43" s="310">
        <f>IF(C43=0,0,E43/C43)</f>
        <v>0.12796290827356482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7634538</v>
      </c>
      <c r="D49" s="22">
        <v>9938871</v>
      </c>
      <c r="E49" s="22">
        <f t="shared" ref="E49:E56" si="2">D49-C49</f>
        <v>2304333</v>
      </c>
      <c r="F49" s="306">
        <f t="shared" ref="F49:F56" si="3">IF(C49=0,0,E49/C49)</f>
        <v>0.30183005179881217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1754581</v>
      </c>
      <c r="D50" s="22">
        <v>1910817</v>
      </c>
      <c r="E50" s="22">
        <f t="shared" si="2"/>
        <v>156236</v>
      </c>
      <c r="F50" s="306">
        <f t="shared" si="3"/>
        <v>8.9044620909493485E-2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1067507</v>
      </c>
      <c r="E51" s="22">
        <f t="shared" si="2"/>
        <v>1067507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767324</v>
      </c>
      <c r="D53" s="22">
        <v>804612</v>
      </c>
      <c r="E53" s="22">
        <f t="shared" si="2"/>
        <v>37288</v>
      </c>
      <c r="F53" s="306">
        <f t="shared" si="3"/>
        <v>4.8594856931361459E-2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8576531</v>
      </c>
      <c r="D55" s="22">
        <v>11954086</v>
      </c>
      <c r="E55" s="22">
        <f t="shared" si="2"/>
        <v>3377555</v>
      </c>
      <c r="F55" s="306">
        <f t="shared" si="3"/>
        <v>0.39381365262948387</v>
      </c>
    </row>
    <row r="56" spans="1:6" ht="24" customHeight="1" x14ac:dyDescent="0.25">
      <c r="A56" s="307"/>
      <c r="B56" s="308" t="s">
        <v>54</v>
      </c>
      <c r="C56" s="309">
        <f>SUM(C49:C55)</f>
        <v>18732974</v>
      </c>
      <c r="D56" s="309">
        <f>SUM(D49:D55)</f>
        <v>25675893</v>
      </c>
      <c r="E56" s="309">
        <f t="shared" si="2"/>
        <v>6942919</v>
      </c>
      <c r="F56" s="310">
        <f t="shared" si="3"/>
        <v>0.37062556110951739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16517550</v>
      </c>
      <c r="D59" s="22">
        <v>29718688</v>
      </c>
      <c r="E59" s="22">
        <f>D59-C59</f>
        <v>13201138</v>
      </c>
      <c r="F59" s="306">
        <f>IF(C59=0,0,E59/C59)</f>
        <v>0.79921889142154856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16517550</v>
      </c>
      <c r="D61" s="309">
        <f>SUM(D59:D60)</f>
        <v>29718688</v>
      </c>
      <c r="E61" s="309">
        <f>D61-C61</f>
        <v>13201138</v>
      </c>
      <c r="F61" s="310">
        <f>IF(C61=0,0,E61/C61)</f>
        <v>0.79921889142154856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36868659</v>
      </c>
      <c r="D63" s="22">
        <v>27623323</v>
      </c>
      <c r="E63" s="22">
        <f>D63-C63</f>
        <v>-9245336</v>
      </c>
      <c r="F63" s="306">
        <f>IF(C63=0,0,E63/C63)</f>
        <v>-0.2507640974953822</v>
      </c>
    </row>
    <row r="64" spans="1:6" ht="24" customHeight="1" x14ac:dyDescent="0.2">
      <c r="A64" s="304">
        <v>4</v>
      </c>
      <c r="B64" s="305" t="s">
        <v>60</v>
      </c>
      <c r="C64" s="22">
        <v>0</v>
      </c>
      <c r="D64" s="22">
        <v>0</v>
      </c>
      <c r="E64" s="22">
        <f>D64-C64</f>
        <v>0</v>
      </c>
      <c r="F64" s="306">
        <f>IF(C64=0,0,E64/C64)</f>
        <v>0</v>
      </c>
    </row>
    <row r="65" spans="1:6" ht="24" customHeight="1" x14ac:dyDescent="0.25">
      <c r="A65" s="307"/>
      <c r="B65" s="308" t="s">
        <v>61</v>
      </c>
      <c r="C65" s="309">
        <f>SUM(C61:C64)</f>
        <v>53386209</v>
      </c>
      <c r="D65" s="309">
        <f>SUM(D61:D64)</f>
        <v>57342011</v>
      </c>
      <c r="E65" s="309">
        <f>D65-C65</f>
        <v>3955802</v>
      </c>
      <c r="F65" s="310">
        <f>IF(C65=0,0,E65/C65)</f>
        <v>7.4097825526438857E-2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6143359</v>
      </c>
      <c r="D70" s="22">
        <v>8092517</v>
      </c>
      <c r="E70" s="22">
        <f>D70-C70</f>
        <v>1949158</v>
      </c>
      <c r="F70" s="306">
        <f>IF(C70=0,0,E70/C70)</f>
        <v>0.31727886975187353</v>
      </c>
    </row>
    <row r="71" spans="1:6" ht="24" customHeight="1" x14ac:dyDescent="0.2">
      <c r="A71" s="304">
        <v>2</v>
      </c>
      <c r="B71" s="305" t="s">
        <v>65</v>
      </c>
      <c r="C71" s="22">
        <v>6314783</v>
      </c>
      <c r="D71" s="22">
        <v>4729199</v>
      </c>
      <c r="E71" s="22">
        <f>D71-C71</f>
        <v>-1585584</v>
      </c>
      <c r="F71" s="306">
        <f>IF(C71=0,0,E71/C71)</f>
        <v>-0.25109081341354089</v>
      </c>
    </row>
    <row r="72" spans="1:6" ht="24" customHeight="1" x14ac:dyDescent="0.2">
      <c r="A72" s="304">
        <v>3</v>
      </c>
      <c r="B72" s="305" t="s">
        <v>66</v>
      </c>
      <c r="C72" s="22">
        <v>4206895</v>
      </c>
      <c r="D72" s="22">
        <v>4305687</v>
      </c>
      <c r="E72" s="22">
        <f>D72-C72</f>
        <v>98792</v>
      </c>
      <c r="F72" s="306">
        <f>IF(C72=0,0,E72/C72)</f>
        <v>2.3483352924187555E-2</v>
      </c>
    </row>
    <row r="73" spans="1:6" ht="24" customHeight="1" x14ac:dyDescent="0.25">
      <c r="A73" s="304"/>
      <c r="B73" s="308" t="s">
        <v>67</v>
      </c>
      <c r="C73" s="309">
        <f>SUM(C70:C72)</f>
        <v>16665037</v>
      </c>
      <c r="D73" s="309">
        <f>SUM(D70:D72)</f>
        <v>17127403</v>
      </c>
      <c r="E73" s="309">
        <f>D73-C73</f>
        <v>462366</v>
      </c>
      <c r="F73" s="310">
        <f>IF(C73=0,0,E73/C73)</f>
        <v>2.774467287411363E-2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88784220</v>
      </c>
      <c r="D75" s="309">
        <f>D56+D65+D67+D73</f>
        <v>100145307</v>
      </c>
      <c r="E75" s="309">
        <f>D75-C75</f>
        <v>11361087</v>
      </c>
      <c r="F75" s="310">
        <f>IF(C75=0,0,E75/C75)</f>
        <v>0.12796290827356482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501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238043925</v>
      </c>
      <c r="D11" s="76">
        <v>251673888</v>
      </c>
      <c r="E11" s="76">
        <f t="shared" ref="E11:E20" si="0">D11-C11</f>
        <v>13629963</v>
      </c>
      <c r="F11" s="77">
        <f t="shared" ref="F11:F20" si="1">IF(C11=0,0,E11/C11)</f>
        <v>5.7258184597653562E-2</v>
      </c>
    </row>
    <row r="12" spans="1:7" ht="23.1" customHeight="1" x14ac:dyDescent="0.2">
      <c r="A12" s="74">
        <v>2</v>
      </c>
      <c r="B12" s="75" t="s">
        <v>72</v>
      </c>
      <c r="C12" s="76">
        <v>108357670</v>
      </c>
      <c r="D12" s="76">
        <v>121374335</v>
      </c>
      <c r="E12" s="76">
        <f t="shared" si="0"/>
        <v>13016665</v>
      </c>
      <c r="F12" s="77">
        <f t="shared" si="1"/>
        <v>0.12012684473558724</v>
      </c>
    </row>
    <row r="13" spans="1:7" ht="23.1" customHeight="1" x14ac:dyDescent="0.2">
      <c r="A13" s="74">
        <v>3</v>
      </c>
      <c r="B13" s="75" t="s">
        <v>73</v>
      </c>
      <c r="C13" s="76">
        <v>710098</v>
      </c>
      <c r="D13" s="76">
        <v>703850</v>
      </c>
      <c r="E13" s="76">
        <f t="shared" si="0"/>
        <v>-6248</v>
      </c>
      <c r="F13" s="77">
        <f t="shared" si="1"/>
        <v>-8.7987855197451618E-3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128976157</v>
      </c>
      <c r="D15" s="79">
        <f>D11-D12-D13-D14</f>
        <v>129595703</v>
      </c>
      <c r="E15" s="79">
        <f t="shared" si="0"/>
        <v>619546</v>
      </c>
      <c r="F15" s="80">
        <f t="shared" si="1"/>
        <v>4.8035700117813251E-3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3254039</v>
      </c>
      <c r="E16" s="76">
        <f t="shared" si="0"/>
        <v>3254039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128976157</v>
      </c>
      <c r="D17" s="79">
        <f>D15-D16</f>
        <v>126341664</v>
      </c>
      <c r="E17" s="79">
        <f t="shared" si="0"/>
        <v>-2634493</v>
      </c>
      <c r="F17" s="80">
        <f t="shared" si="1"/>
        <v>-2.0426201720369137E-2</v>
      </c>
    </row>
    <row r="18" spans="1:7" ht="23.1" customHeight="1" x14ac:dyDescent="0.2">
      <c r="A18" s="74">
        <v>6</v>
      </c>
      <c r="B18" s="75" t="s">
        <v>78</v>
      </c>
      <c r="C18" s="76">
        <v>7112901</v>
      </c>
      <c r="D18" s="76">
        <v>7007903</v>
      </c>
      <c r="E18" s="76">
        <f t="shared" si="0"/>
        <v>-104998</v>
      </c>
      <c r="F18" s="77">
        <f t="shared" si="1"/>
        <v>-1.4761628202051456E-2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314624</v>
      </c>
      <c r="D19" s="76">
        <v>1631364</v>
      </c>
      <c r="E19" s="76">
        <f t="shared" si="0"/>
        <v>1316740</v>
      </c>
      <c r="F19" s="77">
        <f t="shared" si="1"/>
        <v>4.1851225589910497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136403682</v>
      </c>
      <c r="D20" s="79">
        <f>SUM(D17:D19)</f>
        <v>134980931</v>
      </c>
      <c r="E20" s="79">
        <f t="shared" si="0"/>
        <v>-1422751</v>
      </c>
      <c r="F20" s="80">
        <f t="shared" si="1"/>
        <v>-1.0430444245632607E-2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64606556</v>
      </c>
      <c r="D23" s="76">
        <v>69876205</v>
      </c>
      <c r="E23" s="76">
        <f t="shared" ref="E23:E32" si="2">D23-C23</f>
        <v>5269649</v>
      </c>
      <c r="F23" s="77">
        <f t="shared" ref="F23:F32" si="3">IF(C23=0,0,E23/C23)</f>
        <v>8.1565236196772348E-2</v>
      </c>
    </row>
    <row r="24" spans="1:7" ht="23.1" customHeight="1" x14ac:dyDescent="0.2">
      <c r="A24" s="74">
        <v>2</v>
      </c>
      <c r="B24" s="75" t="s">
        <v>83</v>
      </c>
      <c r="C24" s="76">
        <v>19913051</v>
      </c>
      <c r="D24" s="76">
        <v>20635260</v>
      </c>
      <c r="E24" s="76">
        <f t="shared" si="2"/>
        <v>722209</v>
      </c>
      <c r="F24" s="77">
        <f t="shared" si="3"/>
        <v>3.6268123855053652E-2</v>
      </c>
    </row>
    <row r="25" spans="1:7" ht="23.1" customHeight="1" x14ac:dyDescent="0.2">
      <c r="A25" s="74">
        <v>3</v>
      </c>
      <c r="B25" s="75" t="s">
        <v>84</v>
      </c>
      <c r="C25" s="76">
        <v>2826039</v>
      </c>
      <c r="D25" s="76">
        <v>4499816</v>
      </c>
      <c r="E25" s="76">
        <f t="shared" si="2"/>
        <v>1673777</v>
      </c>
      <c r="F25" s="77">
        <f t="shared" si="3"/>
        <v>0.59226960420574526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15730813</v>
      </c>
      <c r="D26" s="76">
        <v>17557028</v>
      </c>
      <c r="E26" s="76">
        <f t="shared" si="2"/>
        <v>1826215</v>
      </c>
      <c r="F26" s="77">
        <f t="shared" si="3"/>
        <v>0.11609158407769515</v>
      </c>
    </row>
    <row r="27" spans="1:7" ht="23.1" customHeight="1" x14ac:dyDescent="0.2">
      <c r="A27" s="74">
        <v>5</v>
      </c>
      <c r="B27" s="75" t="s">
        <v>86</v>
      </c>
      <c r="C27" s="76">
        <v>4887639</v>
      </c>
      <c r="D27" s="76">
        <v>4803745</v>
      </c>
      <c r="E27" s="76">
        <f t="shared" si="2"/>
        <v>-83894</v>
      </c>
      <c r="F27" s="77">
        <f t="shared" si="3"/>
        <v>-1.7164524630399258E-2</v>
      </c>
    </row>
    <row r="28" spans="1:7" ht="23.1" customHeight="1" x14ac:dyDescent="0.2">
      <c r="A28" s="74">
        <v>6</v>
      </c>
      <c r="B28" s="75" t="s">
        <v>87</v>
      </c>
      <c r="C28" s="76">
        <v>3709571</v>
      </c>
      <c r="D28" s="76">
        <v>0</v>
      </c>
      <c r="E28" s="76">
        <f t="shared" si="2"/>
        <v>-3709571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1028742</v>
      </c>
      <c r="D29" s="76">
        <v>952190</v>
      </c>
      <c r="E29" s="76">
        <f t="shared" si="2"/>
        <v>-76552</v>
      </c>
      <c r="F29" s="77">
        <f t="shared" si="3"/>
        <v>-7.441321536400769E-2</v>
      </c>
    </row>
    <row r="30" spans="1:7" ht="23.1" customHeight="1" x14ac:dyDescent="0.2">
      <c r="A30" s="74">
        <v>8</v>
      </c>
      <c r="B30" s="75" t="s">
        <v>89</v>
      </c>
      <c r="C30" s="76">
        <v>872121</v>
      </c>
      <c r="D30" s="76">
        <v>869801</v>
      </c>
      <c r="E30" s="76">
        <f t="shared" si="2"/>
        <v>-2320</v>
      </c>
      <c r="F30" s="77">
        <f t="shared" si="3"/>
        <v>-2.6601813280496627E-3</v>
      </c>
    </row>
    <row r="31" spans="1:7" ht="23.1" customHeight="1" x14ac:dyDescent="0.2">
      <c r="A31" s="74">
        <v>9</v>
      </c>
      <c r="B31" s="75" t="s">
        <v>90</v>
      </c>
      <c r="C31" s="76">
        <v>22448450</v>
      </c>
      <c r="D31" s="76">
        <v>24728251</v>
      </c>
      <c r="E31" s="76">
        <f t="shared" si="2"/>
        <v>2279801</v>
      </c>
      <c r="F31" s="77">
        <f t="shared" si="3"/>
        <v>0.10155716764409124</v>
      </c>
    </row>
    <row r="32" spans="1:7" ht="23.1" customHeight="1" x14ac:dyDescent="0.25">
      <c r="A32" s="71"/>
      <c r="B32" s="78" t="s">
        <v>91</v>
      </c>
      <c r="C32" s="79">
        <f>SUM(C23:C31)</f>
        <v>136022982</v>
      </c>
      <c r="D32" s="79">
        <f>SUM(D23:D31)</f>
        <v>143922296</v>
      </c>
      <c r="E32" s="79">
        <f t="shared" si="2"/>
        <v>7899314</v>
      </c>
      <c r="F32" s="80">
        <f t="shared" si="3"/>
        <v>5.8073377629671435E-2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380700</v>
      </c>
      <c r="D34" s="79">
        <f>+D20-D32</f>
        <v>-8941365</v>
      </c>
      <c r="E34" s="79">
        <f>D34-C34</f>
        <v>-9322065</v>
      </c>
      <c r="F34" s="80">
        <f>IF(C34=0,0,E34/C34)</f>
        <v>-24.486643026004728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105171</v>
      </c>
      <c r="D37" s="76">
        <v>878011</v>
      </c>
      <c r="E37" s="76">
        <f>D37-C37</f>
        <v>772840</v>
      </c>
      <c r="F37" s="77">
        <f>IF(C37=0,0,E37/C37)</f>
        <v>7.3484135360508125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381767</v>
      </c>
      <c r="D39" s="76">
        <v>-447476</v>
      </c>
      <c r="E39" s="76">
        <f>D39-C39</f>
        <v>-829243</v>
      </c>
      <c r="F39" s="77">
        <f>IF(C39=0,0,E39/C39)</f>
        <v>-2.1721180720177489</v>
      </c>
    </row>
    <row r="40" spans="1:6" ht="23.1" customHeight="1" x14ac:dyDescent="0.25">
      <c r="A40" s="83"/>
      <c r="B40" s="78" t="s">
        <v>97</v>
      </c>
      <c r="C40" s="79">
        <f>SUM(C37:C39)</f>
        <v>486938</v>
      </c>
      <c r="D40" s="79">
        <f>SUM(D37:D39)</f>
        <v>430535</v>
      </c>
      <c r="E40" s="79">
        <f>D40-C40</f>
        <v>-56403</v>
      </c>
      <c r="F40" s="80">
        <f>IF(C40=0,0,E40/C40)</f>
        <v>-0.11583199503838271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502</v>
      </c>
      <c r="C42" s="79">
        <f>C34+C40</f>
        <v>867638</v>
      </c>
      <c r="D42" s="79">
        <f>D34+D40</f>
        <v>-8510830</v>
      </c>
      <c r="E42" s="79">
        <f>D42-C42</f>
        <v>-9378468</v>
      </c>
      <c r="F42" s="80">
        <f>IF(C42=0,0,E42/C42)</f>
        <v>-10.809194618031944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867638</v>
      </c>
      <c r="D49" s="79">
        <f>D42+D47</f>
        <v>-8510830</v>
      </c>
      <c r="E49" s="79">
        <f>D49-C49</f>
        <v>-9378468</v>
      </c>
      <c r="F49" s="80">
        <f>IF(C49=0,0,E49/C49)</f>
        <v>-10.809194618031944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2014-10-06T20:06:52Z</cp:lastPrinted>
  <dcterms:created xsi:type="dcterms:W3CDTF">2014-10-06T18:17:51Z</dcterms:created>
  <dcterms:modified xsi:type="dcterms:W3CDTF">2014-10-09T17:32:13Z</dcterms:modified>
</cp:coreProperties>
</file>