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  <sheet name="Sheet1" sheetId="20" r:id="rId20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9" i="14"/>
  <c r="D230" i="14"/>
  <c r="D229" i="14"/>
  <c r="D226" i="14"/>
  <c r="D227" i="14"/>
  <c r="D223" i="14"/>
  <c r="D204" i="14"/>
  <c r="D269" i="14"/>
  <c r="D203" i="14"/>
  <c r="D283" i="14"/>
  <c r="D198" i="14"/>
  <c r="D290" i="14"/>
  <c r="D191" i="14"/>
  <c r="D264" i="14"/>
  <c r="D189" i="14"/>
  <c r="D278" i="14"/>
  <c r="D188" i="14"/>
  <c r="D214" i="14"/>
  <c r="D180" i="14"/>
  <c r="D179" i="14"/>
  <c r="D181" i="14"/>
  <c r="D171" i="14"/>
  <c r="D172" i="14"/>
  <c r="D173" i="14"/>
  <c r="D170" i="14"/>
  <c r="D165" i="14"/>
  <c r="D164" i="14"/>
  <c r="D158" i="14"/>
  <c r="D159" i="14"/>
  <c r="D155" i="14"/>
  <c r="D145" i="14"/>
  <c r="D144" i="14"/>
  <c r="D146" i="14"/>
  <c r="D136" i="14"/>
  <c r="D137" i="14"/>
  <c r="D135" i="14"/>
  <c r="D130" i="14"/>
  <c r="D129" i="14"/>
  <c r="D123" i="14"/>
  <c r="D192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68" i="14"/>
  <c r="D59" i="14"/>
  <c r="D60" i="14"/>
  <c r="D61" i="14"/>
  <c r="D58" i="14"/>
  <c r="D53" i="14"/>
  <c r="D52" i="14"/>
  <c r="D47" i="14"/>
  <c r="D48" i="14"/>
  <c r="D44" i="14"/>
  <c r="D36" i="14"/>
  <c r="D35" i="14"/>
  <c r="D37" i="14"/>
  <c r="D30" i="14"/>
  <c r="D31" i="14"/>
  <c r="D32" i="14"/>
  <c r="D29" i="14"/>
  <c r="D24" i="14"/>
  <c r="D23" i="14"/>
  <c r="D20" i="14"/>
  <c r="D17" i="14"/>
  <c r="E97" i="19"/>
  <c r="E98" i="19"/>
  <c r="D97" i="19"/>
  <c r="C97" i="19"/>
  <c r="E96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2" i="19"/>
  <c r="D83" i="19"/>
  <c r="D101" i="19"/>
  <c r="C83" i="19"/>
  <c r="C101" i="19"/>
  <c r="C103" i="19"/>
  <c r="E76" i="19"/>
  <c r="D76" i="19"/>
  <c r="C76" i="19"/>
  <c r="C102" i="19"/>
  <c r="E75" i="19"/>
  <c r="E77" i="19"/>
  <c r="D75" i="19"/>
  <c r="D77" i="19"/>
  <c r="D109" i="19"/>
  <c r="C75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23" i="19"/>
  <c r="E54" i="19"/>
  <c r="D12" i="19"/>
  <c r="D34" i="19"/>
  <c r="C12" i="19"/>
  <c r="C23" i="19"/>
  <c r="D21" i="18"/>
  <c r="E21" i="18"/>
  <c r="F21" i="18"/>
  <c r="C21" i="18"/>
  <c r="D19" i="18"/>
  <c r="E19" i="18"/>
  <c r="F19" i="18"/>
  <c r="C19" i="18"/>
  <c r="F17" i="18"/>
  <c r="E17" i="18"/>
  <c r="E15" i="18"/>
  <c r="F15" i="18"/>
  <c r="D45" i="17"/>
  <c r="E45" i="17"/>
  <c r="C45" i="17"/>
  <c r="F45" i="17"/>
  <c r="D44" i="17"/>
  <c r="E44" i="17"/>
  <c r="C44" i="17"/>
  <c r="F44" i="17"/>
  <c r="D43" i="17"/>
  <c r="D46" i="17"/>
  <c r="C43" i="17"/>
  <c r="D36" i="17"/>
  <c r="D40" i="17"/>
  <c r="C36" i="17"/>
  <c r="E35" i="17"/>
  <c r="F35" i="17"/>
  <c r="E34" i="17"/>
  <c r="F34" i="17"/>
  <c r="E33" i="17"/>
  <c r="F33" i="17"/>
  <c r="E30" i="17"/>
  <c r="F30" i="17"/>
  <c r="F29" i="17"/>
  <c r="E29" i="17"/>
  <c r="E28" i="17"/>
  <c r="F28" i="17"/>
  <c r="F27" i="17"/>
  <c r="E27" i="17"/>
  <c r="D25" i="17"/>
  <c r="D39" i="17"/>
  <c r="C25" i="17"/>
  <c r="C39" i="17"/>
  <c r="E24" i="17"/>
  <c r="F24" i="17"/>
  <c r="E23" i="17"/>
  <c r="F23" i="17"/>
  <c r="E22" i="17"/>
  <c r="F22" i="17"/>
  <c r="D19" i="17"/>
  <c r="D20" i="17"/>
  <c r="C19" i="17"/>
  <c r="F18" i="17"/>
  <c r="E18" i="17"/>
  <c r="D16" i="17"/>
  <c r="E16" i="17"/>
  <c r="C16" i="17"/>
  <c r="F16" i="17"/>
  <c r="E15" i="17"/>
  <c r="F15" i="17"/>
  <c r="F13" i="17"/>
  <c r="E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49" i="16"/>
  <c r="C36" i="16"/>
  <c r="C32" i="16"/>
  <c r="C33" i="16"/>
  <c r="C21" i="16"/>
  <c r="C37" i="16"/>
  <c r="C38" i="16"/>
  <c r="C127" i="16"/>
  <c r="C129" i="16"/>
  <c r="C133" i="16"/>
  <c r="E328" i="15"/>
  <c r="E325" i="15"/>
  <c r="D324" i="15"/>
  <c r="D326" i="15"/>
  <c r="C324" i="15"/>
  <c r="C326" i="15"/>
  <c r="C330" i="15"/>
  <c r="E318" i="15"/>
  <c r="E315" i="15"/>
  <c r="D314" i="15"/>
  <c r="E314" i="15"/>
  <c r="C314" i="15"/>
  <c r="C316" i="15"/>
  <c r="C320" i="15"/>
  <c r="E308" i="15"/>
  <c r="E305" i="15"/>
  <c r="D301" i="15"/>
  <c r="E301" i="15"/>
  <c r="C301" i="15"/>
  <c r="D293" i="15"/>
  <c r="E293" i="15"/>
  <c r="C293" i="15"/>
  <c r="D292" i="15"/>
  <c r="E292" i="15"/>
  <c r="C292" i="15"/>
  <c r="D291" i="15"/>
  <c r="C291" i="15"/>
  <c r="E291" i="15"/>
  <c r="D290" i="15"/>
  <c r="E290" i="15"/>
  <c r="C290" i="15"/>
  <c r="D288" i="15"/>
  <c r="E288" i="15"/>
  <c r="C288" i="15"/>
  <c r="D287" i="15"/>
  <c r="E287" i="15"/>
  <c r="C287" i="15"/>
  <c r="D282" i="15"/>
  <c r="E282" i="15"/>
  <c r="C282" i="15"/>
  <c r="D281" i="15"/>
  <c r="E281" i="15"/>
  <c r="C281" i="15"/>
  <c r="D280" i="15"/>
  <c r="E280" i="15"/>
  <c r="C280" i="15"/>
  <c r="D279" i="15"/>
  <c r="E279" i="15"/>
  <c r="C279" i="15"/>
  <c r="D278" i="15"/>
  <c r="E278" i="15"/>
  <c r="C278" i="15"/>
  <c r="D277" i="15"/>
  <c r="E277" i="15"/>
  <c r="C277" i="15"/>
  <c r="D276" i="15"/>
  <c r="E276" i="15"/>
  <c r="C276" i="15"/>
  <c r="E270" i="15"/>
  <c r="D265" i="15"/>
  <c r="E265" i="15"/>
  <c r="C265" i="15"/>
  <c r="C302" i="15"/>
  <c r="D262" i="15"/>
  <c r="E262" i="15"/>
  <c r="C262" i="15"/>
  <c r="D251" i="15"/>
  <c r="C251" i="15"/>
  <c r="D233" i="15"/>
  <c r="C233" i="15"/>
  <c r="D232" i="15"/>
  <c r="E232" i="15"/>
  <c r="C232" i="15"/>
  <c r="D231" i="15"/>
  <c r="C231" i="15"/>
  <c r="D230" i="15"/>
  <c r="C230" i="15"/>
  <c r="E230" i="15"/>
  <c r="D228" i="15"/>
  <c r="E228" i="15"/>
  <c r="C228" i="15"/>
  <c r="D227" i="15"/>
  <c r="C227" i="15"/>
  <c r="E227" i="15"/>
  <c r="D221" i="15"/>
  <c r="E221" i="15"/>
  <c r="C221" i="15"/>
  <c r="C245" i="15"/>
  <c r="D220" i="15"/>
  <c r="C220" i="15"/>
  <c r="C244" i="15"/>
  <c r="D219" i="15"/>
  <c r="D243" i="15"/>
  <c r="C219" i="15"/>
  <c r="C243" i="15"/>
  <c r="D218" i="15"/>
  <c r="D242" i="15"/>
  <c r="E242" i="15"/>
  <c r="C218" i="15"/>
  <c r="C242" i="15"/>
  <c r="C217" i="15"/>
  <c r="D216" i="15"/>
  <c r="D240" i="15"/>
  <c r="E216" i="15"/>
  <c r="C216" i="15"/>
  <c r="C240" i="15"/>
  <c r="D215" i="15"/>
  <c r="E215" i="15"/>
  <c r="C215" i="15"/>
  <c r="C239" i="15"/>
  <c r="E209" i="15"/>
  <c r="E208" i="15"/>
  <c r="E207" i="15"/>
  <c r="E206" i="15"/>
  <c r="D205" i="15"/>
  <c r="D229" i="15"/>
  <c r="C205" i="15"/>
  <c r="C229" i="15"/>
  <c r="E204" i="15"/>
  <c r="E203" i="15"/>
  <c r="E197" i="15"/>
  <c r="E196" i="15"/>
  <c r="E195" i="15"/>
  <c r="D195" i="15"/>
  <c r="D260" i="15"/>
  <c r="C195" i="15"/>
  <c r="C260" i="15"/>
  <c r="E194" i="15"/>
  <c r="E193" i="15"/>
  <c r="E192" i="15"/>
  <c r="E191" i="15"/>
  <c r="E190" i="15"/>
  <c r="D188" i="15"/>
  <c r="D189" i="15"/>
  <c r="C188" i="15"/>
  <c r="C189" i="15"/>
  <c r="E186" i="15"/>
  <c r="E185" i="15"/>
  <c r="D179" i="15"/>
  <c r="E179" i="15"/>
  <c r="C179" i="15"/>
  <c r="D178" i="15"/>
  <c r="E178" i="15"/>
  <c r="C178" i="15"/>
  <c r="D177" i="15"/>
  <c r="C177" i="15"/>
  <c r="E177" i="15"/>
  <c r="D176" i="15"/>
  <c r="E176" i="15"/>
  <c r="C176" i="15"/>
  <c r="C175" i="15"/>
  <c r="D174" i="15"/>
  <c r="E174" i="15"/>
  <c r="C174" i="15"/>
  <c r="D173" i="15"/>
  <c r="C173" i="15"/>
  <c r="E173" i="15"/>
  <c r="D167" i="15"/>
  <c r="E167" i="15"/>
  <c r="C167" i="15"/>
  <c r="D166" i="15"/>
  <c r="C166" i="15"/>
  <c r="E166" i="15"/>
  <c r="D165" i="15"/>
  <c r="E165" i="15"/>
  <c r="C165" i="15"/>
  <c r="D164" i="15"/>
  <c r="E164" i="15"/>
  <c r="C164" i="15"/>
  <c r="D162" i="15"/>
  <c r="C162" i="15"/>
  <c r="E162" i="15"/>
  <c r="D161" i="15"/>
  <c r="E161" i="15"/>
  <c r="C161" i="15"/>
  <c r="E155" i="15"/>
  <c r="E154" i="15"/>
  <c r="E153" i="15"/>
  <c r="E152" i="15"/>
  <c r="E151" i="15"/>
  <c r="D151" i="15"/>
  <c r="D156" i="15"/>
  <c r="C151" i="15"/>
  <c r="C156" i="15"/>
  <c r="C157" i="15"/>
  <c r="E150" i="15"/>
  <c r="E149" i="15"/>
  <c r="E143" i="15"/>
  <c r="E142" i="15"/>
  <c r="E141" i="15"/>
  <c r="E140" i="15"/>
  <c r="D139" i="15"/>
  <c r="D163" i="15"/>
  <c r="C139" i="15"/>
  <c r="C163" i="15"/>
  <c r="C144" i="15"/>
  <c r="E138" i="15"/>
  <c r="E137" i="15"/>
  <c r="D75" i="15"/>
  <c r="E75" i="15"/>
  <c r="C75" i="15"/>
  <c r="D74" i="15"/>
  <c r="E74" i="15"/>
  <c r="C74" i="15"/>
  <c r="D73" i="15"/>
  <c r="E73" i="15"/>
  <c r="C73" i="15"/>
  <c r="D72" i="15"/>
  <c r="E72" i="15"/>
  <c r="C72" i="15"/>
  <c r="D70" i="15"/>
  <c r="C70" i="15"/>
  <c r="D69" i="15"/>
  <c r="E69" i="15"/>
  <c r="C69" i="15"/>
  <c r="E64" i="15"/>
  <c r="E63" i="15"/>
  <c r="E62" i="15"/>
  <c r="E61" i="15"/>
  <c r="D60" i="15"/>
  <c r="D71" i="15"/>
  <c r="C60" i="15"/>
  <c r="C71" i="15"/>
  <c r="C76" i="15"/>
  <c r="E59" i="15"/>
  <c r="E58" i="15"/>
  <c r="D54" i="15"/>
  <c r="D55" i="15"/>
  <c r="C54" i="15"/>
  <c r="C55" i="15"/>
  <c r="E53" i="15"/>
  <c r="E52" i="15"/>
  <c r="E51" i="15"/>
  <c r="E50" i="15"/>
  <c r="E49" i="15"/>
  <c r="E48" i="15"/>
  <c r="E47" i="15"/>
  <c r="D42" i="15"/>
  <c r="E42" i="15"/>
  <c r="C42" i="15"/>
  <c r="D41" i="15"/>
  <c r="E41" i="15"/>
  <c r="C41" i="15"/>
  <c r="D40" i="15"/>
  <c r="C40" i="15"/>
  <c r="E40" i="15"/>
  <c r="D39" i="15"/>
  <c r="E39" i="15"/>
  <c r="C39" i="15"/>
  <c r="D38" i="15"/>
  <c r="E38" i="15"/>
  <c r="C38" i="15"/>
  <c r="D37" i="15"/>
  <c r="E37" i="15"/>
  <c r="C37" i="15"/>
  <c r="C43" i="15"/>
  <c r="D36" i="15"/>
  <c r="C36" i="15"/>
  <c r="E36" i="15"/>
  <c r="D32" i="15"/>
  <c r="D33" i="15"/>
  <c r="C32" i="15"/>
  <c r="C33" i="15"/>
  <c r="E31" i="15"/>
  <c r="E30" i="15"/>
  <c r="E29" i="15"/>
  <c r="E28" i="15"/>
  <c r="E27" i="15"/>
  <c r="E26" i="15"/>
  <c r="E25" i="15"/>
  <c r="C22" i="15"/>
  <c r="C284" i="15"/>
  <c r="E21" i="15"/>
  <c r="D21" i="15"/>
  <c r="D22" i="15"/>
  <c r="C21" i="15"/>
  <c r="C283" i="15"/>
  <c r="E20" i="15"/>
  <c r="E19" i="15"/>
  <c r="E18" i="15"/>
  <c r="E17" i="15"/>
  <c r="E16" i="15"/>
  <c r="E15" i="15"/>
  <c r="E14" i="15"/>
  <c r="E335" i="14"/>
  <c r="F335" i="14"/>
  <c r="F334" i="14"/>
  <c r="E334" i="14"/>
  <c r="E333" i="14"/>
  <c r="F333" i="14"/>
  <c r="F332" i="14"/>
  <c r="E332" i="14"/>
  <c r="E331" i="14"/>
  <c r="F331" i="14"/>
  <c r="F330" i="14"/>
  <c r="E330" i="14"/>
  <c r="E329" i="14"/>
  <c r="F329" i="14"/>
  <c r="F316" i="14"/>
  <c r="E316" i="14"/>
  <c r="C311" i="14"/>
  <c r="E308" i="14"/>
  <c r="F308" i="14"/>
  <c r="C307" i="14"/>
  <c r="E307" i="14"/>
  <c r="C299" i="14"/>
  <c r="E299" i="14"/>
  <c r="F299" i="14"/>
  <c r="C298" i="14"/>
  <c r="C297" i="14"/>
  <c r="E297" i="14"/>
  <c r="C296" i="14"/>
  <c r="E296" i="14"/>
  <c r="F296" i="14"/>
  <c r="C295" i="14"/>
  <c r="C294" i="14"/>
  <c r="C250" i="14"/>
  <c r="E249" i="14"/>
  <c r="F249" i="14"/>
  <c r="E248" i="14"/>
  <c r="F248" i="14"/>
  <c r="E245" i="14"/>
  <c r="F245" i="14"/>
  <c r="E244" i="14"/>
  <c r="F244" i="14"/>
  <c r="E243" i="14"/>
  <c r="F243" i="14"/>
  <c r="C238" i="14"/>
  <c r="E238" i="14"/>
  <c r="F238" i="14"/>
  <c r="E237" i="14"/>
  <c r="C237" i="14"/>
  <c r="C239" i="14"/>
  <c r="E234" i="14"/>
  <c r="F234" i="14"/>
  <c r="E233" i="14"/>
  <c r="F233" i="14"/>
  <c r="C230" i="14"/>
  <c r="E230" i="14"/>
  <c r="C229" i="14"/>
  <c r="E229" i="14"/>
  <c r="F229" i="14"/>
  <c r="F228" i="14"/>
  <c r="E228" i="14"/>
  <c r="C227" i="14"/>
  <c r="C226" i="14"/>
  <c r="E226" i="14"/>
  <c r="F226" i="14"/>
  <c r="F225" i="14"/>
  <c r="E225" i="14"/>
  <c r="E224" i="14"/>
  <c r="F224" i="14"/>
  <c r="C223" i="14"/>
  <c r="E222" i="14"/>
  <c r="F222" i="14"/>
  <c r="E221" i="14"/>
  <c r="F221" i="14"/>
  <c r="C205" i="14"/>
  <c r="C204" i="14"/>
  <c r="C285" i="14"/>
  <c r="E203" i="14"/>
  <c r="C203" i="14"/>
  <c r="F203" i="14"/>
  <c r="C267" i="14"/>
  <c r="C198" i="14"/>
  <c r="C199" i="14"/>
  <c r="C191" i="14"/>
  <c r="C264" i="14"/>
  <c r="C189" i="14"/>
  <c r="C215" i="14"/>
  <c r="C188" i="14"/>
  <c r="C214" i="14"/>
  <c r="C180" i="14"/>
  <c r="C179" i="14"/>
  <c r="E179" i="14"/>
  <c r="C171" i="14"/>
  <c r="C172" i="14"/>
  <c r="C173" i="14"/>
  <c r="E171" i="14"/>
  <c r="F171" i="14"/>
  <c r="C170" i="14"/>
  <c r="E169" i="14"/>
  <c r="F169" i="14"/>
  <c r="E168" i="14"/>
  <c r="F168" i="14"/>
  <c r="C165" i="14"/>
  <c r="E165" i="14"/>
  <c r="C164" i="14"/>
  <c r="E163" i="14"/>
  <c r="F163" i="14"/>
  <c r="E158" i="14"/>
  <c r="C158" i="14"/>
  <c r="E157" i="14"/>
  <c r="F157" i="14"/>
  <c r="E156" i="14"/>
  <c r="F156" i="14"/>
  <c r="C155" i="14"/>
  <c r="E154" i="14"/>
  <c r="F154" i="14"/>
  <c r="E153" i="14"/>
  <c r="F153" i="14"/>
  <c r="C145" i="14"/>
  <c r="E145" i="14"/>
  <c r="C144" i="14"/>
  <c r="C136" i="14"/>
  <c r="C135" i="14"/>
  <c r="E134" i="14"/>
  <c r="F134" i="14"/>
  <c r="E133" i="14"/>
  <c r="F133" i="14"/>
  <c r="E130" i="14"/>
  <c r="C130" i="14"/>
  <c r="F130" i="14"/>
  <c r="C129" i="14"/>
  <c r="E129" i="14"/>
  <c r="E128" i="14"/>
  <c r="F128" i="14"/>
  <c r="E123" i="14"/>
  <c r="C123" i="14"/>
  <c r="C124" i="14"/>
  <c r="F122" i="14"/>
  <c r="E122" i="14"/>
  <c r="E121" i="14"/>
  <c r="F121" i="14"/>
  <c r="C120" i="14"/>
  <c r="E120" i="14"/>
  <c r="E119" i="14"/>
  <c r="F119" i="14"/>
  <c r="E118" i="14"/>
  <c r="F118" i="14"/>
  <c r="E110" i="14"/>
  <c r="C110" i="14"/>
  <c r="F110" i="14"/>
  <c r="C109" i="14"/>
  <c r="E109" i="14"/>
  <c r="C101" i="14"/>
  <c r="E100" i="14"/>
  <c r="C100" i="14"/>
  <c r="F100" i="14"/>
  <c r="E99" i="14"/>
  <c r="F99" i="14"/>
  <c r="E98" i="14"/>
  <c r="F98" i="14"/>
  <c r="C95" i="14"/>
  <c r="E95" i="14"/>
  <c r="C94" i="14"/>
  <c r="E94" i="14"/>
  <c r="F94" i="14"/>
  <c r="F93" i="14"/>
  <c r="E93" i="14"/>
  <c r="C88" i="14"/>
  <c r="E88" i="14"/>
  <c r="E87" i="14"/>
  <c r="F87" i="14"/>
  <c r="E86" i="14"/>
  <c r="F86" i="14"/>
  <c r="E85" i="14"/>
  <c r="C85" i="14"/>
  <c r="E84" i="14"/>
  <c r="F84" i="14"/>
  <c r="E83" i="14"/>
  <c r="F83" i="14"/>
  <c r="C76" i="14"/>
  <c r="E76" i="14"/>
  <c r="E74" i="14"/>
  <c r="F74" i="14"/>
  <c r="E73" i="14"/>
  <c r="F73" i="14"/>
  <c r="C67" i="14"/>
  <c r="C66" i="14"/>
  <c r="E66" i="14"/>
  <c r="C60" i="14"/>
  <c r="C59" i="14"/>
  <c r="E59" i="14"/>
  <c r="F59" i="14"/>
  <c r="C58" i="14"/>
  <c r="E57" i="14"/>
  <c r="F57" i="14"/>
  <c r="E56" i="14"/>
  <c r="F56" i="14"/>
  <c r="C53" i="14"/>
  <c r="C52" i="14"/>
  <c r="E52" i="14"/>
  <c r="E51" i="14"/>
  <c r="F51" i="14"/>
  <c r="C47" i="14"/>
  <c r="E46" i="14"/>
  <c r="F46" i="14"/>
  <c r="E45" i="14"/>
  <c r="F45" i="14"/>
  <c r="C44" i="14"/>
  <c r="E44" i="14"/>
  <c r="F44" i="14"/>
  <c r="E43" i="14"/>
  <c r="F43" i="14"/>
  <c r="E42" i="14"/>
  <c r="F42" i="14"/>
  <c r="C36" i="14"/>
  <c r="E36" i="14"/>
  <c r="F36" i="14"/>
  <c r="C35" i="14"/>
  <c r="C304" i="14"/>
  <c r="C31" i="14"/>
  <c r="C30" i="14"/>
  <c r="E30" i="14"/>
  <c r="F30" i="14"/>
  <c r="C29" i="14"/>
  <c r="E28" i="14"/>
  <c r="F28" i="14"/>
  <c r="E27" i="14"/>
  <c r="F27" i="14"/>
  <c r="C24" i="14"/>
  <c r="E24" i="14"/>
  <c r="C23" i="14"/>
  <c r="E23" i="14"/>
  <c r="F23" i="14"/>
  <c r="E22" i="14"/>
  <c r="F22" i="14"/>
  <c r="C20" i="14"/>
  <c r="E20" i="14"/>
  <c r="F20" i="14"/>
  <c r="E19" i="14"/>
  <c r="F19" i="14"/>
  <c r="E18" i="14"/>
  <c r="F18" i="14"/>
  <c r="C17" i="14"/>
  <c r="E16" i="14"/>
  <c r="F16" i="14"/>
  <c r="E15" i="14"/>
  <c r="F15" i="14"/>
  <c r="D21" i="13"/>
  <c r="C21" i="13"/>
  <c r="E20" i="13"/>
  <c r="F20" i="13"/>
  <c r="D17" i="13"/>
  <c r="C17" i="13"/>
  <c r="E16" i="13"/>
  <c r="F16" i="13"/>
  <c r="D13" i="13"/>
  <c r="C13" i="13"/>
  <c r="E12" i="13"/>
  <c r="F12" i="13"/>
  <c r="D99" i="12"/>
  <c r="C99" i="12"/>
  <c r="E98" i="12"/>
  <c r="F98" i="12"/>
  <c r="E97" i="12"/>
  <c r="F97" i="12"/>
  <c r="E96" i="12"/>
  <c r="F96" i="12"/>
  <c r="D92" i="12"/>
  <c r="C92" i="12"/>
  <c r="E91" i="12"/>
  <c r="F91" i="12"/>
  <c r="E90" i="12"/>
  <c r="F90" i="12"/>
  <c r="E89" i="12"/>
  <c r="F89" i="12"/>
  <c r="E88" i="12"/>
  <c r="F88" i="12"/>
  <c r="E87" i="12"/>
  <c r="F87" i="12"/>
  <c r="D84" i="12"/>
  <c r="C84" i="12"/>
  <c r="E83" i="12"/>
  <c r="F83" i="12"/>
  <c r="F82" i="12"/>
  <c r="E82" i="12"/>
  <c r="E81" i="12"/>
  <c r="F81" i="12"/>
  <c r="F80" i="12"/>
  <c r="E80" i="12"/>
  <c r="F79" i="12"/>
  <c r="E79" i="12"/>
  <c r="D75" i="12"/>
  <c r="C75" i="12"/>
  <c r="E74" i="12"/>
  <c r="F74" i="12"/>
  <c r="E73" i="12"/>
  <c r="F73" i="12"/>
  <c r="D70" i="12"/>
  <c r="C70" i="12"/>
  <c r="E69" i="12"/>
  <c r="F69" i="12"/>
  <c r="F68" i="12"/>
  <c r="E68" i="12"/>
  <c r="D65" i="12"/>
  <c r="C65" i="12"/>
  <c r="E64" i="12"/>
  <c r="F64" i="12"/>
  <c r="E63" i="12"/>
  <c r="F63" i="12"/>
  <c r="D60" i="12"/>
  <c r="C60" i="12"/>
  <c r="F60" i="12"/>
  <c r="F59" i="12"/>
  <c r="E59" i="12"/>
  <c r="F58" i="12"/>
  <c r="E58" i="12"/>
  <c r="E60" i="12"/>
  <c r="D55" i="12"/>
  <c r="E55" i="12"/>
  <c r="C55" i="12"/>
  <c r="F55" i="12"/>
  <c r="F54" i="12"/>
  <c r="E54" i="12"/>
  <c r="F53" i="12"/>
  <c r="E53" i="12"/>
  <c r="D50" i="12"/>
  <c r="E50" i="12"/>
  <c r="C50" i="12"/>
  <c r="F50" i="12"/>
  <c r="F49" i="12"/>
  <c r="E49" i="12"/>
  <c r="F48" i="12"/>
  <c r="E48" i="12"/>
  <c r="D45" i="12"/>
  <c r="E45" i="12"/>
  <c r="C45" i="12"/>
  <c r="F45" i="12"/>
  <c r="F44" i="12"/>
  <c r="E44" i="12"/>
  <c r="F43" i="12"/>
  <c r="E43" i="12"/>
  <c r="D37" i="12"/>
  <c r="E37" i="12"/>
  <c r="C37" i="12"/>
  <c r="F37" i="12"/>
  <c r="F36" i="12"/>
  <c r="E36" i="12"/>
  <c r="F35" i="12"/>
  <c r="E35" i="12"/>
  <c r="F34" i="12"/>
  <c r="E34" i="12"/>
  <c r="F33" i="12"/>
  <c r="E33" i="12"/>
  <c r="D30" i="12"/>
  <c r="C30" i="12"/>
  <c r="F29" i="12"/>
  <c r="E29" i="12"/>
  <c r="F28" i="12"/>
  <c r="E28" i="12"/>
  <c r="E27" i="12"/>
  <c r="F27" i="12"/>
  <c r="F26" i="12"/>
  <c r="E26" i="12"/>
  <c r="D23" i="12"/>
  <c r="C23" i="12"/>
  <c r="F22" i="12"/>
  <c r="E22" i="12"/>
  <c r="F21" i="12"/>
  <c r="E21" i="12"/>
  <c r="E20" i="12"/>
  <c r="F20" i="12"/>
  <c r="E19" i="12"/>
  <c r="F19" i="12"/>
  <c r="D16" i="12"/>
  <c r="C16" i="12"/>
  <c r="F15" i="12"/>
  <c r="E15" i="12"/>
  <c r="F14" i="12"/>
  <c r="E14" i="12"/>
  <c r="E13" i="12"/>
  <c r="F13" i="12"/>
  <c r="E12" i="12"/>
  <c r="F12" i="12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E31" i="11"/>
  <c r="E33" i="11"/>
  <c r="D17" i="11"/>
  <c r="F17" i="11"/>
  <c r="D33" i="11"/>
  <c r="C17" i="11"/>
  <c r="C31" i="11"/>
  <c r="C33" i="11"/>
  <c r="C36" i="11"/>
  <c r="C38" i="11"/>
  <c r="C40" i="11"/>
  <c r="G16" i="11"/>
  <c r="F16" i="11"/>
  <c r="G15" i="11"/>
  <c r="F15" i="11"/>
  <c r="G13" i="11"/>
  <c r="F13" i="11"/>
  <c r="G11" i="11"/>
  <c r="F11" i="11"/>
  <c r="E79" i="10"/>
  <c r="E80" i="10"/>
  <c r="E77" i="10"/>
  <c r="D79" i="10"/>
  <c r="C79" i="10"/>
  <c r="E78" i="10"/>
  <c r="D78" i="10"/>
  <c r="D80" i="10"/>
  <c r="D77" i="10"/>
  <c r="C78" i="10"/>
  <c r="C80" i="10"/>
  <c r="C77" i="10"/>
  <c r="E73" i="10"/>
  <c r="E75" i="10"/>
  <c r="D73" i="10"/>
  <c r="D75" i="10"/>
  <c r="C73" i="10"/>
  <c r="C75" i="10"/>
  <c r="E71" i="10"/>
  <c r="D71" i="10"/>
  <c r="C71" i="10"/>
  <c r="E66" i="10"/>
  <c r="E65" i="10"/>
  <c r="D66" i="10"/>
  <c r="C66" i="10"/>
  <c r="C65" i="10"/>
  <c r="D65" i="10"/>
  <c r="E60" i="10"/>
  <c r="D60" i="10"/>
  <c r="C60" i="10"/>
  <c r="E58" i="10"/>
  <c r="D58" i="10"/>
  <c r="C58" i="10"/>
  <c r="E55" i="10"/>
  <c r="D55" i="10"/>
  <c r="D50" i="10"/>
  <c r="C55" i="10"/>
  <c r="C50" i="10"/>
  <c r="E54" i="10"/>
  <c r="E50" i="10"/>
  <c r="D54" i="10"/>
  <c r="C54" i="10"/>
  <c r="C48" i="10"/>
  <c r="C42" i="10"/>
  <c r="E46" i="10"/>
  <c r="E59" i="10"/>
  <c r="E61" i="10"/>
  <c r="E57" i="10"/>
  <c r="D46" i="10"/>
  <c r="D59" i="10"/>
  <c r="D61" i="10"/>
  <c r="D57" i="10"/>
  <c r="C46" i="10"/>
  <c r="C59" i="10"/>
  <c r="C61" i="10"/>
  <c r="C57" i="10"/>
  <c r="E45" i="10"/>
  <c r="D45" i="10"/>
  <c r="C45" i="10"/>
  <c r="E38" i="10"/>
  <c r="D38" i="10"/>
  <c r="C38" i="10"/>
  <c r="D34" i="10"/>
  <c r="E33" i="10"/>
  <c r="E34" i="10"/>
  <c r="D33" i="10"/>
  <c r="E26" i="10"/>
  <c r="D26" i="10"/>
  <c r="C26" i="10"/>
  <c r="C15" i="10"/>
  <c r="C24" i="10"/>
  <c r="E13" i="10"/>
  <c r="E25" i="10"/>
  <c r="E27" i="10"/>
  <c r="D13" i="10"/>
  <c r="D15" i="10"/>
  <c r="C13" i="10"/>
  <c r="C25" i="10"/>
  <c r="C27" i="10"/>
  <c r="C21" i="10"/>
  <c r="F46" i="9"/>
  <c r="D46" i="9"/>
  <c r="E46" i="9"/>
  <c r="C46" i="9"/>
  <c r="F45" i="9"/>
  <c r="E45" i="9"/>
  <c r="F44" i="9"/>
  <c r="E44" i="9"/>
  <c r="D39" i="9"/>
  <c r="E39" i="9"/>
  <c r="F39" i="9"/>
  <c r="C39" i="9"/>
  <c r="F38" i="9"/>
  <c r="E38" i="9"/>
  <c r="F37" i="9"/>
  <c r="E37" i="9"/>
  <c r="F36" i="9"/>
  <c r="E36" i="9"/>
  <c r="D31" i="9"/>
  <c r="E31" i="9"/>
  <c r="F31" i="9"/>
  <c r="C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18" i="9"/>
  <c r="E18" i="9"/>
  <c r="F17" i="9"/>
  <c r="E17" i="9"/>
  <c r="D16" i="9"/>
  <c r="D19" i="9"/>
  <c r="C16" i="9"/>
  <c r="C19" i="9"/>
  <c r="F15" i="9"/>
  <c r="E15" i="9"/>
  <c r="F14" i="9"/>
  <c r="E14" i="9"/>
  <c r="F13" i="9"/>
  <c r="E13" i="9"/>
  <c r="F12" i="9"/>
  <c r="E12" i="9"/>
  <c r="D73" i="8"/>
  <c r="E73" i="8"/>
  <c r="F73" i="8"/>
  <c r="C73" i="8"/>
  <c r="F72" i="8"/>
  <c r="E72" i="8"/>
  <c r="F71" i="8"/>
  <c r="E71" i="8"/>
  <c r="F70" i="8"/>
  <c r="E70" i="8"/>
  <c r="F67" i="8"/>
  <c r="E67" i="8"/>
  <c r="F64" i="8"/>
  <c r="E64" i="8"/>
  <c r="F63" i="8"/>
  <c r="E63" i="8"/>
  <c r="D61" i="8"/>
  <c r="D65" i="8"/>
  <c r="E65" i="8"/>
  <c r="C61" i="8"/>
  <c r="C65" i="8"/>
  <c r="F60" i="8"/>
  <c r="E60" i="8"/>
  <c r="E59" i="8"/>
  <c r="F59" i="8"/>
  <c r="D56" i="8"/>
  <c r="C56" i="8"/>
  <c r="C75" i="8"/>
  <c r="F55" i="8"/>
  <c r="E55" i="8"/>
  <c r="F54" i="8"/>
  <c r="E54" i="8"/>
  <c r="F53" i="8"/>
  <c r="E53" i="8"/>
  <c r="F52" i="8"/>
  <c r="E52" i="8"/>
  <c r="F51" i="8"/>
  <c r="E51" i="8"/>
  <c r="A51" i="8"/>
  <c r="A52" i="8"/>
  <c r="A53" i="8"/>
  <c r="A54" i="8"/>
  <c r="A55" i="8"/>
  <c r="E50" i="8"/>
  <c r="F50" i="8"/>
  <c r="A50" i="8"/>
  <c r="F49" i="8"/>
  <c r="E49" i="8"/>
  <c r="F40" i="8"/>
  <c r="E40" i="8"/>
  <c r="D38" i="8"/>
  <c r="E38" i="8"/>
  <c r="F38" i="8"/>
  <c r="C38" i="8"/>
  <c r="C41" i="8"/>
  <c r="E37" i="8"/>
  <c r="F37" i="8"/>
  <c r="E36" i="8"/>
  <c r="F36" i="8"/>
  <c r="E33" i="8"/>
  <c r="F33" i="8"/>
  <c r="E32" i="8"/>
  <c r="F32" i="8"/>
  <c r="F31" i="8"/>
  <c r="E31" i="8"/>
  <c r="D29" i="8"/>
  <c r="C29" i="8"/>
  <c r="E28" i="8"/>
  <c r="F28" i="8"/>
  <c r="E27" i="8"/>
  <c r="F27" i="8"/>
  <c r="F26" i="8"/>
  <c r="E26" i="8"/>
  <c r="E25" i="8"/>
  <c r="F25" i="8"/>
  <c r="D22" i="8"/>
  <c r="C22" i="8"/>
  <c r="C43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F120" i="7"/>
  <c r="D120" i="7"/>
  <c r="E120" i="7"/>
  <c r="C120" i="7"/>
  <c r="D119" i="7"/>
  <c r="E119" i="7"/>
  <c r="F119" i="7"/>
  <c r="C119" i="7"/>
  <c r="D118" i="7"/>
  <c r="E118" i="7"/>
  <c r="F118" i="7"/>
  <c r="C118" i="7"/>
  <c r="D117" i="7"/>
  <c r="E117" i="7"/>
  <c r="F117" i="7"/>
  <c r="C117" i="7"/>
  <c r="D116" i="7"/>
  <c r="E116" i="7"/>
  <c r="F116" i="7"/>
  <c r="C116" i="7"/>
  <c r="D115" i="7"/>
  <c r="E115" i="7"/>
  <c r="F115" i="7"/>
  <c r="C115" i="7"/>
  <c r="D114" i="7"/>
  <c r="E114" i="7"/>
  <c r="F114" i="7"/>
  <c r="C114" i="7"/>
  <c r="D113" i="7"/>
  <c r="D122" i="7"/>
  <c r="C113" i="7"/>
  <c r="C122" i="7"/>
  <c r="D112" i="7"/>
  <c r="D121" i="7"/>
  <c r="E121" i="7"/>
  <c r="C112" i="7"/>
  <c r="C121" i="7"/>
  <c r="D108" i="7"/>
  <c r="C108" i="7"/>
  <c r="D107" i="7"/>
  <c r="C107" i="7"/>
  <c r="F106" i="7"/>
  <c r="E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E96" i="7"/>
  <c r="C96" i="7"/>
  <c r="F96" i="7"/>
  <c r="D95" i="7"/>
  <c r="E95" i="7"/>
  <c r="C95" i="7"/>
  <c r="F95" i="7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D84" i="7"/>
  <c r="E84" i="7"/>
  <c r="C84" i="7"/>
  <c r="F84" i="7"/>
  <c r="D83" i="7"/>
  <c r="E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/>
  <c r="C72" i="7"/>
  <c r="F72" i="7"/>
  <c r="D71" i="7"/>
  <c r="E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D59" i="7"/>
  <c r="C59" i="7"/>
  <c r="F58" i="7"/>
  <c r="E58" i="7"/>
  <c r="E57" i="7"/>
  <c r="F57" i="7"/>
  <c r="E56" i="7"/>
  <c r="F56" i="7"/>
  <c r="E55" i="7"/>
  <c r="F55" i="7"/>
  <c r="E54" i="7"/>
  <c r="F54" i="7"/>
  <c r="E53" i="7"/>
  <c r="F53" i="7"/>
  <c r="E52" i="7"/>
  <c r="F52" i="7"/>
  <c r="E51" i="7"/>
  <c r="F51" i="7"/>
  <c r="E50" i="7"/>
  <c r="F50" i="7"/>
  <c r="D48" i="7"/>
  <c r="E48" i="7"/>
  <c r="C48" i="7"/>
  <c r="F48" i="7"/>
  <c r="D47" i="7"/>
  <c r="E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D35" i="7"/>
  <c r="C35" i="7"/>
  <c r="F34" i="7"/>
  <c r="E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D23" i="7"/>
  <c r="C23" i="7"/>
  <c r="F22" i="7"/>
  <c r="E22" i="7"/>
  <c r="E21" i="7"/>
  <c r="F21" i="7"/>
  <c r="E20" i="7"/>
  <c r="F20" i="7"/>
  <c r="E19" i="7"/>
  <c r="F19" i="7"/>
  <c r="E18" i="7"/>
  <c r="F18" i="7"/>
  <c r="E17" i="7"/>
  <c r="F17" i="7"/>
  <c r="E16" i="7"/>
  <c r="F16" i="7"/>
  <c r="E15" i="7"/>
  <c r="F15" i="7"/>
  <c r="E14" i="7"/>
  <c r="F14" i="7"/>
  <c r="D206" i="6"/>
  <c r="C206" i="6"/>
  <c r="F206" i="6"/>
  <c r="D205" i="6"/>
  <c r="E205" i="6"/>
  <c r="C205" i="6"/>
  <c r="D204" i="6"/>
  <c r="C204" i="6"/>
  <c r="D203" i="6"/>
  <c r="C203" i="6"/>
  <c r="D202" i="6"/>
  <c r="C202" i="6"/>
  <c r="D201" i="6"/>
  <c r="C201" i="6"/>
  <c r="D200" i="6"/>
  <c r="C200" i="6"/>
  <c r="D199" i="6"/>
  <c r="D208" i="6"/>
  <c r="E208" i="6"/>
  <c r="C199" i="6"/>
  <c r="C208" i="6"/>
  <c r="D198" i="6"/>
  <c r="D207" i="6"/>
  <c r="C198" i="6"/>
  <c r="C207" i="6"/>
  <c r="F193" i="6"/>
  <c r="D193" i="6"/>
  <c r="E193" i="6"/>
  <c r="C193" i="6"/>
  <c r="F192" i="6"/>
  <c r="D192" i="6"/>
  <c r="E192" i="6"/>
  <c r="C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F180" i="6"/>
  <c r="D180" i="6"/>
  <c r="E180" i="6"/>
  <c r="C180" i="6"/>
  <c r="F179" i="6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7" i="6"/>
  <c r="D167" i="6"/>
  <c r="E167" i="6"/>
  <c r="C167" i="6"/>
  <c r="F166" i="6"/>
  <c r="D166" i="6"/>
  <c r="E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4" i="6"/>
  <c r="D154" i="6"/>
  <c r="E154" i="6"/>
  <c r="C154" i="6"/>
  <c r="F153" i="6"/>
  <c r="D153" i="6"/>
  <c r="E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1" i="6"/>
  <c r="D141" i="6"/>
  <c r="E141" i="6"/>
  <c r="C141" i="6"/>
  <c r="F140" i="6"/>
  <c r="D140" i="6"/>
  <c r="E140" i="6"/>
  <c r="C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E128" i="6"/>
  <c r="F128" i="6"/>
  <c r="C128" i="6"/>
  <c r="D127" i="6"/>
  <c r="E127" i="6"/>
  <c r="F127" i="6"/>
  <c r="C127" i="6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5" i="6"/>
  <c r="D115" i="6"/>
  <c r="E115" i="6"/>
  <c r="C115" i="6"/>
  <c r="F114" i="6"/>
  <c r="D114" i="6"/>
  <c r="E114" i="6"/>
  <c r="C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2" i="6"/>
  <c r="D102" i="6"/>
  <c r="E102" i="6"/>
  <c r="C102" i="6"/>
  <c r="F101" i="6"/>
  <c r="D101" i="6"/>
  <c r="E101" i="6"/>
  <c r="C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F89" i="6"/>
  <c r="D89" i="6"/>
  <c r="E89" i="6"/>
  <c r="C89" i="6"/>
  <c r="F88" i="6"/>
  <c r="D88" i="6"/>
  <c r="E88" i="6"/>
  <c r="C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E76" i="6"/>
  <c r="F76" i="6"/>
  <c r="C76" i="6"/>
  <c r="D75" i="6"/>
  <c r="E75" i="6"/>
  <c r="F75" i="6"/>
  <c r="C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D63" i="6"/>
  <c r="E63" i="6"/>
  <c r="F63" i="6"/>
  <c r="C63" i="6"/>
  <c r="D62" i="6"/>
  <c r="E62" i="6"/>
  <c r="F62" i="6"/>
  <c r="C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D50" i="6"/>
  <c r="E50" i="6"/>
  <c r="F50" i="6"/>
  <c r="C50" i="6"/>
  <c r="D49" i="6"/>
  <c r="E49" i="6"/>
  <c r="F49" i="6"/>
  <c r="C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D37" i="6"/>
  <c r="E37" i="6"/>
  <c r="F37" i="6"/>
  <c r="C37" i="6"/>
  <c r="D36" i="6"/>
  <c r="E36" i="6"/>
  <c r="F36" i="6"/>
  <c r="C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F24" i="6"/>
  <c r="D24" i="6"/>
  <c r="E24" i="6"/>
  <c r="C24" i="6"/>
  <c r="F23" i="6"/>
  <c r="D23" i="6"/>
  <c r="E23" i="6"/>
  <c r="C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191" i="5"/>
  <c r="D191" i="5"/>
  <c r="C191" i="5"/>
  <c r="E176" i="5"/>
  <c r="D176" i="5"/>
  <c r="C176" i="5"/>
  <c r="E164" i="5"/>
  <c r="E160" i="5"/>
  <c r="E166" i="5"/>
  <c r="D164" i="5"/>
  <c r="D160" i="5"/>
  <c r="D166" i="5"/>
  <c r="C164" i="5"/>
  <c r="C160" i="5"/>
  <c r="C166" i="5"/>
  <c r="E162" i="5"/>
  <c r="D162" i="5"/>
  <c r="C162" i="5"/>
  <c r="E161" i="5"/>
  <c r="D161" i="5"/>
  <c r="C161" i="5"/>
  <c r="E147" i="5"/>
  <c r="D147" i="5"/>
  <c r="D143" i="5"/>
  <c r="D149" i="5"/>
  <c r="C147" i="5"/>
  <c r="E145" i="5"/>
  <c r="D145" i="5"/>
  <c r="C145" i="5"/>
  <c r="E144" i="5"/>
  <c r="D144" i="5"/>
  <c r="C144" i="5"/>
  <c r="E143" i="5"/>
  <c r="E149" i="5"/>
  <c r="C143" i="5"/>
  <c r="C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E94" i="5"/>
  <c r="D95" i="5"/>
  <c r="C95" i="5"/>
  <c r="C94" i="5"/>
  <c r="D94" i="5"/>
  <c r="E89" i="5"/>
  <c r="D89" i="5"/>
  <c r="C89" i="5"/>
  <c r="E87" i="5"/>
  <c r="D87" i="5"/>
  <c r="C87" i="5"/>
  <c r="E84" i="5"/>
  <c r="D84" i="5"/>
  <c r="D79" i="5"/>
  <c r="C84" i="5"/>
  <c r="E83" i="5"/>
  <c r="E79" i="5"/>
  <c r="D83" i="5"/>
  <c r="C83" i="5"/>
  <c r="C79" i="5"/>
  <c r="C77" i="5"/>
  <c r="C71" i="5"/>
  <c r="E75" i="5"/>
  <c r="E88" i="5"/>
  <c r="E90" i="5"/>
  <c r="E86" i="5"/>
  <c r="D75" i="5"/>
  <c r="D88" i="5"/>
  <c r="D90" i="5"/>
  <c r="D86" i="5"/>
  <c r="C75" i="5"/>
  <c r="C88" i="5"/>
  <c r="C90" i="5"/>
  <c r="C86" i="5"/>
  <c r="E74" i="5"/>
  <c r="D74" i="5"/>
  <c r="C74" i="5"/>
  <c r="E67" i="5"/>
  <c r="D67" i="5"/>
  <c r="C67" i="5"/>
  <c r="E38" i="5"/>
  <c r="E49" i="5"/>
  <c r="D38" i="5"/>
  <c r="D43" i="5"/>
  <c r="C38" i="5"/>
  <c r="C57" i="5"/>
  <c r="C62" i="5"/>
  <c r="E33" i="5"/>
  <c r="E34" i="5"/>
  <c r="D33" i="5"/>
  <c r="D34" i="5"/>
  <c r="E26" i="5"/>
  <c r="D26" i="5"/>
  <c r="C26" i="5"/>
  <c r="E13" i="5"/>
  <c r="E25" i="5"/>
  <c r="E27" i="5"/>
  <c r="D13" i="5"/>
  <c r="D25" i="5"/>
  <c r="D27" i="5"/>
  <c r="D21" i="5"/>
  <c r="C13" i="5"/>
  <c r="C25" i="5"/>
  <c r="C27" i="5"/>
  <c r="F174" i="4"/>
  <c r="E174" i="4"/>
  <c r="D171" i="4"/>
  <c r="D176" i="4"/>
  <c r="C171" i="4"/>
  <c r="F170" i="4"/>
  <c r="E170" i="4"/>
  <c r="E169" i="4"/>
  <c r="F169" i="4"/>
  <c r="E168" i="4"/>
  <c r="F168" i="4"/>
  <c r="E167" i="4"/>
  <c r="F167" i="4"/>
  <c r="E166" i="4"/>
  <c r="F166" i="4"/>
  <c r="F165" i="4"/>
  <c r="E165" i="4"/>
  <c r="E164" i="4"/>
  <c r="F164" i="4"/>
  <c r="E163" i="4"/>
  <c r="F163" i="4"/>
  <c r="F162" i="4"/>
  <c r="E162" i="4"/>
  <c r="E161" i="4"/>
  <c r="F161" i="4"/>
  <c r="F160" i="4"/>
  <c r="E160" i="4"/>
  <c r="E159" i="4"/>
  <c r="F159" i="4"/>
  <c r="E158" i="4"/>
  <c r="F158" i="4"/>
  <c r="D155" i="4"/>
  <c r="C155" i="4"/>
  <c r="E154" i="4"/>
  <c r="F154" i="4"/>
  <c r="F153" i="4"/>
  <c r="E153" i="4"/>
  <c r="F152" i="4"/>
  <c r="E152" i="4"/>
  <c r="E151" i="4"/>
  <c r="F151" i="4"/>
  <c r="F150" i="4"/>
  <c r="E150" i="4"/>
  <c r="E149" i="4"/>
  <c r="F149" i="4"/>
  <c r="F148" i="4"/>
  <c r="E148" i="4"/>
  <c r="F147" i="4"/>
  <c r="E147" i="4"/>
  <c r="E146" i="4"/>
  <c r="F146" i="4"/>
  <c r="E145" i="4"/>
  <c r="F145" i="4"/>
  <c r="E144" i="4"/>
  <c r="F144" i="4"/>
  <c r="F143" i="4"/>
  <c r="E143" i="4"/>
  <c r="F142" i="4"/>
  <c r="E142" i="4"/>
  <c r="F141" i="4"/>
  <c r="E141" i="4"/>
  <c r="E140" i="4"/>
  <c r="F140" i="4"/>
  <c r="F139" i="4"/>
  <c r="E139" i="4"/>
  <c r="E138" i="4"/>
  <c r="F138" i="4"/>
  <c r="F137" i="4"/>
  <c r="E137" i="4"/>
  <c r="F136" i="4"/>
  <c r="E136" i="4"/>
  <c r="F135" i="4"/>
  <c r="E135" i="4"/>
  <c r="E134" i="4"/>
  <c r="F134" i="4"/>
  <c r="E133" i="4"/>
  <c r="F133" i="4"/>
  <c r="F132" i="4"/>
  <c r="E132" i="4"/>
  <c r="E131" i="4"/>
  <c r="F131" i="4"/>
  <c r="E130" i="4"/>
  <c r="F130" i="4"/>
  <c r="E129" i="4"/>
  <c r="F129" i="4"/>
  <c r="E128" i="4"/>
  <c r="F128" i="4"/>
  <c r="F127" i="4"/>
  <c r="E127" i="4"/>
  <c r="E126" i="4"/>
  <c r="F126" i="4"/>
  <c r="E125" i="4"/>
  <c r="F125" i="4"/>
  <c r="E124" i="4"/>
  <c r="F124" i="4"/>
  <c r="E123" i="4"/>
  <c r="F123" i="4"/>
  <c r="E122" i="4"/>
  <c r="F122" i="4"/>
  <c r="E121" i="4"/>
  <c r="F121" i="4"/>
  <c r="D118" i="4"/>
  <c r="C118" i="4"/>
  <c r="E117" i="4"/>
  <c r="F117" i="4"/>
  <c r="F116" i="4"/>
  <c r="E116" i="4"/>
  <c r="E115" i="4"/>
  <c r="F115" i="4"/>
  <c r="E114" i="4"/>
  <c r="F114" i="4"/>
  <c r="F113" i="4"/>
  <c r="E113" i="4"/>
  <c r="E112" i="4"/>
  <c r="F112" i="4"/>
  <c r="D109" i="4"/>
  <c r="C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F102" i="4"/>
  <c r="E102" i="4"/>
  <c r="E101" i="4"/>
  <c r="F101" i="4"/>
  <c r="E100" i="4"/>
  <c r="F100" i="4"/>
  <c r="F99" i="4"/>
  <c r="E99" i="4"/>
  <c r="F98" i="4"/>
  <c r="E98" i="4"/>
  <c r="F97" i="4"/>
  <c r="E97" i="4"/>
  <c r="E96" i="4"/>
  <c r="F96" i="4"/>
  <c r="F95" i="4"/>
  <c r="E95" i="4"/>
  <c r="F94" i="4"/>
  <c r="E94" i="4"/>
  <c r="E93" i="4"/>
  <c r="F93" i="4"/>
  <c r="E92" i="4"/>
  <c r="F92" i="4"/>
  <c r="E91" i="4"/>
  <c r="F91" i="4"/>
  <c r="E81" i="4"/>
  <c r="F81" i="4"/>
  <c r="D78" i="4"/>
  <c r="C78" i="4"/>
  <c r="C83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D59" i="4"/>
  <c r="E59" i="4"/>
  <c r="F59" i="4"/>
  <c r="C59" i="4"/>
  <c r="F58" i="4"/>
  <c r="E58" i="4"/>
  <c r="F57" i="4"/>
  <c r="E57" i="4"/>
  <c r="F56" i="4"/>
  <c r="E56" i="4"/>
  <c r="F55" i="4"/>
  <c r="E55" i="4"/>
  <c r="F54" i="4"/>
  <c r="E54" i="4"/>
  <c r="F53" i="4"/>
  <c r="E53" i="4"/>
  <c r="F50" i="4"/>
  <c r="E50" i="4"/>
  <c r="F47" i="4"/>
  <c r="E47" i="4"/>
  <c r="F44" i="4"/>
  <c r="E44" i="4"/>
  <c r="D41" i="4"/>
  <c r="E41" i="4"/>
  <c r="F41" i="4"/>
  <c r="C41" i="4"/>
  <c r="F40" i="4"/>
  <c r="E40" i="4"/>
  <c r="F39" i="4"/>
  <c r="E39" i="4"/>
  <c r="F38" i="4"/>
  <c r="E38" i="4"/>
  <c r="D35" i="4"/>
  <c r="E35" i="4"/>
  <c r="F35" i="4"/>
  <c r="C35" i="4"/>
  <c r="F34" i="4"/>
  <c r="E34" i="4"/>
  <c r="F33" i="4"/>
  <c r="E33" i="4"/>
  <c r="D30" i="4"/>
  <c r="E30" i="4"/>
  <c r="F30" i="4"/>
  <c r="C30" i="4"/>
  <c r="F29" i="4"/>
  <c r="E29" i="4"/>
  <c r="F28" i="4"/>
  <c r="E28" i="4"/>
  <c r="F27" i="4"/>
  <c r="E27" i="4"/>
  <c r="D24" i="4"/>
  <c r="E24" i="4"/>
  <c r="F24" i="4"/>
  <c r="C24" i="4"/>
  <c r="F23" i="4"/>
  <c r="E23" i="4"/>
  <c r="F22" i="4"/>
  <c r="E22" i="4"/>
  <c r="F21" i="4"/>
  <c r="E21" i="4"/>
  <c r="D18" i="4"/>
  <c r="E18" i="4"/>
  <c r="F18" i="4"/>
  <c r="C18" i="4"/>
  <c r="F17" i="4"/>
  <c r="E17" i="4"/>
  <c r="F16" i="4"/>
  <c r="E16" i="4"/>
  <c r="F15" i="4"/>
  <c r="E15" i="4"/>
  <c r="D179" i="3"/>
  <c r="E179" i="3"/>
  <c r="F179" i="3"/>
  <c r="C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F172" i="3"/>
  <c r="E172" i="3"/>
  <c r="F171" i="3"/>
  <c r="E171" i="3"/>
  <c r="F170" i="3"/>
  <c r="E170" i="3"/>
  <c r="F169" i="3"/>
  <c r="E169" i="3"/>
  <c r="F168" i="3"/>
  <c r="E168" i="3"/>
  <c r="D166" i="3"/>
  <c r="E166" i="3"/>
  <c r="F166" i="3"/>
  <c r="C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D153" i="3"/>
  <c r="E153" i="3"/>
  <c r="F153" i="3"/>
  <c r="C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D137" i="3"/>
  <c r="E137" i="3"/>
  <c r="F137" i="3"/>
  <c r="C137" i="3"/>
  <c r="F136" i="3"/>
  <c r="E136" i="3"/>
  <c r="F135" i="3"/>
  <c r="E135" i="3"/>
  <c r="F134" i="3"/>
  <c r="E134" i="3"/>
  <c r="F133" i="3"/>
  <c r="E133" i="3"/>
  <c r="F132" i="3"/>
  <c r="E132" i="3"/>
  <c r="F131" i="3"/>
  <c r="E131" i="3"/>
  <c r="F130" i="3"/>
  <c r="E130" i="3"/>
  <c r="F129" i="3"/>
  <c r="E129" i="3"/>
  <c r="F128" i="3"/>
  <c r="E128" i="3"/>
  <c r="F127" i="3"/>
  <c r="E127" i="3"/>
  <c r="F126" i="3"/>
  <c r="E126" i="3"/>
  <c r="D124" i="3"/>
  <c r="E124" i="3"/>
  <c r="F124" i="3"/>
  <c r="C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D111" i="3"/>
  <c r="E111" i="3"/>
  <c r="F111" i="3"/>
  <c r="C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F94" i="3"/>
  <c r="D94" i="3"/>
  <c r="E94" i="3"/>
  <c r="C94" i="3"/>
  <c r="D93" i="3"/>
  <c r="E93" i="3"/>
  <c r="F93" i="3"/>
  <c r="C93" i="3"/>
  <c r="D92" i="3"/>
  <c r="E92" i="3"/>
  <c r="F92" i="3"/>
  <c r="C92" i="3"/>
  <c r="D91" i="3"/>
  <c r="E91" i="3"/>
  <c r="F91" i="3"/>
  <c r="C91" i="3"/>
  <c r="F90" i="3"/>
  <c r="D90" i="3"/>
  <c r="E90" i="3"/>
  <c r="C90" i="3"/>
  <c r="D89" i="3"/>
  <c r="E89" i="3"/>
  <c r="F89" i="3"/>
  <c r="C89" i="3"/>
  <c r="D88" i="3"/>
  <c r="E88" i="3"/>
  <c r="F88" i="3"/>
  <c r="C88" i="3"/>
  <c r="D87" i="3"/>
  <c r="E87" i="3"/>
  <c r="F87" i="3"/>
  <c r="C87" i="3"/>
  <c r="D86" i="3"/>
  <c r="E86" i="3"/>
  <c r="F86" i="3"/>
  <c r="C86" i="3"/>
  <c r="D85" i="3"/>
  <c r="E85" i="3"/>
  <c r="F85" i="3"/>
  <c r="C85" i="3"/>
  <c r="D84" i="3"/>
  <c r="D95" i="3"/>
  <c r="E95" i="3"/>
  <c r="C84" i="3"/>
  <c r="C95" i="3"/>
  <c r="D81" i="3"/>
  <c r="E81" i="3"/>
  <c r="F81" i="3"/>
  <c r="C81" i="3"/>
  <c r="F80" i="3"/>
  <c r="E80" i="3"/>
  <c r="F79" i="3"/>
  <c r="E79" i="3"/>
  <c r="F78" i="3"/>
  <c r="E78" i="3"/>
  <c r="F77" i="3"/>
  <c r="E77" i="3"/>
  <c r="F76" i="3"/>
  <c r="E76" i="3"/>
  <c r="F75" i="3"/>
  <c r="E75" i="3"/>
  <c r="F74" i="3"/>
  <c r="E74" i="3"/>
  <c r="F73" i="3"/>
  <c r="E73" i="3"/>
  <c r="F72" i="3"/>
  <c r="E72" i="3"/>
  <c r="F71" i="3"/>
  <c r="E71" i="3"/>
  <c r="F70" i="3"/>
  <c r="E70" i="3"/>
  <c r="D68" i="3"/>
  <c r="E68" i="3"/>
  <c r="F68" i="3"/>
  <c r="C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F51" i="3"/>
  <c r="D51" i="3"/>
  <c r="E51" i="3"/>
  <c r="C51" i="3"/>
  <c r="D50" i="3"/>
  <c r="E50" i="3"/>
  <c r="F50" i="3"/>
  <c r="C50" i="3"/>
  <c r="D49" i="3"/>
  <c r="E49" i="3"/>
  <c r="F49" i="3"/>
  <c r="C49" i="3"/>
  <c r="D48" i="3"/>
  <c r="E48" i="3"/>
  <c r="F48" i="3"/>
  <c r="C48" i="3"/>
  <c r="F47" i="3"/>
  <c r="D47" i="3"/>
  <c r="E47" i="3"/>
  <c r="C47" i="3"/>
  <c r="D46" i="3"/>
  <c r="E46" i="3"/>
  <c r="F46" i="3"/>
  <c r="C46" i="3"/>
  <c r="D45" i="3"/>
  <c r="E45" i="3"/>
  <c r="F45" i="3"/>
  <c r="C45" i="3"/>
  <c r="D44" i="3"/>
  <c r="E44" i="3"/>
  <c r="F44" i="3"/>
  <c r="C44" i="3"/>
  <c r="D43" i="3"/>
  <c r="E43" i="3"/>
  <c r="F43" i="3"/>
  <c r="C43" i="3"/>
  <c r="D42" i="3"/>
  <c r="E42" i="3"/>
  <c r="F42" i="3"/>
  <c r="C42" i="3"/>
  <c r="D41" i="3"/>
  <c r="D52" i="3"/>
  <c r="E52" i="3"/>
  <c r="C41" i="3"/>
  <c r="C52" i="3"/>
  <c r="D38" i="3"/>
  <c r="E38" i="3"/>
  <c r="F38" i="3"/>
  <c r="C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D25" i="3"/>
  <c r="E25" i="3"/>
  <c r="F25" i="3"/>
  <c r="C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49" i="2"/>
  <c r="E49" i="2"/>
  <c r="F46" i="2"/>
  <c r="D46" i="2"/>
  <c r="E46" i="2"/>
  <c r="C46" i="2"/>
  <c r="F45" i="2"/>
  <c r="E45" i="2"/>
  <c r="F44" i="2"/>
  <c r="E44" i="2"/>
  <c r="D39" i="2"/>
  <c r="E39" i="2"/>
  <c r="F39" i="2"/>
  <c r="C39" i="2"/>
  <c r="F38" i="2"/>
  <c r="E38" i="2"/>
  <c r="F37" i="2"/>
  <c r="E37" i="2"/>
  <c r="F36" i="2"/>
  <c r="E36" i="2"/>
  <c r="D31" i="2"/>
  <c r="E31" i="2"/>
  <c r="F31" i="2"/>
  <c r="C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18" i="2"/>
  <c r="E18" i="2"/>
  <c r="F17" i="2"/>
  <c r="E17" i="2"/>
  <c r="D16" i="2"/>
  <c r="D19" i="2"/>
  <c r="C16" i="2"/>
  <c r="C19" i="2"/>
  <c r="F15" i="2"/>
  <c r="E15" i="2"/>
  <c r="F14" i="2"/>
  <c r="E14" i="2"/>
  <c r="F13" i="2"/>
  <c r="E13" i="2"/>
  <c r="F12" i="2"/>
  <c r="E12" i="2"/>
  <c r="D73" i="1"/>
  <c r="E73" i="1"/>
  <c r="F73" i="1"/>
  <c r="C73" i="1"/>
  <c r="E72" i="1"/>
  <c r="F72" i="1"/>
  <c r="E71" i="1"/>
  <c r="F71" i="1"/>
  <c r="E70" i="1"/>
  <c r="F70" i="1"/>
  <c r="F67" i="1"/>
  <c r="E67" i="1"/>
  <c r="F64" i="1"/>
  <c r="E64" i="1"/>
  <c r="E63" i="1"/>
  <c r="F63" i="1"/>
  <c r="D61" i="1"/>
  <c r="D65" i="1"/>
  <c r="C61" i="1"/>
  <c r="C65" i="1"/>
  <c r="F60" i="1"/>
  <c r="E60" i="1"/>
  <c r="F59" i="1"/>
  <c r="E59" i="1"/>
  <c r="D56" i="1"/>
  <c r="D75" i="1"/>
  <c r="C56" i="1"/>
  <c r="C75" i="1"/>
  <c r="F55" i="1"/>
  <c r="E55" i="1"/>
  <c r="F54" i="1"/>
  <c r="E54" i="1"/>
  <c r="F53" i="1"/>
  <c r="E53" i="1"/>
  <c r="F52" i="1"/>
  <c r="E52" i="1"/>
  <c r="F51" i="1"/>
  <c r="E51" i="1"/>
  <c r="A51" i="1"/>
  <c r="A52" i="1"/>
  <c r="A53" i="1"/>
  <c r="A54" i="1"/>
  <c r="A55" i="1"/>
  <c r="E50" i="1"/>
  <c r="F50" i="1"/>
  <c r="A50" i="1"/>
  <c r="F49" i="1"/>
  <c r="E49" i="1"/>
  <c r="D41" i="1"/>
  <c r="E40" i="1"/>
  <c r="F40" i="1"/>
  <c r="D38" i="1"/>
  <c r="C38" i="1"/>
  <c r="E38" i="1"/>
  <c r="F37" i="1"/>
  <c r="E37" i="1"/>
  <c r="F36" i="1"/>
  <c r="E36" i="1"/>
  <c r="F33" i="1"/>
  <c r="E33" i="1"/>
  <c r="F32" i="1"/>
  <c r="E32" i="1"/>
  <c r="F31" i="1"/>
  <c r="E31" i="1"/>
  <c r="D29" i="1"/>
  <c r="E29" i="1"/>
  <c r="F29" i="1"/>
  <c r="C29" i="1"/>
  <c r="F28" i="1"/>
  <c r="E28" i="1"/>
  <c r="F27" i="1"/>
  <c r="E27" i="1"/>
  <c r="F26" i="1"/>
  <c r="E26" i="1"/>
  <c r="F25" i="1"/>
  <c r="E25" i="1"/>
  <c r="D22" i="1"/>
  <c r="D43" i="1"/>
  <c r="C22" i="1"/>
  <c r="E21" i="1"/>
  <c r="F21" i="1"/>
  <c r="F20" i="1"/>
  <c r="E20" i="1"/>
  <c r="E19" i="1"/>
  <c r="F19" i="1"/>
  <c r="F18" i="1"/>
  <c r="E18" i="1"/>
  <c r="E17" i="1"/>
  <c r="F17" i="1"/>
  <c r="E16" i="1"/>
  <c r="F16" i="1"/>
  <c r="E15" i="1"/>
  <c r="F15" i="1"/>
  <c r="E14" i="1"/>
  <c r="F14" i="1"/>
  <c r="E13" i="1"/>
  <c r="F13" i="1"/>
  <c r="D207" i="14"/>
  <c r="D138" i="14"/>
  <c r="D175" i="14"/>
  <c r="E60" i="14"/>
  <c r="D285" i="14"/>
  <c r="E227" i="14"/>
  <c r="D124" i="14"/>
  <c r="D200" i="14"/>
  <c r="D274" i="14"/>
  <c r="E31" i="14"/>
  <c r="F31" i="14"/>
  <c r="F19" i="9"/>
  <c r="C33" i="9"/>
  <c r="E173" i="14"/>
  <c r="F173" i="14"/>
  <c r="F121" i="7"/>
  <c r="F65" i="8"/>
  <c r="D33" i="9"/>
  <c r="E19" i="9"/>
  <c r="E21" i="10"/>
  <c r="E36" i="11"/>
  <c r="E38" i="11"/>
  <c r="E40" i="11"/>
  <c r="G33" i="11"/>
  <c r="G36" i="11"/>
  <c r="G38" i="11"/>
  <c r="G40" i="11"/>
  <c r="E122" i="7"/>
  <c r="F122" i="7"/>
  <c r="D75" i="8"/>
  <c r="E75" i="8"/>
  <c r="D24" i="10"/>
  <c r="D17" i="10"/>
  <c r="D28" i="10"/>
  <c r="D70" i="10"/>
  <c r="D72" i="10"/>
  <c r="D69" i="10"/>
  <c r="D36" i="11"/>
  <c r="D38" i="11"/>
  <c r="D40" i="11"/>
  <c r="F33" i="11"/>
  <c r="F36" i="11"/>
  <c r="F38" i="11"/>
  <c r="F40" i="11"/>
  <c r="F75" i="8"/>
  <c r="C193" i="14"/>
  <c r="C192" i="14"/>
  <c r="E155" i="14"/>
  <c r="F155" i="14"/>
  <c r="F158" i="14"/>
  <c r="C159" i="14"/>
  <c r="C181" i="14"/>
  <c r="F179" i="14"/>
  <c r="E239" i="14"/>
  <c r="F239" i="14"/>
  <c r="E33" i="15"/>
  <c r="C168" i="15"/>
  <c r="C145" i="15"/>
  <c r="D330" i="15"/>
  <c r="E330" i="15"/>
  <c r="E326" i="15"/>
  <c r="D208" i="14"/>
  <c r="D288" i="14"/>
  <c r="D286" i="14"/>
  <c r="E22" i="1"/>
  <c r="F22" i="1"/>
  <c r="E56" i="1"/>
  <c r="F56" i="1"/>
  <c r="E61" i="1"/>
  <c r="F61" i="1"/>
  <c r="E16" i="2"/>
  <c r="F16" i="2"/>
  <c r="E78" i="4"/>
  <c r="F78" i="4"/>
  <c r="E171" i="4"/>
  <c r="F171" i="4"/>
  <c r="D15" i="5"/>
  <c r="C43" i="5"/>
  <c r="D49" i="5"/>
  <c r="E53" i="5"/>
  <c r="D77" i="5"/>
  <c r="D71" i="5"/>
  <c r="E22" i="8"/>
  <c r="F22" i="8"/>
  <c r="E56" i="8"/>
  <c r="F56" i="8"/>
  <c r="E61" i="8"/>
  <c r="F61" i="8"/>
  <c r="E16" i="9"/>
  <c r="F16" i="9"/>
  <c r="C17" i="10"/>
  <c r="C28" i="10"/>
  <c r="D25" i="10"/>
  <c r="D27" i="10"/>
  <c r="D48" i="10"/>
  <c r="D42" i="10"/>
  <c r="D31" i="11"/>
  <c r="F31" i="11"/>
  <c r="C21" i="14"/>
  <c r="E29" i="14"/>
  <c r="F29" i="14"/>
  <c r="C32" i="14"/>
  <c r="E35" i="14"/>
  <c r="F35" i="14"/>
  <c r="E47" i="14"/>
  <c r="F47" i="14"/>
  <c r="E58" i="14"/>
  <c r="F58" i="14"/>
  <c r="C61" i="14"/>
  <c r="C77" i="14"/>
  <c r="E77" i="14"/>
  <c r="C89" i="14"/>
  <c r="E101" i="14"/>
  <c r="F101" i="14"/>
  <c r="E124" i="14"/>
  <c r="F124" i="14"/>
  <c r="E135" i="14"/>
  <c r="F135" i="14"/>
  <c r="F145" i="14"/>
  <c r="E55" i="15"/>
  <c r="E71" i="15"/>
  <c r="D76" i="15"/>
  <c r="E76" i="15"/>
  <c r="D252" i="15"/>
  <c r="E144" i="14"/>
  <c r="F144" i="14"/>
  <c r="C146" i="14"/>
  <c r="D254" i="14"/>
  <c r="E214" i="14"/>
  <c r="C49" i="5"/>
  <c r="E57" i="5"/>
  <c r="E62" i="5"/>
  <c r="D41" i="8"/>
  <c r="E41" i="8"/>
  <c r="F41" i="8"/>
  <c r="C20" i="10"/>
  <c r="F52" i="14"/>
  <c r="F60" i="14"/>
  <c r="F66" i="14"/>
  <c r="C68" i="14"/>
  <c r="F76" i="14"/>
  <c r="F88" i="14"/>
  <c r="F95" i="14"/>
  <c r="F109" i="14"/>
  <c r="C111" i="14"/>
  <c r="F120" i="14"/>
  <c r="F129" i="14"/>
  <c r="F165" i="14"/>
  <c r="E229" i="15"/>
  <c r="C252" i="15"/>
  <c r="C253" i="15"/>
  <c r="E164" i="14"/>
  <c r="F164" i="14"/>
  <c r="E285" i="14"/>
  <c r="F285" i="14"/>
  <c r="D41" i="17"/>
  <c r="E39" i="17"/>
  <c r="C46" i="19"/>
  <c r="C40" i="19"/>
  <c r="C36" i="19"/>
  <c r="C30" i="19"/>
  <c r="C54" i="19"/>
  <c r="D139" i="14"/>
  <c r="D209" i="14"/>
  <c r="D104" i="14"/>
  <c r="D174" i="14"/>
  <c r="D193" i="14"/>
  <c r="E41" i="3"/>
  <c r="F41" i="3"/>
  <c r="E84" i="3"/>
  <c r="F84" i="3"/>
  <c r="E43" i="5"/>
  <c r="C53" i="5"/>
  <c r="E198" i="6"/>
  <c r="F198" i="6"/>
  <c r="E199" i="6"/>
  <c r="F199" i="6"/>
  <c r="E112" i="7"/>
  <c r="F112" i="7"/>
  <c r="E113" i="7"/>
  <c r="F113" i="7"/>
  <c r="G17" i="11"/>
  <c r="C48" i="14"/>
  <c r="C102" i="14"/>
  <c r="F123" i="14"/>
  <c r="E189" i="15"/>
  <c r="E240" i="15"/>
  <c r="C303" i="15"/>
  <c r="C306" i="15"/>
  <c r="C310" i="15"/>
  <c r="C282" i="14"/>
  <c r="C266" i="14"/>
  <c r="C265" i="14"/>
  <c r="E172" i="14"/>
  <c r="F172" i="14"/>
  <c r="C216" i="14"/>
  <c r="F214" i="14"/>
  <c r="E22" i="15"/>
  <c r="D284" i="15"/>
  <c r="E284" i="15"/>
  <c r="E156" i="15"/>
  <c r="D157" i="15"/>
  <c r="E157" i="15"/>
  <c r="E260" i="15"/>
  <c r="E109" i="19"/>
  <c r="E108" i="19"/>
  <c r="D176" i="14"/>
  <c r="D90" i="14"/>
  <c r="D160" i="14"/>
  <c r="D125" i="14"/>
  <c r="D300" i="14"/>
  <c r="E264" i="14"/>
  <c r="F264" i="14"/>
  <c r="C37" i="14"/>
  <c r="C77" i="15"/>
  <c r="E181" i="14"/>
  <c r="E188" i="14"/>
  <c r="C254" i="14"/>
  <c r="C261" i="14"/>
  <c r="C269" i="14"/>
  <c r="C270" i="14"/>
  <c r="C283" i="14"/>
  <c r="E283" i="14"/>
  <c r="E294" i="14"/>
  <c r="F294" i="14"/>
  <c r="E298" i="14"/>
  <c r="F298" i="14"/>
  <c r="E311" i="14"/>
  <c r="F311" i="14"/>
  <c r="E32" i="15"/>
  <c r="C44" i="15"/>
  <c r="E54" i="15"/>
  <c r="E60" i="15"/>
  <c r="E70" i="15"/>
  <c r="E139" i="15"/>
  <c r="D175" i="15"/>
  <c r="E175" i="15"/>
  <c r="E188" i="15"/>
  <c r="D217" i="15"/>
  <c r="E218" i="15"/>
  <c r="E233" i="15"/>
  <c r="D239" i="15"/>
  <c r="E239" i="15"/>
  <c r="E251" i="15"/>
  <c r="D261" i="15"/>
  <c r="D283" i="15"/>
  <c r="E283" i="15"/>
  <c r="D289" i="15"/>
  <c r="D302" i="15"/>
  <c r="C22" i="16"/>
  <c r="C20" i="17"/>
  <c r="E25" i="17"/>
  <c r="F25" i="17"/>
  <c r="C40" i="17"/>
  <c r="C41" i="17"/>
  <c r="C46" i="17"/>
  <c r="C33" i="19"/>
  <c r="D102" i="19"/>
  <c r="D103" i="19"/>
  <c r="E111" i="19"/>
  <c r="D267" i="14"/>
  <c r="D277" i="14"/>
  <c r="D306" i="14"/>
  <c r="E306" i="14"/>
  <c r="C200" i="14"/>
  <c r="C206" i="14"/>
  <c r="C255" i="14"/>
  <c r="C262" i="14"/>
  <c r="C274" i="14"/>
  <c r="C280" i="14"/>
  <c r="D222" i="15"/>
  <c r="D223" i="15"/>
  <c r="C261" i="15"/>
  <c r="C289" i="15"/>
  <c r="C64" i="16"/>
  <c r="C65" i="16"/>
  <c r="C114" i="16"/>
  <c r="C116" i="16"/>
  <c r="C119" i="16"/>
  <c r="C123" i="16"/>
  <c r="E30" i="19"/>
  <c r="C34" i="19"/>
  <c r="E36" i="19"/>
  <c r="E40" i="19"/>
  <c r="E46" i="19"/>
  <c r="C77" i="19"/>
  <c r="D105" i="14"/>
  <c r="D206" i="14"/>
  <c r="E206" i="14"/>
  <c r="F206" i="14"/>
  <c r="D210" i="14"/>
  <c r="D262" i="14"/>
  <c r="D280" i="14"/>
  <c r="E198" i="14"/>
  <c r="F198" i="14"/>
  <c r="E204" i="14"/>
  <c r="F204" i="14"/>
  <c r="F227" i="14"/>
  <c r="F230" i="14"/>
  <c r="C277" i="14"/>
  <c r="F297" i="14"/>
  <c r="C306" i="14"/>
  <c r="F307" i="14"/>
  <c r="D43" i="15"/>
  <c r="D65" i="15"/>
  <c r="D144" i="15"/>
  <c r="C222" i="15"/>
  <c r="E231" i="15"/>
  <c r="D245" i="15"/>
  <c r="E245" i="15"/>
  <c r="E324" i="15"/>
  <c r="E19" i="17"/>
  <c r="F19" i="17"/>
  <c r="E43" i="17"/>
  <c r="E46" i="17"/>
  <c r="F46" i="17"/>
  <c r="C22" i="19"/>
  <c r="D23" i="19"/>
  <c r="E33" i="19"/>
  <c r="E101" i="19"/>
  <c r="E103" i="19"/>
  <c r="D108" i="19"/>
  <c r="D62" i="14"/>
  <c r="D140" i="14"/>
  <c r="D199" i="14"/>
  <c r="E199" i="14"/>
  <c r="F199" i="14"/>
  <c r="D205" i="14"/>
  <c r="E205" i="14"/>
  <c r="F205" i="14"/>
  <c r="D215" i="14"/>
  <c r="D216" i="14"/>
  <c r="E216" i="14"/>
  <c r="F216" i="14"/>
  <c r="D261" i="14"/>
  <c r="D268" i="14"/>
  <c r="E268" i="14"/>
  <c r="F268" i="14"/>
  <c r="F188" i="14"/>
  <c r="C190" i="14"/>
  <c r="E191" i="14"/>
  <c r="F191" i="14"/>
  <c r="F237" i="14"/>
  <c r="C65" i="15"/>
  <c r="C66" i="15"/>
  <c r="D21" i="14"/>
  <c r="D196" i="14"/>
  <c r="D190" i="14"/>
  <c r="E190" i="14"/>
  <c r="E261" i="14"/>
  <c r="D263" i="14"/>
  <c r="C272" i="14"/>
  <c r="D194" i="14"/>
  <c r="E193" i="14"/>
  <c r="E146" i="14"/>
  <c r="F146" i="14"/>
  <c r="C108" i="19"/>
  <c r="C109" i="19"/>
  <c r="E274" i="14"/>
  <c r="F274" i="14"/>
  <c r="C160" i="14"/>
  <c r="C125" i="14"/>
  <c r="C90" i="14"/>
  <c r="E48" i="14"/>
  <c r="F48" i="14"/>
  <c r="C56" i="19"/>
  <c r="C48" i="19"/>
  <c r="C38" i="19"/>
  <c r="C113" i="19"/>
  <c r="F111" i="14"/>
  <c r="E111" i="14"/>
  <c r="E89" i="14"/>
  <c r="F89" i="14"/>
  <c r="C161" i="14"/>
  <c r="C126" i="14"/>
  <c r="C49" i="14"/>
  <c r="C91" i="14"/>
  <c r="C22" i="10"/>
  <c r="C70" i="10"/>
  <c r="C72" i="10"/>
  <c r="C69" i="10"/>
  <c r="E33" i="9"/>
  <c r="F33" i="9"/>
  <c r="D41" i="9"/>
  <c r="C41" i="9"/>
  <c r="E269" i="14"/>
  <c r="D253" i="15"/>
  <c r="D254" i="15"/>
  <c r="E253" i="15"/>
  <c r="E192" i="14"/>
  <c r="F192" i="14"/>
  <c r="D282" i="14"/>
  <c r="E282" i="14"/>
  <c r="F282" i="14"/>
  <c r="F181" i="14"/>
  <c r="C126" i="15"/>
  <c r="C122" i="15"/>
  <c r="C115" i="15"/>
  <c r="C111" i="15"/>
  <c r="C125" i="15"/>
  <c r="C121" i="15"/>
  <c r="C114" i="15"/>
  <c r="C110" i="15"/>
  <c r="C116" i="15"/>
  <c r="C124" i="15"/>
  <c r="C113" i="15"/>
  <c r="C109" i="15"/>
  <c r="C127" i="15"/>
  <c r="C123" i="15"/>
  <c r="C112" i="15"/>
  <c r="C45" i="19"/>
  <c r="C39" i="19"/>
  <c r="C35" i="19"/>
  <c r="C29" i="19"/>
  <c r="C110" i="19"/>
  <c r="C53" i="19"/>
  <c r="D259" i="15"/>
  <c r="E43" i="15"/>
  <c r="C284" i="14"/>
  <c r="C287" i="14"/>
  <c r="D272" i="14"/>
  <c r="E272" i="14"/>
  <c r="E262" i="14"/>
  <c r="F262" i="14"/>
  <c r="E48" i="19"/>
  <c r="E38" i="19"/>
  <c r="E113" i="19"/>
  <c r="E56" i="19"/>
  <c r="E200" i="14"/>
  <c r="F200" i="14"/>
  <c r="C286" i="14"/>
  <c r="F283" i="14"/>
  <c r="D126" i="14"/>
  <c r="D91" i="14"/>
  <c r="D49" i="14"/>
  <c r="D161" i="14"/>
  <c r="E21" i="14"/>
  <c r="F21" i="14"/>
  <c r="D46" i="19"/>
  <c r="D40" i="19"/>
  <c r="D36" i="19"/>
  <c r="D30" i="19"/>
  <c r="D111" i="19"/>
  <c r="D54" i="19"/>
  <c r="D66" i="15"/>
  <c r="E65" i="15"/>
  <c r="D106" i="14"/>
  <c r="C281" i="14"/>
  <c r="D270" i="14"/>
  <c r="E267" i="14"/>
  <c r="F267" i="14"/>
  <c r="C99" i="15"/>
  <c r="C95" i="15"/>
  <c r="C88" i="15"/>
  <c r="C84" i="15"/>
  <c r="C258" i="15"/>
  <c r="C98" i="15"/>
  <c r="C87" i="15"/>
  <c r="C83" i="15"/>
  <c r="C101" i="15"/>
  <c r="C97" i="15"/>
  <c r="C86" i="15"/>
  <c r="C100" i="15"/>
  <c r="C96" i="15"/>
  <c r="C89" i="15"/>
  <c r="C85" i="15"/>
  <c r="E37" i="14"/>
  <c r="F37" i="14"/>
  <c r="C103" i="14"/>
  <c r="E102" i="14"/>
  <c r="F102" i="14"/>
  <c r="E254" i="14"/>
  <c r="F254" i="14"/>
  <c r="D22" i="10"/>
  <c r="D21" i="10"/>
  <c r="D20" i="10"/>
  <c r="C246" i="15"/>
  <c r="E125" i="14"/>
  <c r="F190" i="14"/>
  <c r="D266" i="14"/>
  <c r="D294" i="15"/>
  <c r="E289" i="15"/>
  <c r="D77" i="15"/>
  <c r="F43" i="17"/>
  <c r="E90" i="14"/>
  <c r="C111" i="19"/>
  <c r="E20" i="17"/>
  <c r="F20" i="17"/>
  <c r="C223" i="15"/>
  <c r="C247" i="15"/>
  <c r="D141" i="14"/>
  <c r="D211" i="14"/>
  <c r="E68" i="14"/>
  <c r="F68" i="14"/>
  <c r="C169" i="15"/>
  <c r="E159" i="14"/>
  <c r="F159" i="14"/>
  <c r="E215" i="14"/>
  <c r="F215" i="14"/>
  <c r="D255" i="14"/>
  <c r="E255" i="14"/>
  <c r="F255" i="14"/>
  <c r="D63" i="14"/>
  <c r="D145" i="15"/>
  <c r="E144" i="15"/>
  <c r="D168" i="15"/>
  <c r="E168" i="15"/>
  <c r="D281" i="14"/>
  <c r="E281" i="14"/>
  <c r="E280" i="14"/>
  <c r="F280" i="14"/>
  <c r="D246" i="15"/>
  <c r="E246" i="15"/>
  <c r="E222" i="15"/>
  <c r="D287" i="14"/>
  <c r="D289" i="14"/>
  <c r="D279" i="14"/>
  <c r="D284" i="14"/>
  <c r="E284" i="14"/>
  <c r="E277" i="14"/>
  <c r="F277" i="14"/>
  <c r="E302" i="15"/>
  <c r="D303" i="15"/>
  <c r="D306" i="15"/>
  <c r="E217" i="15"/>
  <c r="D241" i="15"/>
  <c r="C268" i="14"/>
  <c r="C271" i="14"/>
  <c r="C263" i="14"/>
  <c r="E263" i="14"/>
  <c r="F263" i="14"/>
  <c r="F261" i="14"/>
  <c r="C174" i="14"/>
  <c r="E174" i="14"/>
  <c r="F174" i="14"/>
  <c r="E61" i="14"/>
  <c r="F61" i="14"/>
  <c r="C104" i="14"/>
  <c r="C175" i="14"/>
  <c r="E32" i="14"/>
  <c r="F32" i="14"/>
  <c r="C105" i="14"/>
  <c r="E105" i="14"/>
  <c r="C62" i="14"/>
  <c r="D24" i="5"/>
  <c r="D20" i="5"/>
  <c r="D17" i="5"/>
  <c r="C194" i="14"/>
  <c r="C196" i="14"/>
  <c r="C195" i="14"/>
  <c r="F193" i="14"/>
  <c r="E261" i="15"/>
  <c r="F269" i="14"/>
  <c r="D44" i="15"/>
  <c r="E40" i="17"/>
  <c r="F40" i="17"/>
  <c r="F39" i="17"/>
  <c r="E252" i="15"/>
  <c r="E286" i="14"/>
  <c r="F286" i="14"/>
  <c r="C300" i="14"/>
  <c r="D43" i="8"/>
  <c r="E43" i="8"/>
  <c r="F43" i="8"/>
  <c r="E287" i="14"/>
  <c r="F287" i="14"/>
  <c r="D291" i="14"/>
  <c r="D322" i="14"/>
  <c r="C273" i="14"/>
  <c r="E303" i="15"/>
  <c r="E266" i="14"/>
  <c r="F266" i="14"/>
  <c r="D265" i="14"/>
  <c r="D50" i="14"/>
  <c r="E49" i="14"/>
  <c r="F49" i="14"/>
  <c r="C162" i="14"/>
  <c r="F284" i="14"/>
  <c r="E145" i="15"/>
  <c r="D169" i="15"/>
  <c r="E169" i="15"/>
  <c r="D100" i="15"/>
  <c r="E100" i="15"/>
  <c r="D96" i="15"/>
  <c r="D89" i="15"/>
  <c r="E89" i="15"/>
  <c r="D85" i="15"/>
  <c r="E85" i="15"/>
  <c r="D99" i="15"/>
  <c r="E99" i="15"/>
  <c r="D95" i="15"/>
  <c r="D88" i="15"/>
  <c r="E88" i="15"/>
  <c r="D84" i="15"/>
  <c r="E44" i="15"/>
  <c r="D258" i="15"/>
  <c r="D98" i="15"/>
  <c r="E98" i="15"/>
  <c r="D87" i="15"/>
  <c r="E87" i="15"/>
  <c r="D83" i="15"/>
  <c r="D101" i="15"/>
  <c r="E101" i="15"/>
  <c r="D97" i="15"/>
  <c r="E97" i="15"/>
  <c r="D86" i="15"/>
  <c r="E86" i="15"/>
  <c r="D112" i="5"/>
  <c r="D111" i="5"/>
  <c r="D28" i="5"/>
  <c r="C176" i="14"/>
  <c r="E175" i="14"/>
  <c r="F175" i="14"/>
  <c r="D127" i="15"/>
  <c r="E127" i="15"/>
  <c r="D123" i="15"/>
  <c r="E123" i="15"/>
  <c r="D112" i="15"/>
  <c r="E112" i="15"/>
  <c r="E77" i="15"/>
  <c r="D126" i="15"/>
  <c r="E126" i="15"/>
  <c r="D122" i="15"/>
  <c r="D115" i="15"/>
  <c r="E115" i="15"/>
  <c r="D111" i="15"/>
  <c r="E111" i="15"/>
  <c r="D125" i="15"/>
  <c r="E125" i="15"/>
  <c r="D121" i="15"/>
  <c r="D114" i="15"/>
  <c r="E114" i="15"/>
  <c r="D110" i="15"/>
  <c r="D124" i="15"/>
  <c r="E124" i="15"/>
  <c r="D113" i="15"/>
  <c r="E113" i="15"/>
  <c r="D109" i="15"/>
  <c r="E103" i="14"/>
  <c r="F103" i="14"/>
  <c r="C127" i="14"/>
  <c r="C90" i="15"/>
  <c r="C91" i="15"/>
  <c r="C128" i="15"/>
  <c r="C129" i="15"/>
  <c r="F125" i="14"/>
  <c r="F272" i="14"/>
  <c r="C63" i="14"/>
  <c r="E63" i="14"/>
  <c r="F63" i="14"/>
  <c r="D113" i="19"/>
  <c r="D56" i="19"/>
  <c r="D48" i="19"/>
  <c r="D38" i="19"/>
  <c r="D92" i="14"/>
  <c r="D324" i="14"/>
  <c r="E91" i="14"/>
  <c r="F91" i="14"/>
  <c r="C112" i="19"/>
  <c r="C55" i="19"/>
  <c r="C47" i="19"/>
  <c r="C37" i="19"/>
  <c r="C48" i="9"/>
  <c r="C92" i="14"/>
  <c r="C113" i="14"/>
  <c r="E194" i="14"/>
  <c r="D195" i="14"/>
  <c r="E195" i="14"/>
  <c r="F195" i="14"/>
  <c r="F105" i="14"/>
  <c r="C106" i="14"/>
  <c r="F106" i="14"/>
  <c r="D295" i="15"/>
  <c r="D162" i="14"/>
  <c r="E161" i="14"/>
  <c r="F161" i="14"/>
  <c r="D127" i="14"/>
  <c r="D148" i="14"/>
  <c r="E126" i="14"/>
  <c r="F126" i="14"/>
  <c r="D263" i="15"/>
  <c r="D48" i="9"/>
  <c r="E48" i="9"/>
  <c r="F48" i="9"/>
  <c r="E41" i="9"/>
  <c r="F41" i="9"/>
  <c r="C50" i="14"/>
  <c r="C70" i="14"/>
  <c r="E300" i="14"/>
  <c r="F300" i="14"/>
  <c r="F281" i="14"/>
  <c r="F194" i="14"/>
  <c r="E62" i="14"/>
  <c r="F62" i="14"/>
  <c r="E104" i="14"/>
  <c r="F104" i="14"/>
  <c r="C102" i="15"/>
  <c r="C103" i="15"/>
  <c r="C117" i="15"/>
  <c r="C131" i="15"/>
  <c r="E160" i="14"/>
  <c r="F160" i="14"/>
  <c r="F90" i="14"/>
  <c r="C324" i="14"/>
  <c r="D99" i="5"/>
  <c r="D101" i="5"/>
  <c r="D98" i="5"/>
  <c r="D22" i="5"/>
  <c r="E84" i="15"/>
  <c r="D90" i="15"/>
  <c r="E90" i="15"/>
  <c r="C197" i="14"/>
  <c r="E121" i="15"/>
  <c r="E122" i="15"/>
  <c r="D128" i="15"/>
  <c r="D129" i="15"/>
  <c r="E128" i="15"/>
  <c r="D91" i="15"/>
  <c r="E83" i="15"/>
  <c r="D305" i="14"/>
  <c r="E106" i="14"/>
  <c r="D113" i="14"/>
  <c r="E113" i="14"/>
  <c r="E92" i="14"/>
  <c r="D183" i="14"/>
  <c r="E183" i="14"/>
  <c r="F183" i="14"/>
  <c r="D323" i="14"/>
  <c r="E162" i="14"/>
  <c r="F162" i="14"/>
  <c r="E109" i="15"/>
  <c r="E176" i="14"/>
  <c r="F176" i="14"/>
  <c r="D264" i="15"/>
  <c r="E258" i="15"/>
  <c r="E95" i="15"/>
  <c r="E96" i="15"/>
  <c r="D102" i="15"/>
  <c r="E102" i="15"/>
  <c r="C323" i="14"/>
  <c r="F323" i="14"/>
  <c r="C183" i="14"/>
  <c r="D116" i="15"/>
  <c r="E116" i="15"/>
  <c r="E110" i="15"/>
  <c r="D70" i="14"/>
  <c r="E70" i="14"/>
  <c r="E50" i="14"/>
  <c r="E323" i="14"/>
  <c r="D117" i="15"/>
  <c r="D266" i="15"/>
  <c r="D267" i="15"/>
  <c r="D309" i="14"/>
  <c r="D131" i="15"/>
  <c r="E131" i="15"/>
  <c r="E129" i="15"/>
  <c r="F70" i="14"/>
  <c r="F113" i="14"/>
  <c r="E324" i="14"/>
  <c r="F324" i="14"/>
  <c r="D325" i="14"/>
  <c r="D310" i="15"/>
  <c r="E310" i="15"/>
  <c r="E306" i="15"/>
  <c r="C295" i="15"/>
  <c r="E295" i="15"/>
  <c r="E66" i="15"/>
  <c r="D247" i="15"/>
  <c r="E247" i="15"/>
  <c r="E223" i="15"/>
  <c r="D269" i="15"/>
  <c r="D268" i="15"/>
  <c r="C105" i="15"/>
  <c r="E91" i="15"/>
  <c r="E196" i="14"/>
  <c r="F196" i="14"/>
  <c r="D197" i="14"/>
  <c r="E197" i="14"/>
  <c r="F197" i="14"/>
  <c r="F270" i="14"/>
  <c r="E270" i="14"/>
  <c r="F265" i="14"/>
  <c r="E265" i="14"/>
  <c r="D103" i="15"/>
  <c r="D33" i="2"/>
  <c r="E19" i="2"/>
  <c r="E137" i="5"/>
  <c r="E136" i="5"/>
  <c r="E135" i="5"/>
  <c r="E138" i="5"/>
  <c r="E140" i="5"/>
  <c r="E139" i="5"/>
  <c r="D140" i="5"/>
  <c r="D139" i="5"/>
  <c r="D138" i="5"/>
  <c r="D137" i="5"/>
  <c r="D136" i="5"/>
  <c r="D135" i="5"/>
  <c r="D141" i="5"/>
  <c r="C153" i="5"/>
  <c r="C152" i="5"/>
  <c r="C154" i="5"/>
  <c r="C157" i="5"/>
  <c r="C156" i="5"/>
  <c r="C155" i="5"/>
  <c r="F208" i="6"/>
  <c r="E117" i="15"/>
  <c r="F50" i="14"/>
  <c r="E127" i="14"/>
  <c r="F127" i="14"/>
  <c r="F92" i="14"/>
  <c r="E41" i="17"/>
  <c r="F41" i="17"/>
  <c r="C294" i="15"/>
  <c r="E294" i="15"/>
  <c r="D271" i="14"/>
  <c r="C254" i="15"/>
  <c r="E254" i="15"/>
  <c r="E75" i="1"/>
  <c r="F75" i="1"/>
  <c r="E65" i="1"/>
  <c r="F65" i="1"/>
  <c r="F19" i="2"/>
  <c r="C33" i="2"/>
  <c r="F52" i="3"/>
  <c r="F95" i="3"/>
  <c r="C21" i="5"/>
  <c r="E21" i="5"/>
  <c r="C140" i="5"/>
  <c r="C139" i="5"/>
  <c r="C138" i="5"/>
  <c r="C136" i="5"/>
  <c r="C135" i="5"/>
  <c r="C137" i="5"/>
  <c r="D154" i="5"/>
  <c r="D153" i="5"/>
  <c r="D152" i="5"/>
  <c r="D157" i="5"/>
  <c r="D156" i="5"/>
  <c r="D155" i="5"/>
  <c r="E155" i="5"/>
  <c r="E157" i="5"/>
  <c r="E156" i="5"/>
  <c r="E154" i="5"/>
  <c r="E153" i="5"/>
  <c r="E152" i="5"/>
  <c r="E158" i="5"/>
  <c r="E207" i="6"/>
  <c r="F207" i="6"/>
  <c r="C41" i="1"/>
  <c r="F38" i="1"/>
  <c r="D83" i="4"/>
  <c r="E83" i="4"/>
  <c r="F83" i="4"/>
  <c r="E109" i="4"/>
  <c r="F109" i="4"/>
  <c r="E118" i="4"/>
  <c r="F118" i="4"/>
  <c r="E155" i="4"/>
  <c r="F155" i="4"/>
  <c r="C176" i="4"/>
  <c r="D53" i="5"/>
  <c r="E77" i="5"/>
  <c r="E71" i="5"/>
  <c r="E200" i="6"/>
  <c r="F200" i="6"/>
  <c r="E201" i="6"/>
  <c r="F201" i="6"/>
  <c r="E202" i="6"/>
  <c r="F202" i="6"/>
  <c r="E203" i="6"/>
  <c r="F203" i="6"/>
  <c r="C15" i="5"/>
  <c r="E15" i="5"/>
  <c r="D57" i="5"/>
  <c r="D62" i="5"/>
  <c r="E204" i="6"/>
  <c r="F204" i="6"/>
  <c r="F205" i="6"/>
  <c r="E206" i="6"/>
  <c r="G31" i="11"/>
  <c r="E23" i="7"/>
  <c r="F23" i="7"/>
  <c r="E24" i="7"/>
  <c r="F24" i="7"/>
  <c r="E35" i="7"/>
  <c r="F35" i="7"/>
  <c r="E36" i="7"/>
  <c r="F36" i="7"/>
  <c r="E59" i="7"/>
  <c r="F59" i="7"/>
  <c r="E60" i="7"/>
  <c r="F60" i="7"/>
  <c r="E107" i="7"/>
  <c r="F107" i="7"/>
  <c r="E108" i="7"/>
  <c r="F108" i="7"/>
  <c r="E29" i="8"/>
  <c r="F29" i="8"/>
  <c r="E15" i="10"/>
  <c r="E48" i="10"/>
  <c r="E42" i="10"/>
  <c r="E16" i="12"/>
  <c r="F16" i="12"/>
  <c r="E23" i="12"/>
  <c r="F23" i="12"/>
  <c r="E30" i="12"/>
  <c r="F30" i="12"/>
  <c r="E65" i="12"/>
  <c r="F65" i="12"/>
  <c r="E70" i="12"/>
  <c r="F70" i="12"/>
  <c r="E84" i="12"/>
  <c r="F84" i="12"/>
  <c r="E92" i="12"/>
  <c r="F92" i="12"/>
  <c r="E99" i="12"/>
  <c r="F99" i="12"/>
  <c r="E13" i="13"/>
  <c r="F13" i="13"/>
  <c r="E17" i="13"/>
  <c r="F17" i="13"/>
  <c r="E21" i="13"/>
  <c r="F21" i="13"/>
  <c r="E17" i="14"/>
  <c r="F17" i="14"/>
  <c r="F85" i="14"/>
  <c r="F180" i="14"/>
  <c r="C259" i="15"/>
  <c r="E75" i="12"/>
  <c r="F75" i="12"/>
  <c r="F24" i="14"/>
  <c r="E53" i="14"/>
  <c r="F53" i="14"/>
  <c r="E67" i="14"/>
  <c r="F67" i="14"/>
  <c r="F295" i="14"/>
  <c r="E163" i="15"/>
  <c r="E136" i="14"/>
  <c r="F136" i="14"/>
  <c r="C137" i="14"/>
  <c r="E170" i="14"/>
  <c r="F170" i="14"/>
  <c r="E180" i="14"/>
  <c r="E189" i="14"/>
  <c r="E223" i="14"/>
  <c r="F223" i="14"/>
  <c r="E250" i="14"/>
  <c r="F250" i="14"/>
  <c r="E295" i="14"/>
  <c r="C210" i="15"/>
  <c r="D210" i="15"/>
  <c r="C241" i="15"/>
  <c r="E241" i="15"/>
  <c r="C278" i="14"/>
  <c r="F189" i="14"/>
  <c r="C290" i="14"/>
  <c r="E205" i="15"/>
  <c r="E243" i="15"/>
  <c r="E219" i="15"/>
  <c r="D244" i="15"/>
  <c r="E244" i="15"/>
  <c r="E220" i="15"/>
  <c r="D316" i="15"/>
  <c r="E36" i="17"/>
  <c r="F36" i="17"/>
  <c r="D33" i="19"/>
  <c r="E34" i="19"/>
  <c r="D22" i="19"/>
  <c r="E22" i="19"/>
  <c r="D53" i="19"/>
  <c r="D29" i="19"/>
  <c r="D110" i="19"/>
  <c r="D35" i="19"/>
  <c r="D39" i="19"/>
  <c r="D45" i="19"/>
  <c r="D320" i="15"/>
  <c r="E320" i="15"/>
  <c r="E316" i="15"/>
  <c r="E290" i="14"/>
  <c r="F290" i="14"/>
  <c r="E278" i="14"/>
  <c r="F278" i="14"/>
  <c r="C288" i="14"/>
  <c r="C279" i="14"/>
  <c r="E210" i="15"/>
  <c r="D211" i="15"/>
  <c r="D234" i="15"/>
  <c r="D180" i="15"/>
  <c r="C207" i="14"/>
  <c r="C138" i="14"/>
  <c r="F137" i="14"/>
  <c r="E137" i="14"/>
  <c r="E24" i="10"/>
  <c r="E20" i="10"/>
  <c r="E17" i="10"/>
  <c r="E28" i="10"/>
  <c r="C24" i="5"/>
  <c r="C20" i="5"/>
  <c r="C17" i="5"/>
  <c r="D158" i="5"/>
  <c r="C141" i="5"/>
  <c r="C41" i="2"/>
  <c r="D273" i="14"/>
  <c r="E273" i="14"/>
  <c r="F273" i="14"/>
  <c r="E271" i="14"/>
  <c r="F271" i="14"/>
  <c r="D304" i="14"/>
  <c r="E141" i="5"/>
  <c r="E33" i="2"/>
  <c r="F33" i="2"/>
  <c r="D41" i="2"/>
  <c r="E110" i="19"/>
  <c r="E39" i="19"/>
  <c r="E53" i="19"/>
  <c r="E29" i="19"/>
  <c r="E35" i="19"/>
  <c r="E45" i="19"/>
  <c r="C234" i="15"/>
  <c r="C180" i="15"/>
  <c r="C211" i="15"/>
  <c r="C263" i="15"/>
  <c r="E259" i="15"/>
  <c r="E24" i="5"/>
  <c r="E20" i="5"/>
  <c r="E17" i="5"/>
  <c r="F176" i="4"/>
  <c r="E41" i="1"/>
  <c r="F41" i="1"/>
  <c r="C43" i="1"/>
  <c r="C158" i="5"/>
  <c r="E176" i="4"/>
  <c r="E103" i="15"/>
  <c r="D105" i="15"/>
  <c r="E105" i="15"/>
  <c r="D271" i="15"/>
  <c r="E43" i="1"/>
  <c r="F43" i="1"/>
  <c r="E112" i="5"/>
  <c r="E111" i="5"/>
  <c r="E28" i="5"/>
  <c r="C235" i="15"/>
  <c r="C181" i="15"/>
  <c r="D48" i="2"/>
  <c r="E41" i="2"/>
  <c r="C112" i="5"/>
  <c r="C111" i="5"/>
  <c r="C28" i="5"/>
  <c r="E70" i="10"/>
  <c r="E72" i="10"/>
  <c r="E69" i="10"/>
  <c r="E22" i="10"/>
  <c r="F138" i="14"/>
  <c r="E138" i="14"/>
  <c r="C139" i="14"/>
  <c r="C140" i="14"/>
  <c r="E180" i="15"/>
  <c r="D235" i="15"/>
  <c r="E235" i="15"/>
  <c r="E211" i="15"/>
  <c r="D181" i="15"/>
  <c r="E181" i="15"/>
  <c r="F279" i="14"/>
  <c r="E279" i="14"/>
  <c r="D47" i="19"/>
  <c r="D112" i="19"/>
  <c r="D37" i="19"/>
  <c r="D55" i="19"/>
  <c r="C264" i="15"/>
  <c r="E263" i="15"/>
  <c r="E37" i="19"/>
  <c r="E55" i="19"/>
  <c r="E47" i="19"/>
  <c r="E112" i="19"/>
  <c r="E304" i="14"/>
  <c r="F304" i="14"/>
  <c r="D310" i="14"/>
  <c r="F41" i="2"/>
  <c r="C48" i="2"/>
  <c r="E207" i="14"/>
  <c r="F207" i="14"/>
  <c r="C208" i="14"/>
  <c r="E234" i="15"/>
  <c r="C289" i="14"/>
  <c r="E288" i="14"/>
  <c r="F288" i="14"/>
  <c r="C291" i="14"/>
  <c r="E289" i="14"/>
  <c r="F289" i="14"/>
  <c r="D312" i="14"/>
  <c r="C266" i="15"/>
  <c r="E264" i="15"/>
  <c r="E139" i="14"/>
  <c r="F139" i="14"/>
  <c r="E48" i="2"/>
  <c r="F48" i="2"/>
  <c r="E291" i="14"/>
  <c r="F291" i="14"/>
  <c r="C305" i="14"/>
  <c r="E208" i="14"/>
  <c r="F208" i="14"/>
  <c r="C209" i="14"/>
  <c r="C210" i="14"/>
  <c r="E140" i="14"/>
  <c r="C141" i="14"/>
  <c r="F140" i="14"/>
  <c r="C22" i="5"/>
  <c r="C99" i="5"/>
  <c r="C101" i="5"/>
  <c r="C98" i="5"/>
  <c r="E99" i="5"/>
  <c r="E101" i="5"/>
  <c r="E98" i="5"/>
  <c r="E22" i="5"/>
  <c r="E210" i="14"/>
  <c r="F210" i="14"/>
  <c r="C267" i="15"/>
  <c r="E266" i="15"/>
  <c r="D313" i="14"/>
  <c r="E141" i="14"/>
  <c r="C148" i="14"/>
  <c r="C322" i="14"/>
  <c r="F141" i="14"/>
  <c r="C211" i="14"/>
  <c r="E209" i="14"/>
  <c r="F209" i="14"/>
  <c r="C309" i="14"/>
  <c r="E305" i="14"/>
  <c r="F305" i="14"/>
  <c r="E309" i="14"/>
  <c r="C310" i="14"/>
  <c r="F309" i="14"/>
  <c r="E148" i="14"/>
  <c r="F148" i="14"/>
  <c r="D315" i="14"/>
  <c r="D314" i="14"/>
  <c r="D256" i="14"/>
  <c r="D251" i="14"/>
  <c r="F211" i="14"/>
  <c r="E211" i="14"/>
  <c r="E322" i="14"/>
  <c r="F322" i="14"/>
  <c r="C325" i="14"/>
  <c r="C269" i="15"/>
  <c r="E269" i="15"/>
  <c r="C268" i="15"/>
  <c r="E267" i="15"/>
  <c r="D318" i="14"/>
  <c r="C312" i="14"/>
  <c r="E310" i="14"/>
  <c r="F310" i="14"/>
  <c r="C271" i="15"/>
  <c r="E271" i="15"/>
  <c r="E268" i="15"/>
  <c r="F325" i="14"/>
  <c r="E325" i="14"/>
  <c r="D257" i="14"/>
  <c r="C313" i="14"/>
  <c r="E312" i="14"/>
  <c r="F312" i="14"/>
  <c r="C315" i="14"/>
  <c r="C256" i="14"/>
  <c r="C251" i="14"/>
  <c r="C314" i="14"/>
  <c r="E313" i="14"/>
  <c r="F313" i="14"/>
  <c r="F251" i="14"/>
  <c r="E251" i="14"/>
  <c r="C257" i="14"/>
  <c r="E256" i="14"/>
  <c r="F256" i="14"/>
  <c r="C318" i="14"/>
  <c r="E314" i="14"/>
  <c r="F314" i="14"/>
  <c r="F315" i="14"/>
  <c r="E315" i="14"/>
  <c r="F257" i="14"/>
  <c r="E257" i="14"/>
  <c r="F318" i="14"/>
  <c r="E318" i="14"/>
</calcChain>
</file>

<file path=xl/sharedStrings.xml><?xml version="1.0" encoding="utf-8"?>
<sst xmlns="http://schemas.openxmlformats.org/spreadsheetml/2006/main" count="2300" uniqueCount="977">
  <si>
    <t>DAY KIMBALL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</si>
  <si>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</si>
  <si>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</si>
  <si>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</si>
  <si>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</si>
  <si>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</si>
  <si>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</si>
  <si>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</si>
  <si>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</si>
  <si>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</si>
  <si>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</si>
  <si>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</si>
  <si>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</si>
  <si>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</si>
  <si>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</si>
  <si>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</si>
  <si>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</si>
  <si>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</si>
  <si>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</si>
  <si>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</si>
  <si>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</si>
  <si>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</si>
  <si>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</si>
  <si>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</si>
  <si>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</si>
  <si>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</si>
  <si>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</si>
  <si>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</si>
  <si>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</si>
  <si>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</si>
  <si>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</si>
  <si>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</si>
  <si>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</si>
  <si>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</si>
  <si>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</si>
  <si>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</si>
  <si>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</si>
  <si>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</si>
  <si>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</si>
  <si>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</si>
  <si>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</si>
  <si>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</si>
  <si>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</si>
  <si>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</si>
  <si>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</si>
  <si>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</si>
  <si>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</si>
  <si>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</si>
  <si>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</si>
  <si>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</si>
  <si>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</si>
  <si>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</si>
  <si>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</si>
  <si>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</si>
  <si>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</si>
  <si>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</si>
  <si>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</si>
  <si>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</si>
  <si>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</si>
  <si>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</si>
  <si>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</si>
  <si>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</si>
  <si>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</si>
  <si>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</si>
  <si>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</si>
  <si>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</si>
  <si>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</si>
  <si>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</si>
  <si>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</si>
  <si>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</si>
  <si>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</si>
  <si>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</si>
  <si>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</si>
  <si>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</si>
  <si>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</si>
  <si>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</si>
  <si>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</si>
  <si>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</si>
  <si>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</si>
  <si>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</si>
  <si>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</si>
  <si>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</si>
  <si>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</si>
  <si>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</si>
  <si>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</si>
  <si>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</si>
  <si>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</si>
  <si>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</si>
  <si>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</si>
  <si>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</si>
  <si>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</si>
  <si>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</si>
  <si>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</si>
  <si>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</si>
  <si>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</si>
  <si>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</si>
  <si>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</si>
  <si>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</si>
  <si>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</si>
  <si>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</si>
  <si>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</si>
  <si>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</si>
  <si>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</si>
  <si>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</si>
  <si>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</si>
  <si>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</si>
  <si>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</si>
  <si>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</si>
  <si>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</si>
  <si>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</si>
  <si>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</si>
  <si>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</si>
  <si>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</si>
  <si>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</si>
  <si>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</si>
  <si>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</si>
  <si>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</si>
  <si>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</si>
  <si>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</si>
  <si>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</si>
  <si>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</si>
  <si>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</si>
  <si>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</si>
  <si>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</si>
  <si>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</si>
  <si>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</si>
  <si>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</si>
  <si>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</si>
  <si>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</si>
  <si>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</si>
  <si>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</si>
  <si>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</si>
  <si>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</si>
  <si>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</si>
  <si>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</si>
  <si>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</si>
  <si>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</si>
  <si>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</si>
  <si>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</si>
  <si>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</si>
  <si>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</si>
  <si>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</si>
  <si>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</si>
  <si>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</si>
  <si>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</si>
  <si>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</si>
  <si>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</si>
  <si>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</si>
  <si>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</si>
  <si>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</si>
  <si>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</si>
  <si>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</si>
  <si>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</si>
  <si>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</si>
  <si>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</si>
  <si>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</si>
  <si>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</si>
  <si>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</si>
  <si>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</si>
  <si>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</si>
  <si>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</si>
  <si>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</si>
  <si>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</si>
  <si>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</si>
  <si>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</si>
  <si>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</si>
  <si>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</si>
  <si>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</si>
  <si>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</si>
  <si>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</si>
  <si>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</si>
  <si>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</si>
  <si>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</si>
  <si>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</si>
  <si>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</si>
  <si>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</si>
  <si>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</si>
  <si>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</si>
  <si>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</si>
  <si>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</si>
  <si>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</si>
  <si>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</si>
  <si>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</si>
  <si>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</si>
  <si>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</si>
  <si>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</si>
  <si>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</si>
  <si>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</si>
  <si>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</si>
  <si>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</si>
  <si>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</si>
  <si>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</si>
  <si>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</si>
  <si>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</si>
  <si>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</si>
  <si>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</si>
  <si>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</si>
  <si>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</si>
  <si>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</si>
  <si>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</si>
  <si>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</si>
  <si>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</si>
  <si>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</si>
  <si>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</si>
  <si>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</si>
  <si>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</si>
  <si>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</si>
  <si>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</si>
  <si>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</si>
  <si>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</si>
  <si>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</si>
  <si>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</si>
  <si>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</si>
  <si>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</si>
  <si>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</si>
  <si>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</si>
  <si>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</si>
  <si>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</si>
  <si>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</si>
  <si>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</si>
  <si>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</si>
  <si>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</si>
  <si>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</si>
  <si>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</si>
  <si>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</si>
  <si>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</si>
  <si>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</si>
  <si>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</si>
  <si>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</si>
  <si>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</si>
  <si>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</si>
  <si>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</si>
  <si>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</si>
  <si>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</si>
  <si>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</si>
  <si>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</si>
  <si>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</si>
  <si>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</si>
  <si>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</si>
  <si>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</si>
  <si>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</si>
  <si>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</si>
  <si>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</si>
  <si>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</si>
  <si>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</si>
  <si>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</si>
  <si>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</si>
  <si>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</si>
  <si>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</si>
  <si>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</si>
  <si>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</si>
  <si>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</si>
  <si>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</si>
  <si>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</si>
  <si>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</si>
  <si>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</si>
  <si>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</si>
  <si>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</si>
  <si>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</si>
  <si>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</si>
  <si>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</si>
  <si>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</si>
  <si>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</si>
  <si>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</si>
  <si>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</si>
  <si>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</si>
  <si>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</si>
  <si>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</si>
  <si>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</si>
  <si>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</si>
  <si>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</si>
  <si>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</si>
  <si>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</si>
  <si>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</si>
  <si>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</si>
  <si>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</si>
  <si>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</si>
  <si>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</si>
  <si>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</si>
  <si>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</si>
  <si>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</si>
  <si>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</si>
  <si>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</si>
  <si>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</si>
  <si>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</si>
  <si>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</si>
  <si>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</si>
  <si>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</si>
  <si>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</si>
  <si>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</si>
  <si>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</si>
  <si>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</si>
  <si>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</si>
  <si>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</si>
  <si>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</si>
  <si>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</si>
  <si>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</si>
  <si>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</si>
  <si>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</si>
  <si>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</si>
  <si>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</si>
  <si>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</si>
  <si>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</si>
  <si>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</si>
  <si>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</si>
  <si>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</si>
  <si>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</si>
  <si>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</si>
  <si>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</si>
  <si>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</si>
  <si>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</si>
  <si>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</si>
  <si>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</si>
  <si>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</si>
  <si>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</si>
  <si>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</si>
  <si>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</si>
  <si>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</si>
  <si>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</si>
  <si>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</si>
  <si>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</si>
  <si>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</si>
  <si>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</si>
  <si>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</si>
  <si>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</si>
  <si>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</si>
  <si>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</si>
  <si>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</si>
  <si>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</si>
  <si>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</si>
  <si>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</si>
  <si>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</si>
  <si>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</si>
  <si>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</si>
  <si>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</si>
  <si>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</si>
  <si>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</si>
  <si>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</si>
  <si>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</si>
  <si>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</si>
  <si>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</si>
  <si>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</si>
  <si>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</si>
  <si>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</si>
  <si>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</si>
  <si>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</si>
  <si>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</si>
  <si>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</si>
  <si>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</si>
  <si>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</si>
  <si>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</si>
  <si>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</si>
  <si>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</si>
  <si>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</si>
  <si>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</si>
  <si>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</si>
  <si>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</si>
  <si>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</si>
  <si>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</si>
  <si>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</si>
  <si>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</si>
  <si>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</si>
  <si>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</si>
  <si>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</si>
  <si>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</si>
  <si>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</si>
  <si>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</si>
  <si>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</si>
  <si>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</si>
  <si>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</si>
  <si>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</si>
  <si>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</si>
  <si>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</si>
  <si>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</si>
  <si>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</si>
  <si>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</si>
  <si>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</si>
  <si>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</si>
  <si>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</si>
  <si>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</si>
  <si>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</si>
  <si>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</si>
  <si>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</si>
  <si>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</si>
  <si>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</si>
  <si>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</si>
  <si>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</si>
  <si>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</si>
  <si>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</si>
  <si>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</si>
  <si>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</si>
  <si>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</si>
  <si>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</si>
  <si>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</si>
  <si>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</si>
  <si>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</si>
  <si>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</si>
  <si>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</si>
  <si>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</si>
  <si>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</si>
  <si>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</si>
  <si>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</si>
  <si>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</si>
  <si>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</si>
  <si>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</si>
  <si>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</si>
  <si>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</si>
  <si>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</si>
  <si>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</si>
  <si>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</si>
  <si>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</si>
  <si>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</si>
  <si>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</si>
  <si>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</si>
  <si>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</si>
  <si>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</si>
  <si>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</si>
  <si>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</si>
  <si>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</si>
  <si>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</si>
  <si>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</si>
  <si>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</si>
  <si>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</si>
  <si>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</si>
  <si>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</si>
  <si>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</si>
  <si>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</si>
  <si>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</si>
  <si>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</si>
  <si>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</si>
  <si>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</si>
  <si>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</si>
  <si>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</si>
  <si>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</si>
  <si>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</si>
  <si>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</si>
  <si>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</si>
  <si>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</si>
  <si>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</si>
  <si>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</si>
  <si>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</si>
  <si>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</si>
  <si>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</si>
  <si>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</si>
  <si>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</si>
  <si>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</si>
  <si>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</si>
  <si>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</si>
  <si>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</si>
  <si>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</si>
  <si>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</si>
  <si>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</si>
  <si>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</si>
  <si>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</si>
  <si>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</si>
  <si>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</si>
  <si>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</si>
  <si>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</si>
  <si>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</si>
  <si>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</si>
  <si>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</si>
  <si>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</si>
  <si>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</si>
  <si>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</si>
  <si>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</si>
  <si>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</si>
  <si>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</si>
  <si>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</si>
  <si>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</si>
  <si>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</si>
  <si>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</si>
  <si>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</si>
  <si>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</si>
  <si>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</si>
  <si>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</si>
  <si>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</si>
  <si>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</si>
  <si>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</si>
  <si>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</si>
  <si>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</si>
  <si>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</si>
  <si>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</si>
  <si>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</si>
  <si>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</si>
  <si>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</si>
  <si>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</si>
  <si>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</si>
  <si>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</si>
  <si>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</si>
  <si>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</si>
  <si>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</si>
  <si>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</si>
  <si>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</si>
  <si>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</si>
  <si>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</si>
  <si>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</si>
  <si>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</si>
  <si>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</si>
  <si>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</si>
  <si>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</si>
  <si>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</si>
  <si>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</si>
  <si>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</si>
  <si>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</si>
  <si>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</si>
  <si>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</si>
  <si>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</si>
  <si>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</si>
  <si>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</si>
  <si>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</si>
  <si>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</si>
  <si>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</si>
  <si>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</si>
  <si>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</si>
  <si>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</si>
  <si>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</si>
  <si>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</si>
  <si>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</si>
  <si>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</si>
  <si>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</si>
  <si>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</si>
  <si>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</si>
  <si>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</si>
  <si>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</si>
  <si>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</si>
  <si>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</si>
  <si>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</si>
  <si>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</si>
  <si>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</si>
  <si>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</si>
  <si>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</si>
  <si>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</si>
  <si>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</si>
  <si>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</si>
  <si>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</si>
  <si>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</si>
  <si>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</si>
  <si>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</si>
  <si>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</si>
  <si>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</si>
  <si>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</si>
  <si>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</si>
  <si>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</si>
  <si>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</si>
  <si>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</si>
  <si>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</si>
  <si>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</si>
  <si>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</si>
  <si>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</si>
  <si>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</si>
  <si>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</si>
  <si>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</si>
  <si>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</si>
  <si>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</si>
  <si>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</si>
  <si>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</si>
  <si>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</si>
  <si>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</si>
  <si>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</si>
  <si>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</si>
  <si>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</si>
  <si>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</si>
  <si>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</si>
  <si>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</si>
  <si>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</si>
  <si>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</si>
  <si>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</si>
  <si>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</si>
  <si>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</si>
  <si>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</si>
  <si>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</si>
  <si>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</si>
  <si>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</si>
  <si>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</si>
  <si>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</si>
  <si>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</si>
  <si>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</si>
  <si>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</si>
  <si>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</si>
  <si>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</si>
  <si>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</si>
  <si>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</si>
  <si>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Day Kimball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</si>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</sst>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9595927</v>
      </c>
      <c r="D13" s="23">
        <v>7593483</v>
      </c>
      <c r="E13" s="23">
        <f t="shared" ref="E13:E22" si="0">D13-C13</f>
        <v>-2002444</v>
      </c>
      <c r="F13" s="24">
        <f t="shared" ref="F13:F22" si="1">IF(C13=0,0,E13/C13)</f>
        <v>-0.20867645199885326</v>
      </c>
    </row>
    <row r="14" spans="1:8" ht="24" customHeight="1" x14ac:dyDescent="0.2">
      <c r="A14" s="21">
        <v>2</v>
      </c>
      <c r="B14" s="22" t="s">
        <v>17</v>
      </c>
      <c r="C14" s="23">
        <v>13407390</v>
      </c>
      <c r="D14" s="23">
        <v>8299896</v>
      </c>
      <c r="E14" s="23">
        <f t="shared" si="0"/>
        <v>-5107494</v>
      </c>
      <c r="F14" s="24">
        <f t="shared" si="1"/>
        <v>-0.38094617968150402</v>
      </c>
    </row>
    <row r="15" spans="1:8" ht="15" x14ac:dyDescent="0.2">
      <c r="A15" s="21">
        <v>3</v>
      </c>
      <c r="B15" s="22" t="s">
        <v>18</v>
      </c>
      <c r="C15" s="23">
        <v>10764165</v>
      </c>
      <c r="D15" s="23">
        <v>10144136</v>
      </c>
      <c r="E15" s="23">
        <f t="shared" si="0"/>
        <v>-620029</v>
      </c>
      <c r="F15" s="24">
        <f t="shared" si="1"/>
        <v>-5.7601216629436652E-2</v>
      </c>
    </row>
    <row r="16" spans="1:8" ht="24" customHeight="1" x14ac:dyDescent="0.2">
      <c r="A16" s="21">
        <v>4</v>
      </c>
      <c r="B16" s="22" t="s">
        <v>19</v>
      </c>
      <c r="C16" s="23">
        <v>605899</v>
      </c>
      <c r="D16" s="23">
        <v>233000</v>
      </c>
      <c r="E16" s="23">
        <f t="shared" si="0"/>
        <v>-372899</v>
      </c>
      <c r="F16" s="24">
        <f t="shared" si="1"/>
        <v>-0.61544745906495968</v>
      </c>
    </row>
    <row r="17" spans="1:11" ht="24" customHeight="1" x14ac:dyDescent="0.2">
      <c r="A17" s="21">
        <v>5</v>
      </c>
      <c r="B17" s="22" t="s">
        <v>20</v>
      </c>
      <c r="C17" s="23">
        <v>266302</v>
      </c>
      <c r="D17" s="23">
        <v>866831</v>
      </c>
      <c r="E17" s="23">
        <f t="shared" si="0"/>
        <v>600529</v>
      </c>
      <c r="F17" s="24">
        <f t="shared" si="1"/>
        <v>2.2550675548813004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1478957</v>
      </c>
      <c r="D19" s="23">
        <v>2031106</v>
      </c>
      <c r="E19" s="23">
        <f t="shared" si="0"/>
        <v>552149</v>
      </c>
      <c r="F19" s="24">
        <f t="shared" si="1"/>
        <v>0.37333675015568402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0</v>
      </c>
      <c r="E20" s="23">
        <f t="shared" si="0"/>
        <v>0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228139</v>
      </c>
      <c r="D21" s="23">
        <v>75452</v>
      </c>
      <c r="E21" s="23">
        <f t="shared" si="0"/>
        <v>-152687</v>
      </c>
      <c r="F21" s="24">
        <f t="shared" si="1"/>
        <v>-0.66927180359342331</v>
      </c>
    </row>
    <row r="22" spans="1:11" ht="24" customHeight="1" x14ac:dyDescent="0.25">
      <c r="A22" s="25"/>
      <c r="B22" s="26" t="s">
        <v>25</v>
      </c>
      <c r="C22" s="27">
        <f>SUM(C13:C21)</f>
        <v>36346779</v>
      </c>
      <c r="D22" s="27">
        <f>SUM(D13:D21)</f>
        <v>29243904</v>
      </c>
      <c r="E22" s="27">
        <f t="shared" si="0"/>
        <v>-7102875</v>
      </c>
      <c r="F22" s="28">
        <f t="shared" si="1"/>
        <v>-0.19541965465495581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3734376</v>
      </c>
      <c r="D25" s="23">
        <v>3905024</v>
      </c>
      <c r="E25" s="23">
        <f>D25-C25</f>
        <v>170648</v>
      </c>
      <c r="F25" s="24">
        <f>IF(C25=0,0,E25/C25)</f>
        <v>4.5696523328127646E-2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1292324</v>
      </c>
      <c r="D27" s="23">
        <v>1292303</v>
      </c>
      <c r="E27" s="23">
        <f>D27-C27</f>
        <v>-21</v>
      </c>
      <c r="F27" s="24">
        <f>IF(C27=0,0,E27/C27)</f>
        <v>-1.6249794943063815E-5</v>
      </c>
    </row>
    <row r="28" spans="1:11" ht="24" customHeight="1" x14ac:dyDescent="0.2">
      <c r="A28" s="21">
        <v>4</v>
      </c>
      <c r="B28" s="22" t="s">
        <v>31</v>
      </c>
      <c r="C28" s="23">
        <v>4059484</v>
      </c>
      <c r="D28" s="23">
        <v>3521096</v>
      </c>
      <c r="E28" s="23">
        <f>D28-C28</f>
        <v>-538388</v>
      </c>
      <c r="F28" s="24">
        <f>IF(C28=0,0,E28/C28)</f>
        <v>-0.13262473752821788</v>
      </c>
    </row>
    <row r="29" spans="1:11" ht="24" customHeight="1" x14ac:dyDescent="0.25">
      <c r="A29" s="25"/>
      <c r="B29" s="26" t="s">
        <v>32</v>
      </c>
      <c r="C29" s="27">
        <f>SUM(C25:C28)</f>
        <v>9086184</v>
      </c>
      <c r="D29" s="27">
        <f>SUM(D25:D28)</f>
        <v>8718423</v>
      </c>
      <c r="E29" s="27">
        <f>D29-C29</f>
        <v>-367761</v>
      </c>
      <c r="F29" s="28">
        <f>IF(C29=0,0,E29/C29)</f>
        <v>-4.0474747154581062E-2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6880487</v>
      </c>
      <c r="D32" s="23">
        <v>9575149</v>
      </c>
      <c r="E32" s="23">
        <f>D32-C32</f>
        <v>2694662</v>
      </c>
      <c r="F32" s="24">
        <f>IF(C32=0,0,E32/C32)</f>
        <v>0.39163826630295212</v>
      </c>
    </row>
    <row r="33" spans="1:8" ht="24" customHeight="1" x14ac:dyDescent="0.2">
      <c r="A33" s="21">
        <v>7</v>
      </c>
      <c r="B33" s="22" t="s">
        <v>35</v>
      </c>
      <c r="C33" s="23">
        <v>773880</v>
      </c>
      <c r="D33" s="23">
        <v>696283</v>
      </c>
      <c r="E33" s="23">
        <f>D33-C33</f>
        <v>-77597</v>
      </c>
      <c r="F33" s="24">
        <f>IF(C33=0,0,E33/C33)</f>
        <v>-0.10027006771075619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79831857</v>
      </c>
      <c r="D36" s="23">
        <v>84396414</v>
      </c>
      <c r="E36" s="23">
        <f>D36-C36</f>
        <v>4564557</v>
      </c>
      <c r="F36" s="24">
        <f>IF(C36=0,0,E36/C36)</f>
        <v>5.7177136691183322E-2</v>
      </c>
    </row>
    <row r="37" spans="1:8" ht="24" customHeight="1" x14ac:dyDescent="0.2">
      <c r="A37" s="21">
        <v>2</v>
      </c>
      <c r="B37" s="22" t="s">
        <v>39</v>
      </c>
      <c r="C37" s="23">
        <v>55565960</v>
      </c>
      <c r="D37" s="23">
        <v>59922177</v>
      </c>
      <c r="E37" s="23">
        <f>D37-C37</f>
        <v>4356217</v>
      </c>
      <c r="F37" s="24">
        <f>IF(C37=0,0,E37/C37)</f>
        <v>7.8397223767932747E-2</v>
      </c>
    </row>
    <row r="38" spans="1:8" ht="24" customHeight="1" x14ac:dyDescent="0.25">
      <c r="A38" s="25"/>
      <c r="B38" s="26" t="s">
        <v>40</v>
      </c>
      <c r="C38" s="27">
        <f>C36-C37</f>
        <v>24265897</v>
      </c>
      <c r="D38" s="27">
        <f>D36-D37</f>
        <v>24474237</v>
      </c>
      <c r="E38" s="27">
        <f>D38-C38</f>
        <v>208340</v>
      </c>
      <c r="F38" s="28">
        <f>IF(C38=0,0,E38/C38)</f>
        <v>8.5857118737461061E-3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1220368</v>
      </c>
      <c r="D40" s="23">
        <v>7373183</v>
      </c>
      <c r="E40" s="23">
        <f>D40-C40</f>
        <v>6152815</v>
      </c>
      <c r="F40" s="24">
        <f>IF(C40=0,0,E40/C40)</f>
        <v>5.0417701873533227</v>
      </c>
    </row>
    <row r="41" spans="1:8" ht="24" customHeight="1" x14ac:dyDescent="0.25">
      <c r="A41" s="25"/>
      <c r="B41" s="26" t="s">
        <v>42</v>
      </c>
      <c r="C41" s="27">
        <f>+C38+C40</f>
        <v>25486265</v>
      </c>
      <c r="D41" s="27">
        <f>+D38+D40</f>
        <v>31847420</v>
      </c>
      <c r="E41" s="27">
        <f>D41-C41</f>
        <v>6361155</v>
      </c>
      <c r="F41" s="28">
        <f>IF(C41=0,0,E41/C41)</f>
        <v>0.24959149565462024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78573595</v>
      </c>
      <c r="D43" s="27">
        <f>D22+D29+D31+D32+D33+D41</f>
        <v>80081179</v>
      </c>
      <c r="E43" s="27">
        <f>D43-C43</f>
        <v>1507584</v>
      </c>
      <c r="F43" s="28">
        <f>IF(C43=0,0,E43/C43)</f>
        <v>1.918690369201002E-2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3594514</v>
      </c>
      <c r="D49" s="23">
        <v>3164793</v>
      </c>
      <c r="E49" s="23">
        <f t="shared" ref="E49:E56" si="2">D49-C49</f>
        <v>-429721</v>
      </c>
      <c r="F49" s="24">
        <f t="shared" ref="F49:F56" si="3">IF(C49=0,0,E49/C49)</f>
        <v>-0.1195491240262244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1564816</v>
      </c>
      <c r="D50" s="23">
        <v>885149</v>
      </c>
      <c r="E50" s="23">
        <f t="shared" si="2"/>
        <v>-679667</v>
      </c>
      <c r="F50" s="24">
        <f t="shared" si="3"/>
        <v>-0.43434307931411742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3205718</v>
      </c>
      <c r="D51" s="23">
        <v>1308122</v>
      </c>
      <c r="E51" s="23">
        <f t="shared" si="2"/>
        <v>-1897596</v>
      </c>
      <c r="F51" s="24">
        <f t="shared" si="3"/>
        <v>-0.5919410253802736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530000</v>
      </c>
      <c r="D53" s="23">
        <v>560000</v>
      </c>
      <c r="E53" s="23">
        <f t="shared" si="2"/>
        <v>30000</v>
      </c>
      <c r="F53" s="24">
        <f t="shared" si="3"/>
        <v>5.6603773584905662E-2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7150220</v>
      </c>
      <c r="D55" s="23">
        <v>8417439</v>
      </c>
      <c r="E55" s="23">
        <f t="shared" si="2"/>
        <v>1267219</v>
      </c>
      <c r="F55" s="24">
        <f t="shared" si="3"/>
        <v>0.17722797340501412</v>
      </c>
    </row>
    <row r="56" spans="1:6" ht="24" customHeight="1" x14ac:dyDescent="0.25">
      <c r="A56" s="25"/>
      <c r="B56" s="26" t="s">
        <v>54</v>
      </c>
      <c r="C56" s="27">
        <f>SUM(C49:C55)</f>
        <v>16045268</v>
      </c>
      <c r="D56" s="27">
        <f>SUM(D49:D55)</f>
        <v>14335503</v>
      </c>
      <c r="E56" s="27">
        <f t="shared" si="2"/>
        <v>-1709765</v>
      </c>
      <c r="F56" s="28">
        <f t="shared" si="3"/>
        <v>-0.10655883092759809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13620000</v>
      </c>
      <c r="D59" s="23">
        <v>14691107</v>
      </c>
      <c r="E59" s="23">
        <f>D59-C59</f>
        <v>1071107</v>
      </c>
      <c r="F59" s="24">
        <f>IF(C59=0,0,E59/C59)</f>
        <v>7.8642217327459615E-2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13620000</v>
      </c>
      <c r="D61" s="27">
        <f>SUM(D59:D60)</f>
        <v>14691107</v>
      </c>
      <c r="E61" s="27">
        <f>D61-C61</f>
        <v>1071107</v>
      </c>
      <c r="F61" s="28">
        <f>IF(C61=0,0,E61/C61)</f>
        <v>7.8642217327459615E-2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25602222</v>
      </c>
      <c r="D63" s="23">
        <v>28880608</v>
      </c>
      <c r="E63" s="23">
        <f>D63-C63</f>
        <v>3278386</v>
      </c>
      <c r="F63" s="24">
        <f>IF(C63=0,0,E63/C63)</f>
        <v>0.12805083871235864</v>
      </c>
    </row>
    <row r="64" spans="1:6" ht="24" customHeight="1" x14ac:dyDescent="0.2">
      <c r="A64" s="21">
        <v>4</v>
      </c>
      <c r="B64" s="22" t="s">
        <v>60</v>
      </c>
      <c r="C64" s="23">
        <v>0</v>
      </c>
      <c r="D64" s="23">
        <v>0</v>
      </c>
      <c r="E64" s="23">
        <f>D64-C64</f>
        <v>0</v>
      </c>
      <c r="F64" s="24">
        <f>IF(C64=0,0,E64/C64)</f>
        <v>0</v>
      </c>
    </row>
    <row r="65" spans="1:6" ht="24" customHeight="1" x14ac:dyDescent="0.25">
      <c r="A65" s="25"/>
      <c r="B65" s="26" t="s">
        <v>61</v>
      </c>
      <c r="C65" s="27">
        <f>SUM(C61:C64)</f>
        <v>39222222</v>
      </c>
      <c r="D65" s="27">
        <f>SUM(D61:D64)</f>
        <v>43571715</v>
      </c>
      <c r="E65" s="27">
        <f>D65-C65</f>
        <v>4349493</v>
      </c>
      <c r="F65" s="28">
        <f>IF(C65=0,0,E65/C65)</f>
        <v>0.11089358986341977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15965857</v>
      </c>
      <c r="D70" s="23">
        <v>15206895</v>
      </c>
      <c r="E70" s="23">
        <f>D70-C70</f>
        <v>-758962</v>
      </c>
      <c r="F70" s="24">
        <f>IF(C70=0,0,E70/C70)</f>
        <v>-4.7536565058800162E-2</v>
      </c>
    </row>
    <row r="71" spans="1:6" ht="24" customHeight="1" x14ac:dyDescent="0.2">
      <c r="A71" s="21">
        <v>2</v>
      </c>
      <c r="B71" s="22" t="s">
        <v>65</v>
      </c>
      <c r="C71" s="23">
        <v>3705481</v>
      </c>
      <c r="D71" s="23">
        <v>3249741</v>
      </c>
      <c r="E71" s="23">
        <f>D71-C71</f>
        <v>-455740</v>
      </c>
      <c r="F71" s="24">
        <f>IF(C71=0,0,E71/C71)</f>
        <v>-0.12299078041420264</v>
      </c>
    </row>
    <row r="72" spans="1:6" ht="24" customHeight="1" x14ac:dyDescent="0.2">
      <c r="A72" s="21">
        <v>3</v>
      </c>
      <c r="B72" s="22" t="s">
        <v>66</v>
      </c>
      <c r="C72" s="23">
        <v>3634767</v>
      </c>
      <c r="D72" s="23">
        <v>3717325</v>
      </c>
      <c r="E72" s="23">
        <f>D72-C72</f>
        <v>82558</v>
      </c>
      <c r="F72" s="24">
        <f>IF(C72=0,0,E72/C72)</f>
        <v>2.2713422896158131E-2</v>
      </c>
    </row>
    <row r="73" spans="1:6" ht="24" customHeight="1" x14ac:dyDescent="0.25">
      <c r="A73" s="21"/>
      <c r="B73" s="26" t="s">
        <v>67</v>
      </c>
      <c r="C73" s="27">
        <f>SUM(C70:C72)</f>
        <v>23306105</v>
      </c>
      <c r="D73" s="27">
        <f>SUM(D70:D72)</f>
        <v>22173961</v>
      </c>
      <c r="E73" s="27">
        <f>D73-C73</f>
        <v>-1132144</v>
      </c>
      <c r="F73" s="28">
        <f>IF(C73=0,0,E73/C73)</f>
        <v>-4.8577143199174638E-2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78573595</v>
      </c>
      <c r="D75" s="27">
        <f>D56+D65+D67+D73</f>
        <v>80081179</v>
      </c>
      <c r="E75" s="27">
        <f>D75-C75</f>
        <v>1507584</v>
      </c>
      <c r="F75" s="28">
        <f>IF(C75=0,0,E75/C75)</f>
        <v>1.918690369201002E-2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Normal="70" zoomScaleSheetLayoutView="75" workbookViewId="0"/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0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481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482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483</v>
      </c>
      <c r="C11" s="51">
        <v>90296406</v>
      </c>
      <c r="D11" s="51">
        <v>99560103</v>
      </c>
      <c r="E11" s="51">
        <v>107034385</v>
      </c>
      <c r="F11" s="28"/>
    </row>
    <row r="12" spans="1:6" ht="24" customHeight="1" x14ac:dyDescent="0.25">
      <c r="A12" s="44">
        <v>2</v>
      </c>
      <c r="B12" s="48" t="s">
        <v>76</v>
      </c>
      <c r="C12" s="49">
        <v>3080701</v>
      </c>
      <c r="D12" s="49">
        <v>3012747</v>
      </c>
      <c r="E12" s="49">
        <v>3492807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93377107</v>
      </c>
      <c r="D13" s="51">
        <f>+D11+D12</f>
        <v>102572850</v>
      </c>
      <c r="E13" s="51">
        <f>+E11+E12</f>
        <v>110527192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97313611</v>
      </c>
      <c r="D14" s="49">
        <v>101280277</v>
      </c>
      <c r="E14" s="49">
        <v>109395647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-3936504</v>
      </c>
      <c r="D15" s="51">
        <f>+D13-D14</f>
        <v>1292573</v>
      </c>
      <c r="E15" s="51">
        <f>+E13-E14</f>
        <v>1131545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1001651</v>
      </c>
      <c r="D16" s="49">
        <v>-687680</v>
      </c>
      <c r="E16" s="49">
        <v>607272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-2934853</v>
      </c>
      <c r="D17" s="51">
        <f>D15+D16</f>
        <v>604893</v>
      </c>
      <c r="E17" s="51">
        <f>E15+E16</f>
        <v>1738817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484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485</v>
      </c>
      <c r="C20" s="169">
        <f>IF(+C27=0,0,+C24/+C27)</f>
        <v>-4.1709639789919678E-2</v>
      </c>
      <c r="D20" s="169">
        <f>IF(+D27=0,0,+D24/+D27)</f>
        <v>1.2686566651456734E-2</v>
      </c>
      <c r="E20" s="169">
        <f>IF(+E27=0,0,+E24/+E27)</f>
        <v>1.018176503735151E-2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486</v>
      </c>
      <c r="C21" s="169">
        <f>IF(+C27=0,0,+C26/+C27)</f>
        <v>1.0613097917647953E-2</v>
      </c>
      <c r="D21" s="169">
        <f>IF(+D27=0,0,+D26/+D27)</f>
        <v>-6.7495593323346273E-3</v>
      </c>
      <c r="E21" s="169">
        <f>IF(+E27=0,0,+E26/+E27)</f>
        <v>5.4642995353808522E-3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487</v>
      </c>
      <c r="C22" s="169">
        <f>IF(+C27=0,0,+C28/+C27)</f>
        <v>-3.1096541872271725E-2</v>
      </c>
      <c r="D22" s="169">
        <f>IF(+D27=0,0,+D28/+D27)</f>
        <v>5.9370073191221057E-3</v>
      </c>
      <c r="E22" s="169">
        <f>IF(+E27=0,0,+E28/+E27)</f>
        <v>1.5646064572732363E-2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-3936504</v>
      </c>
      <c r="D24" s="51">
        <f>+D15</f>
        <v>1292573</v>
      </c>
      <c r="E24" s="51">
        <f>+E15</f>
        <v>1131545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93377107</v>
      </c>
      <c r="D25" s="51">
        <f>+D13</f>
        <v>102572850</v>
      </c>
      <c r="E25" s="51">
        <f>+E13</f>
        <v>110527192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1001651</v>
      </c>
      <c r="D26" s="51">
        <f>+D16</f>
        <v>-687680</v>
      </c>
      <c r="E26" s="51">
        <f>+E16</f>
        <v>607272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94378758</v>
      </c>
      <c r="D27" s="51">
        <f>SUM(D25:D26)</f>
        <v>101885170</v>
      </c>
      <c r="E27" s="51">
        <f>SUM(E25:E26)</f>
        <v>111134464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-2934853</v>
      </c>
      <c r="D28" s="51">
        <f>+D17</f>
        <v>604893</v>
      </c>
      <c r="E28" s="51">
        <f>+E17</f>
        <v>1738817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488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489</v>
      </c>
      <c r="C31" s="51">
        <v>39118172</v>
      </c>
      <c r="D31" s="51">
        <v>15388702</v>
      </c>
      <c r="E31" s="52">
        <v>12241312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490</v>
      </c>
      <c r="C32" s="51">
        <v>46156425</v>
      </c>
      <c r="D32" s="51">
        <v>22735253</v>
      </c>
      <c r="E32" s="51">
        <v>19209337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491</v>
      </c>
      <c r="C33" s="51">
        <v>-743314</v>
      </c>
      <c r="D33" s="51">
        <f>+D32-C32</f>
        <v>-23421172</v>
      </c>
      <c r="E33" s="51">
        <f>+E32-D32</f>
        <v>-3525916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492</v>
      </c>
      <c r="C34" s="171">
        <v>0.98409999999999997</v>
      </c>
      <c r="D34" s="171">
        <f>IF(C32=0,0,+D33/C32)</f>
        <v>-0.50743037399451973</v>
      </c>
      <c r="E34" s="171">
        <f>IF(D32=0,0,+E33/D32)</f>
        <v>-0.15508584839588105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2.657380165153759</v>
      </c>
      <c r="D38" s="269">
        <f>IF(+D40=0,0,+D39/+D40)</f>
        <v>2.2718630238603237</v>
      </c>
      <c r="E38" s="269">
        <f>IF(+E40=0,0,+E39/+E40)</f>
        <v>1.9781873594429886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36468756</v>
      </c>
      <c r="D39" s="270">
        <v>36892327</v>
      </c>
      <c r="E39" s="270">
        <v>29438231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13723575</v>
      </c>
      <c r="D40" s="270">
        <v>16238799</v>
      </c>
      <c r="E40" s="270">
        <v>14881417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97.121304712804076</v>
      </c>
      <c r="D42" s="271">
        <f>IF((D48/365)=0,0,+D45/(D48/365))</f>
        <v>88.173781559721135</v>
      </c>
      <c r="E42" s="271">
        <f>IF((E48/365)=0,0,+E45/(E48/365))</f>
        <v>56.767394213893837</v>
      </c>
    </row>
    <row r="43" spans="1:14" ht="24" customHeight="1" x14ac:dyDescent="0.2">
      <c r="A43" s="17">
        <v>5</v>
      </c>
      <c r="B43" s="188" t="s">
        <v>16</v>
      </c>
      <c r="C43" s="272">
        <v>11387528</v>
      </c>
      <c r="D43" s="272">
        <v>9970754</v>
      </c>
      <c r="E43" s="272">
        <v>8007201</v>
      </c>
    </row>
    <row r="44" spans="1:14" ht="24" customHeight="1" x14ac:dyDescent="0.2">
      <c r="A44" s="17">
        <v>6</v>
      </c>
      <c r="B44" s="273" t="s">
        <v>17</v>
      </c>
      <c r="C44" s="274">
        <v>13335058</v>
      </c>
      <c r="D44" s="274">
        <v>13407390</v>
      </c>
      <c r="E44" s="274">
        <v>8299896</v>
      </c>
    </row>
    <row r="45" spans="1:14" ht="24" customHeight="1" x14ac:dyDescent="0.2">
      <c r="A45" s="17">
        <v>7</v>
      </c>
      <c r="B45" s="45" t="s">
        <v>346</v>
      </c>
      <c r="C45" s="270">
        <f>+C43+C44</f>
        <v>24722586</v>
      </c>
      <c r="D45" s="270">
        <f>+D43+D44</f>
        <v>23378144</v>
      </c>
      <c r="E45" s="270">
        <f>+E43+E44</f>
        <v>16307097</v>
      </c>
    </row>
    <row r="46" spans="1:14" ht="24" customHeight="1" x14ac:dyDescent="0.2">
      <c r="A46" s="17">
        <v>8</v>
      </c>
      <c r="B46" s="45" t="s">
        <v>324</v>
      </c>
      <c r="C46" s="270">
        <f>+C14</f>
        <v>97313611</v>
      </c>
      <c r="D46" s="270">
        <f>+D14</f>
        <v>101280277</v>
      </c>
      <c r="E46" s="270">
        <f>+E14</f>
        <v>109395647</v>
      </c>
    </row>
    <row r="47" spans="1:14" ht="24" customHeight="1" x14ac:dyDescent="0.2">
      <c r="A47" s="17">
        <v>9</v>
      </c>
      <c r="B47" s="45" t="s">
        <v>347</v>
      </c>
      <c r="C47" s="270">
        <v>4401516</v>
      </c>
      <c r="D47" s="270">
        <v>4505222</v>
      </c>
      <c r="E47" s="270">
        <v>4545134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92912095</v>
      </c>
      <c r="D48" s="270">
        <f>+D46-D47</f>
        <v>96775055</v>
      </c>
      <c r="E48" s="270">
        <f>+E46-E47</f>
        <v>104850513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34.196517411778274</v>
      </c>
      <c r="D50" s="278">
        <f>IF((D55/365)=0,0,+D54/(D55/365))</f>
        <v>30.136899918635081</v>
      </c>
      <c r="E50" s="278">
        <f>IF((E55/365)=0,0,+E54/(E55/365))</f>
        <v>32.35031985282113</v>
      </c>
    </row>
    <row r="51" spans="1:5" ht="24" customHeight="1" x14ac:dyDescent="0.2">
      <c r="A51" s="17">
        <v>12</v>
      </c>
      <c r="B51" s="188" t="s">
        <v>350</v>
      </c>
      <c r="C51" s="279">
        <v>10376305</v>
      </c>
      <c r="D51" s="279">
        <v>11426082</v>
      </c>
      <c r="E51" s="279">
        <v>10794688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1916517</v>
      </c>
      <c r="D53" s="270">
        <v>3205718</v>
      </c>
      <c r="E53" s="270">
        <v>1308122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8459788</v>
      </c>
      <c r="D54" s="280">
        <f>+D51+D52-D53</f>
        <v>8220364</v>
      </c>
      <c r="E54" s="280">
        <f>+E51+E52-E53</f>
        <v>9486566</v>
      </c>
    </row>
    <row r="55" spans="1:5" ht="24" customHeight="1" x14ac:dyDescent="0.2">
      <c r="A55" s="17">
        <v>16</v>
      </c>
      <c r="B55" s="45" t="s">
        <v>75</v>
      </c>
      <c r="C55" s="270">
        <f>+C11</f>
        <v>90296406</v>
      </c>
      <c r="D55" s="270">
        <f>+D11</f>
        <v>99560103</v>
      </c>
      <c r="E55" s="270">
        <f>+E11</f>
        <v>107034385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53.912301460859325</v>
      </c>
      <c r="D57" s="283">
        <f>IF((D61/365)=0,0,+D58/(D61/365))</f>
        <v>61.24679169647591</v>
      </c>
      <c r="E57" s="283">
        <f>IF((E61/365)=0,0,+E58/(E61/365))</f>
        <v>51.804393222186718</v>
      </c>
    </row>
    <row r="58" spans="1:5" ht="24" customHeight="1" x14ac:dyDescent="0.2">
      <c r="A58" s="17">
        <v>18</v>
      </c>
      <c r="B58" s="45" t="s">
        <v>54</v>
      </c>
      <c r="C58" s="281">
        <f>+C40</f>
        <v>13723575</v>
      </c>
      <c r="D58" s="281">
        <f>+D40</f>
        <v>16238799</v>
      </c>
      <c r="E58" s="281">
        <f>+E40</f>
        <v>14881417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97313611</v>
      </c>
      <c r="D59" s="281">
        <f t="shared" si="0"/>
        <v>101280277</v>
      </c>
      <c r="E59" s="281">
        <f t="shared" si="0"/>
        <v>109395647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4401516</v>
      </c>
      <c r="D60" s="176">
        <f t="shared" si="0"/>
        <v>4505222</v>
      </c>
      <c r="E60" s="176">
        <f t="shared" si="0"/>
        <v>4545134</v>
      </c>
    </row>
    <row r="61" spans="1:5" ht="24" customHeight="1" x14ac:dyDescent="0.2">
      <c r="A61" s="17">
        <v>21</v>
      </c>
      <c r="B61" s="45" t="s">
        <v>353</v>
      </c>
      <c r="C61" s="281">
        <f>+C59-C60</f>
        <v>92912095</v>
      </c>
      <c r="D61" s="281">
        <f>+D59-D60</f>
        <v>96775055</v>
      </c>
      <c r="E61" s="281">
        <f>+E59-E60</f>
        <v>104850513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60.644976165900303</v>
      </c>
      <c r="D65" s="284">
        <f>IF(D67=0,0,(D66/D67)*100)</f>
        <v>29.074598874110038</v>
      </c>
      <c r="E65" s="284">
        <f>IF(E67=0,0,(E66/E67)*100)</f>
        <v>24.734388756041223</v>
      </c>
    </row>
    <row r="66" spans="1:5" ht="24" customHeight="1" x14ac:dyDescent="0.2">
      <c r="A66" s="17">
        <v>2</v>
      </c>
      <c r="B66" s="45" t="s">
        <v>67</v>
      </c>
      <c r="C66" s="281">
        <f>+C32</f>
        <v>46156425</v>
      </c>
      <c r="D66" s="281">
        <f>+D32</f>
        <v>22735253</v>
      </c>
      <c r="E66" s="281">
        <f>+E32</f>
        <v>19209337</v>
      </c>
    </row>
    <row r="67" spans="1:5" ht="24" customHeight="1" x14ac:dyDescent="0.2">
      <c r="A67" s="17">
        <v>3</v>
      </c>
      <c r="B67" s="45" t="s">
        <v>43</v>
      </c>
      <c r="C67" s="281">
        <v>76109231</v>
      </c>
      <c r="D67" s="281">
        <v>78196274</v>
      </c>
      <c r="E67" s="281">
        <v>77662469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5.2618402913870934</v>
      </c>
      <c r="D69" s="284">
        <f>IF(D75=0,0,(D72/D75)*100)</f>
        <v>17.114268393715367</v>
      </c>
      <c r="E69" s="284">
        <f>IF(E75=0,0,(E72/E75)*100)</f>
        <v>21.249288697846691</v>
      </c>
    </row>
    <row r="70" spans="1:5" ht="24" customHeight="1" x14ac:dyDescent="0.2">
      <c r="A70" s="17">
        <v>5</v>
      </c>
      <c r="B70" s="45" t="s">
        <v>358</v>
      </c>
      <c r="C70" s="281">
        <f>+C28</f>
        <v>-2934853</v>
      </c>
      <c r="D70" s="281">
        <f>+D28</f>
        <v>604893</v>
      </c>
      <c r="E70" s="281">
        <f>+E28</f>
        <v>1738817</v>
      </c>
    </row>
    <row r="71" spans="1:5" ht="24" customHeight="1" x14ac:dyDescent="0.2">
      <c r="A71" s="17">
        <v>6</v>
      </c>
      <c r="B71" s="45" t="s">
        <v>347</v>
      </c>
      <c r="C71" s="176">
        <f>+C47</f>
        <v>4401516</v>
      </c>
      <c r="D71" s="176">
        <f>+D47</f>
        <v>4505222</v>
      </c>
      <c r="E71" s="176">
        <f>+E47</f>
        <v>4545134</v>
      </c>
    </row>
    <row r="72" spans="1:5" ht="24" customHeight="1" x14ac:dyDescent="0.2">
      <c r="A72" s="17">
        <v>7</v>
      </c>
      <c r="B72" s="45" t="s">
        <v>359</v>
      </c>
      <c r="C72" s="281">
        <f>+C70+C71</f>
        <v>1466663</v>
      </c>
      <c r="D72" s="281">
        <f>+D70+D71</f>
        <v>5110115</v>
      </c>
      <c r="E72" s="281">
        <f>+E70+E71</f>
        <v>6283951</v>
      </c>
    </row>
    <row r="73" spans="1:5" ht="24" customHeight="1" x14ac:dyDescent="0.2">
      <c r="A73" s="17">
        <v>8</v>
      </c>
      <c r="B73" s="45" t="s">
        <v>54</v>
      </c>
      <c r="C73" s="270">
        <f>+C40</f>
        <v>13723575</v>
      </c>
      <c r="D73" s="270">
        <f>+D40</f>
        <v>16238799</v>
      </c>
      <c r="E73" s="270">
        <f>+E40</f>
        <v>14881417</v>
      </c>
    </row>
    <row r="74" spans="1:5" ht="24" customHeight="1" x14ac:dyDescent="0.2">
      <c r="A74" s="17">
        <v>9</v>
      </c>
      <c r="B74" s="45" t="s">
        <v>58</v>
      </c>
      <c r="C74" s="281">
        <v>14150000</v>
      </c>
      <c r="D74" s="281">
        <v>13620000</v>
      </c>
      <c r="E74" s="281">
        <v>14691107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27873575</v>
      </c>
      <c r="D75" s="270">
        <f>+D73+D74</f>
        <v>29858799</v>
      </c>
      <c r="E75" s="270">
        <f>+E73+E74</f>
        <v>29572524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23.46350326685755</v>
      </c>
      <c r="D77" s="286">
        <f>IF(D80=0,0,(D78/D80)*100)</f>
        <v>37.463636960523971</v>
      </c>
      <c r="E77" s="286">
        <f>IF(E80=0,0,(E78/E80)*100)</f>
        <v>43.336031233101252</v>
      </c>
    </row>
    <row r="78" spans="1:5" ht="24" customHeight="1" x14ac:dyDescent="0.2">
      <c r="A78" s="17">
        <v>12</v>
      </c>
      <c r="B78" s="45" t="s">
        <v>58</v>
      </c>
      <c r="C78" s="270">
        <f>+C74</f>
        <v>14150000</v>
      </c>
      <c r="D78" s="270">
        <f>+D74</f>
        <v>13620000</v>
      </c>
      <c r="E78" s="270">
        <f>+E74</f>
        <v>14691107</v>
      </c>
    </row>
    <row r="79" spans="1:5" ht="24" customHeight="1" x14ac:dyDescent="0.2">
      <c r="A79" s="17">
        <v>13</v>
      </c>
      <c r="B79" s="45" t="s">
        <v>67</v>
      </c>
      <c r="C79" s="270">
        <f>+C32</f>
        <v>46156425</v>
      </c>
      <c r="D79" s="270">
        <f>+D32</f>
        <v>22735253</v>
      </c>
      <c r="E79" s="270">
        <f>+E32</f>
        <v>19209337</v>
      </c>
    </row>
    <row r="80" spans="1:5" ht="24" customHeight="1" x14ac:dyDescent="0.2">
      <c r="A80" s="17">
        <v>14</v>
      </c>
      <c r="B80" s="45" t="s">
        <v>362</v>
      </c>
      <c r="C80" s="270">
        <f>+C78+C79</f>
        <v>60306425</v>
      </c>
      <c r="D80" s="270">
        <f>+D78+D79</f>
        <v>36355253</v>
      </c>
      <c r="E80" s="270">
        <f>+E78+E79</f>
        <v>33900444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r:id="rId1"/>
  <headerFooter>
    <oddHeader>&amp;L&amp;8OFFICE OF HEALTH CARE ACCESS&amp;C&amp;8TWELVE MONTHS ACTUAL FILING&amp;R&amp;8DAY KIMBALL HOSPITAL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Normal="75" zoomScaleSheetLayoutView="75" workbookViewId="0"/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493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494</v>
      </c>
      <c r="G7" s="126" t="s">
        <v>494</v>
      </c>
      <c r="H7" s="125"/>
      <c r="I7" s="289"/>
    </row>
    <row r="8" spans="1:9" ht="15.75" customHeight="1" x14ac:dyDescent="0.25">
      <c r="A8" s="287"/>
      <c r="B8" s="126"/>
      <c r="C8" s="126" t="s">
        <v>495</v>
      </c>
      <c r="D8" s="126" t="s">
        <v>496</v>
      </c>
      <c r="E8" s="126" t="s">
        <v>497</v>
      </c>
      <c r="F8" s="126" t="s">
        <v>498</v>
      </c>
      <c r="G8" s="126" t="s">
        <v>499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500</v>
      </c>
      <c r="D9" s="292" t="s">
        <v>501</v>
      </c>
      <c r="E9" s="292" t="s">
        <v>502</v>
      </c>
      <c r="F9" s="292" t="s">
        <v>501</v>
      </c>
      <c r="G9" s="292" t="s">
        <v>502</v>
      </c>
      <c r="H9" s="125"/>
      <c r="I9" s="56"/>
    </row>
    <row r="10" spans="1:9" ht="15.75" customHeight="1" x14ac:dyDescent="0.25">
      <c r="A10" s="293" t="s">
        <v>503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504</v>
      </c>
      <c r="C11" s="296">
        <v>11224</v>
      </c>
      <c r="D11" s="297">
        <v>44</v>
      </c>
      <c r="E11" s="297">
        <v>72</v>
      </c>
      <c r="F11" s="298">
        <f>IF(D11=0,0,$C11/(D11*365))</f>
        <v>0.69887920298879203</v>
      </c>
      <c r="G11" s="298">
        <f>IF(E11=0,0,$C11/(E11*365))</f>
        <v>0.42709284627092847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505</v>
      </c>
      <c r="C13" s="296">
        <v>637</v>
      </c>
      <c r="D13" s="297">
        <v>6</v>
      </c>
      <c r="E13" s="297">
        <v>9</v>
      </c>
      <c r="F13" s="298">
        <f>IF(D13=0,0,$C13/(D13*365))</f>
        <v>0.29086757990867579</v>
      </c>
      <c r="G13" s="298">
        <f>IF(E13=0,0,$C13/(E13*365))</f>
        <v>0.19391171993911721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15" customHeight="1" x14ac:dyDescent="0.2">
      <c r="A15" s="294">
        <v>3</v>
      </c>
      <c r="B15" s="295" t="s">
        <v>506</v>
      </c>
      <c r="C15" s="296">
        <v>0</v>
      </c>
      <c r="D15" s="297">
        <v>0</v>
      </c>
      <c r="E15" s="297">
        <v>0</v>
      </c>
      <c r="F15" s="298">
        <f t="shared" ref="F15:G17" si="0">IF(D15=0,0,$C15/(D15*365))</f>
        <v>0</v>
      </c>
      <c r="G15" s="298">
        <f t="shared" si="0"/>
        <v>0</v>
      </c>
      <c r="H15" s="125"/>
      <c r="I15" s="299"/>
    </row>
    <row r="16" spans="1:9" ht="15" customHeight="1" x14ac:dyDescent="0.2">
      <c r="A16" s="294">
        <v>4</v>
      </c>
      <c r="B16" s="295" t="s">
        <v>507</v>
      </c>
      <c r="C16" s="296">
        <v>4535</v>
      </c>
      <c r="D16" s="297">
        <v>14</v>
      </c>
      <c r="E16" s="297">
        <v>15</v>
      </c>
      <c r="F16" s="298">
        <f t="shared" si="0"/>
        <v>0.88747553816046965</v>
      </c>
      <c r="G16" s="298">
        <f t="shared" si="0"/>
        <v>0.82831050228310499</v>
      </c>
      <c r="H16" s="125"/>
      <c r="I16" s="299"/>
    </row>
    <row r="17" spans="1:9" ht="15.75" customHeight="1" x14ac:dyDescent="0.25">
      <c r="A17" s="293"/>
      <c r="B17" s="135" t="s">
        <v>508</v>
      </c>
      <c r="C17" s="300">
        <f>SUM(C15:C16)</f>
        <v>4535</v>
      </c>
      <c r="D17" s="300">
        <f>SUM(D15:D16)</f>
        <v>14</v>
      </c>
      <c r="E17" s="300">
        <f>SUM(E15:E16)</f>
        <v>15</v>
      </c>
      <c r="F17" s="301">
        <f t="shared" si="0"/>
        <v>0.88747553816046965</v>
      </c>
      <c r="G17" s="301">
        <f t="shared" si="0"/>
        <v>0.82831050228310499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509</v>
      </c>
      <c r="C19" s="296">
        <v>0</v>
      </c>
      <c r="D19" s="297">
        <v>0</v>
      </c>
      <c r="E19" s="297">
        <v>0</v>
      </c>
      <c r="F19" s="298">
        <f>IF(D19=0,0,$C19/(D19*365))</f>
        <v>0</v>
      </c>
      <c r="G19" s="298">
        <f>IF(E19=0,0,$C19/(E19*365))</f>
        <v>0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510</v>
      </c>
      <c r="C21" s="296">
        <v>1239</v>
      </c>
      <c r="D21" s="297">
        <v>4</v>
      </c>
      <c r="E21" s="297">
        <v>8</v>
      </c>
      <c r="F21" s="298">
        <f>IF(D21=0,0,$C21/(D21*365))</f>
        <v>0.84863013698630141</v>
      </c>
      <c r="G21" s="298">
        <f>IF(E21=0,0,$C21/(E21*365))</f>
        <v>0.4243150684931507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511</v>
      </c>
      <c r="C23" s="296">
        <v>1200</v>
      </c>
      <c r="D23" s="297">
        <v>4</v>
      </c>
      <c r="E23" s="297">
        <v>18</v>
      </c>
      <c r="F23" s="298">
        <f>IF(D23=0,0,$C23/(D23*365))</f>
        <v>0.82191780821917804</v>
      </c>
      <c r="G23" s="298">
        <f>IF(E23=0,0,$C23/(E23*365))</f>
        <v>0.18264840182648401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0</v>
      </c>
      <c r="D25" s="297">
        <v>0</v>
      </c>
      <c r="E25" s="297">
        <v>0</v>
      </c>
      <c r="F25" s="298">
        <f>IF(D25=0,0,$C25/(D25*365))</f>
        <v>0</v>
      </c>
      <c r="G25" s="298">
        <f>IF(E25=0,0,$C25/(E25*365))</f>
        <v>0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512</v>
      </c>
      <c r="C27" s="296">
        <v>41</v>
      </c>
      <c r="D27" s="297">
        <v>0</v>
      </c>
      <c r="E27" s="297">
        <v>0</v>
      </c>
      <c r="F27" s="298">
        <f>IF(D27=0,0,$C27/(D27*365))</f>
        <v>0</v>
      </c>
      <c r="G27" s="298">
        <f>IF(E27=0,0,$C27/(E27*365))</f>
        <v>0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513</v>
      </c>
      <c r="C29" s="296">
        <v>0</v>
      </c>
      <c r="D29" s="297">
        <v>0</v>
      </c>
      <c r="E29" s="297">
        <v>0</v>
      </c>
      <c r="F29" s="298">
        <f>IF(D29=0,0,$C29/(D29*365))</f>
        <v>0</v>
      </c>
      <c r="G29" s="298">
        <f>IF(E29=0,0,$C29/(E29*365))</f>
        <v>0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514</v>
      </c>
      <c r="C31" s="300">
        <f>SUM(C10:C29)-C17-C23</f>
        <v>17676</v>
      </c>
      <c r="D31" s="300">
        <f>SUM(D10:D29)-D17-D23</f>
        <v>68</v>
      </c>
      <c r="E31" s="300">
        <f>SUM(E10:E29)-E17-E23</f>
        <v>104</v>
      </c>
      <c r="F31" s="301">
        <f>IF(D31=0,0,$C31/(D31*365))</f>
        <v>0.71216760676873492</v>
      </c>
      <c r="G31" s="301">
        <f>IF(E31=0,0,$C31/(E31*365))</f>
        <v>0.46564805057955744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515</v>
      </c>
      <c r="C33" s="300">
        <f>SUM(C10:C29)-C17</f>
        <v>18876</v>
      </c>
      <c r="D33" s="300">
        <f>SUM(D10:D29)-D17</f>
        <v>72</v>
      </c>
      <c r="E33" s="300">
        <f>SUM(E10:E29)-E17</f>
        <v>122</v>
      </c>
      <c r="F33" s="301">
        <f>IF(D33=0,0,$C33/(D33*365))</f>
        <v>0.71826484018264836</v>
      </c>
      <c r="G33" s="301">
        <f>IF(E33=0,0,$C33/(E33*365))</f>
        <v>0.42389400404221872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516</v>
      </c>
      <c r="C36" s="300">
        <f>+C33</f>
        <v>18876</v>
      </c>
      <c r="D36" s="300">
        <f>+D33</f>
        <v>72</v>
      </c>
      <c r="E36" s="300">
        <f>+E33</f>
        <v>122</v>
      </c>
      <c r="F36" s="301">
        <f>+F33</f>
        <v>0.71826484018264836</v>
      </c>
      <c r="G36" s="301">
        <f>+G33</f>
        <v>0.42389400404221872</v>
      </c>
      <c r="H36" s="125"/>
      <c r="I36" s="299"/>
    </row>
    <row r="37" spans="1:9" ht="15.75" customHeight="1" x14ac:dyDescent="0.25">
      <c r="A37" s="293"/>
      <c r="B37" s="135" t="s">
        <v>517</v>
      </c>
      <c r="C37" s="300">
        <v>20204</v>
      </c>
      <c r="D37" s="302">
        <v>72</v>
      </c>
      <c r="E37" s="302">
        <v>122</v>
      </c>
      <c r="F37" s="301">
        <f>IF(D37=0,0,$C37/(D37*365))</f>
        <v>0.76879756468797567</v>
      </c>
      <c r="G37" s="301">
        <f>IF(E37=0,0,$C37/(E37*365))</f>
        <v>0.45371659555355942</v>
      </c>
      <c r="H37" s="125"/>
      <c r="I37" s="299"/>
    </row>
    <row r="38" spans="1:9" ht="15.75" customHeight="1" x14ac:dyDescent="0.25">
      <c r="A38" s="293"/>
      <c r="B38" s="135" t="s">
        <v>518</v>
      </c>
      <c r="C38" s="300">
        <f>+C36-C37</f>
        <v>-1328</v>
      </c>
      <c r="D38" s="300">
        <f>+D36-D37</f>
        <v>0</v>
      </c>
      <c r="E38" s="300">
        <f>+E36-E37</f>
        <v>0</v>
      </c>
      <c r="F38" s="301">
        <f>+F36-F37</f>
        <v>-5.0532724505327309E-2</v>
      </c>
      <c r="G38" s="301">
        <f>+G36-G37</f>
        <v>-2.9822591511340701E-2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519</v>
      </c>
      <c r="C40" s="148">
        <f>IF(C37=0,0,C38/C37)</f>
        <v>-6.5729558503266686E-2</v>
      </c>
      <c r="D40" s="148">
        <f>IF(D37=0,0,D38/D37)</f>
        <v>0</v>
      </c>
      <c r="E40" s="148">
        <f>IF(E37=0,0,E38/E37)</f>
        <v>0</v>
      </c>
      <c r="F40" s="148">
        <f>IF(F37=0,0,F38/F37)</f>
        <v>-6.5729558503266755E-2</v>
      </c>
      <c r="G40" s="148">
        <f>IF(G37=0,0,G38/G37)</f>
        <v>-6.5729558503266741E-2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520</v>
      </c>
      <c r="C42" s="295">
        <v>122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521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503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r:id="rId1"/>
  <headerFooter>
    <oddHeader>&amp;LOFFICE OF HEALTH CARE ACCESS&amp;CTWELVE MONTHS ACTUAL FILING&amp;RDAY KIMBALL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/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523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524</v>
      </c>
      <c r="C12" s="296">
        <v>2114</v>
      </c>
      <c r="D12" s="296">
        <v>2073</v>
      </c>
      <c r="E12" s="296">
        <f>+D12-C12</f>
        <v>-41</v>
      </c>
      <c r="F12" s="316">
        <f>IF(C12=0,0,+E12/C12)</f>
        <v>-1.9394512771996216E-2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525</v>
      </c>
      <c r="C13" s="296">
        <v>8795</v>
      </c>
      <c r="D13" s="296">
        <v>9186</v>
      </c>
      <c r="E13" s="296">
        <f>+D13-C13</f>
        <v>391</v>
      </c>
      <c r="F13" s="316">
        <f>IF(C13=0,0,+E13/C13)</f>
        <v>4.4457077885162025E-2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526</v>
      </c>
      <c r="C14" s="296">
        <v>0</v>
      </c>
      <c r="D14" s="296">
        <v>0</v>
      </c>
      <c r="E14" s="296">
        <f>+D14-C14</f>
        <v>0</v>
      </c>
      <c r="F14" s="316">
        <f>IF(C14=0,0,+E14/C14)</f>
        <v>0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527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528</v>
      </c>
      <c r="C16" s="300">
        <f>SUM(C12:C15)</f>
        <v>10909</v>
      </c>
      <c r="D16" s="300">
        <f>SUM(D12:D15)</f>
        <v>11259</v>
      </c>
      <c r="E16" s="300">
        <f>+D16-C16</f>
        <v>350</v>
      </c>
      <c r="F16" s="309">
        <f>IF(C16=0,0,+E16/C16)</f>
        <v>3.2083600696672473E-2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529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524</v>
      </c>
      <c r="C19" s="296">
        <v>424</v>
      </c>
      <c r="D19" s="296">
        <v>499</v>
      </c>
      <c r="E19" s="296">
        <f>+D19-C19</f>
        <v>75</v>
      </c>
      <c r="F19" s="316">
        <f>IF(C19=0,0,+E19/C19)</f>
        <v>0.17688679245283018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525</v>
      </c>
      <c r="C20" s="296">
        <v>4034</v>
      </c>
      <c r="D20" s="296">
        <v>4212</v>
      </c>
      <c r="E20" s="296">
        <f>+D20-C20</f>
        <v>178</v>
      </c>
      <c r="F20" s="316">
        <f>IF(C20=0,0,+E20/C20)</f>
        <v>4.4124938026772434E-2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526</v>
      </c>
      <c r="C21" s="296">
        <v>0</v>
      </c>
      <c r="D21" s="296">
        <v>0</v>
      </c>
      <c r="E21" s="296">
        <f>+D21-C21</f>
        <v>0</v>
      </c>
      <c r="F21" s="316">
        <f>IF(C21=0,0,+E21/C21)</f>
        <v>0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527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530</v>
      </c>
      <c r="C23" s="300">
        <f>SUM(C19:C22)</f>
        <v>4458</v>
      </c>
      <c r="D23" s="300">
        <f>SUM(D19:D22)</f>
        <v>4711</v>
      </c>
      <c r="E23" s="300">
        <f>+D23-C23</f>
        <v>253</v>
      </c>
      <c r="F23" s="309">
        <f>IF(C23=0,0,+E23/C23)</f>
        <v>5.6751906684611934E-2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531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524</v>
      </c>
      <c r="C26" s="296">
        <v>0</v>
      </c>
      <c r="D26" s="296">
        <v>1</v>
      </c>
      <c r="E26" s="296">
        <f>+D26-C26</f>
        <v>1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525</v>
      </c>
      <c r="C27" s="296">
        <v>178</v>
      </c>
      <c r="D27" s="296">
        <v>195</v>
      </c>
      <c r="E27" s="296">
        <f>+D27-C27</f>
        <v>17</v>
      </c>
      <c r="F27" s="316">
        <f>IF(C27=0,0,+E27/C27)</f>
        <v>9.5505617977528087E-2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526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527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532</v>
      </c>
      <c r="C30" s="300">
        <f>SUM(C26:C29)</f>
        <v>178</v>
      </c>
      <c r="D30" s="300">
        <f>SUM(D26:D29)</f>
        <v>196</v>
      </c>
      <c r="E30" s="300">
        <f>+D30-C30</f>
        <v>18</v>
      </c>
      <c r="F30" s="309">
        <f>IF(C30=0,0,+E30/C30)</f>
        <v>0.10112359550561797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533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524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525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526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527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534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535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536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537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538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539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540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541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538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539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542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543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544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545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546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547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548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549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550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551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552</v>
      </c>
      <c r="C63" s="296">
        <v>853</v>
      </c>
      <c r="D63" s="296">
        <v>788</v>
      </c>
      <c r="E63" s="296">
        <f>+D63-C63</f>
        <v>-65</v>
      </c>
      <c r="F63" s="316">
        <f>IF(C63=0,0,+E63/C63)</f>
        <v>-7.6201641266119571E-2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553</v>
      </c>
      <c r="C64" s="296">
        <v>3004</v>
      </c>
      <c r="D64" s="296">
        <v>2996</v>
      </c>
      <c r="E64" s="296">
        <f>+D64-C64</f>
        <v>-8</v>
      </c>
      <c r="F64" s="316">
        <f>IF(C64=0,0,+E64/C64)</f>
        <v>-2.6631158455392811E-3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554</v>
      </c>
      <c r="C65" s="300">
        <f>SUM(C63:C64)</f>
        <v>3857</v>
      </c>
      <c r="D65" s="300">
        <f>SUM(D63:D64)</f>
        <v>3784</v>
      </c>
      <c r="E65" s="300">
        <f>+D65-C65</f>
        <v>-73</v>
      </c>
      <c r="F65" s="309">
        <f>IF(C65=0,0,+E65/C65)</f>
        <v>-1.8926626912107856E-2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555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556</v>
      </c>
      <c r="C68" s="296">
        <v>0</v>
      </c>
      <c r="D68" s="296">
        <v>0</v>
      </c>
      <c r="E68" s="296">
        <f>+D68-C68</f>
        <v>0</v>
      </c>
      <c r="F68" s="316">
        <f>IF(C68=0,0,+E68/C68)</f>
        <v>0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557</v>
      </c>
      <c r="C69" s="296">
        <v>2539</v>
      </c>
      <c r="D69" s="296">
        <v>2630</v>
      </c>
      <c r="E69" s="296">
        <f>+D69-C69</f>
        <v>91</v>
      </c>
      <c r="F69" s="318">
        <f>IF(C69=0,0,+E69/C69)</f>
        <v>3.5840882237101218E-2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558</v>
      </c>
      <c r="C70" s="300">
        <f>SUM(C68:C69)</f>
        <v>2539</v>
      </c>
      <c r="D70" s="300">
        <f>SUM(D68:D69)</f>
        <v>2630</v>
      </c>
      <c r="E70" s="300">
        <f>+D70-C70</f>
        <v>91</v>
      </c>
      <c r="F70" s="309">
        <f>IF(C70=0,0,+E70/C70)</f>
        <v>3.5840882237101218E-2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559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560</v>
      </c>
      <c r="C73" s="319">
        <v>3673</v>
      </c>
      <c r="D73" s="319">
        <v>3604</v>
      </c>
      <c r="E73" s="296">
        <f>+D73-C73</f>
        <v>-69</v>
      </c>
      <c r="F73" s="316">
        <f>IF(C73=0,0,+E73/C73)</f>
        <v>-1.8785733732643615E-2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561</v>
      </c>
      <c r="C74" s="319">
        <v>30101</v>
      </c>
      <c r="D74" s="319">
        <v>28650</v>
      </c>
      <c r="E74" s="296">
        <f>+D74-C74</f>
        <v>-1451</v>
      </c>
      <c r="F74" s="316">
        <f>IF(C74=0,0,+E74/C74)</f>
        <v>-4.8204378592073355E-2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33774</v>
      </c>
      <c r="D75" s="300">
        <f>SUM(D73:D74)</f>
        <v>32254</v>
      </c>
      <c r="E75" s="300">
        <f>SUM(E73:E74)</f>
        <v>-1520</v>
      </c>
      <c r="F75" s="309">
        <f>IF(C75=0,0,+E75/C75)</f>
        <v>-4.5005033457689345E-2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562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563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564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565</v>
      </c>
      <c r="C81" s="319">
        <v>6311</v>
      </c>
      <c r="D81" s="319">
        <v>7573</v>
      </c>
      <c r="E81" s="296">
        <f t="shared" si="0"/>
        <v>1262</v>
      </c>
      <c r="F81" s="316">
        <f t="shared" si="1"/>
        <v>0.19996830930122009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566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567</v>
      </c>
      <c r="C83" s="319">
        <v>54787</v>
      </c>
      <c r="D83" s="319">
        <v>56597</v>
      </c>
      <c r="E83" s="296">
        <f t="shared" si="0"/>
        <v>1810</v>
      </c>
      <c r="F83" s="316">
        <f t="shared" si="1"/>
        <v>3.3037034332962199E-2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568</v>
      </c>
      <c r="C84" s="320">
        <f>SUM(C79:C83)</f>
        <v>61098</v>
      </c>
      <c r="D84" s="320">
        <f>SUM(D79:D83)</f>
        <v>64170</v>
      </c>
      <c r="E84" s="300">
        <f t="shared" si="0"/>
        <v>3072</v>
      </c>
      <c r="F84" s="309">
        <f t="shared" si="1"/>
        <v>5.0279878228419915E-2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569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570</v>
      </c>
      <c r="C87" s="322">
        <v>29029</v>
      </c>
      <c r="D87" s="322">
        <v>28574</v>
      </c>
      <c r="E87" s="323">
        <f t="shared" ref="E87:E92" si="2">+D87-C87</f>
        <v>-455</v>
      </c>
      <c r="F87" s="318">
        <f t="shared" ref="F87:F92" si="3">IF(C87=0,0,+E87/C87)</f>
        <v>-1.5673981191222569E-2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3786</v>
      </c>
      <c r="D88" s="322">
        <v>3587</v>
      </c>
      <c r="E88" s="296">
        <f t="shared" si="2"/>
        <v>-199</v>
      </c>
      <c r="F88" s="316">
        <f t="shared" si="3"/>
        <v>-5.2562070787110407E-2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571</v>
      </c>
      <c r="C89" s="322">
        <v>962</v>
      </c>
      <c r="D89" s="322">
        <v>853</v>
      </c>
      <c r="E89" s="296">
        <f t="shared" si="2"/>
        <v>-109</v>
      </c>
      <c r="F89" s="316">
        <f t="shared" si="3"/>
        <v>-0.11330561330561331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572</v>
      </c>
      <c r="C90" s="322">
        <v>2539</v>
      </c>
      <c r="D90" s="322">
        <v>2630</v>
      </c>
      <c r="E90" s="296">
        <f t="shared" si="2"/>
        <v>91</v>
      </c>
      <c r="F90" s="316">
        <f t="shared" si="3"/>
        <v>3.5840882237101218E-2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573</v>
      </c>
      <c r="C91" s="322">
        <v>170153</v>
      </c>
      <c r="D91" s="322">
        <v>173040</v>
      </c>
      <c r="E91" s="296">
        <f t="shared" si="2"/>
        <v>2887</v>
      </c>
      <c r="F91" s="316">
        <f t="shared" si="3"/>
        <v>1.6967082566866291E-2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574</v>
      </c>
      <c r="C92" s="320">
        <f>SUM(C87:C91)</f>
        <v>206469</v>
      </c>
      <c r="D92" s="320">
        <f>SUM(D87:D91)</f>
        <v>208684</v>
      </c>
      <c r="E92" s="300">
        <f t="shared" si="2"/>
        <v>2215</v>
      </c>
      <c r="F92" s="309">
        <f t="shared" si="3"/>
        <v>1.0728002751018312E-2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575</v>
      </c>
      <c r="B95" s="291" t="s">
        <v>576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577</v>
      </c>
      <c r="C96" s="325">
        <v>234.9</v>
      </c>
      <c r="D96" s="325">
        <v>248</v>
      </c>
      <c r="E96" s="326">
        <f>+D96-C96</f>
        <v>13.099999999999994</v>
      </c>
      <c r="F96" s="316">
        <f>IF(C96=0,0,+E96/C96)</f>
        <v>5.5768412090251143E-2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578</v>
      </c>
      <c r="C97" s="325">
        <v>16.3</v>
      </c>
      <c r="D97" s="325">
        <v>15.4</v>
      </c>
      <c r="E97" s="326">
        <f>+D97-C97</f>
        <v>-0.90000000000000036</v>
      </c>
      <c r="F97" s="316">
        <f>IF(C97=0,0,+E97/C97)</f>
        <v>-5.5214723926380389E-2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579</v>
      </c>
      <c r="C98" s="325">
        <v>486.7</v>
      </c>
      <c r="D98" s="325">
        <v>511.4</v>
      </c>
      <c r="E98" s="326">
        <f>+D98-C98</f>
        <v>24.699999999999989</v>
      </c>
      <c r="F98" s="316">
        <f>IF(C98=0,0,+E98/C98)</f>
        <v>5.0749948633655208E-2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580</v>
      </c>
      <c r="C99" s="327">
        <f>SUM(C96:C98)</f>
        <v>737.9</v>
      </c>
      <c r="D99" s="327">
        <f>SUM(D96:D98)</f>
        <v>774.8</v>
      </c>
      <c r="E99" s="327">
        <f>+D99-C99</f>
        <v>36.899999999999977</v>
      </c>
      <c r="F99" s="309">
        <f>IF(C99=0,0,+E99/C99)</f>
        <v>5.0006775985905923E-2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r:id="rId1"/>
  <headerFooter>
    <oddHeader>&amp;LOFFICE OF HEALTH CARE ACCESS&amp;CTWELVE MONTHS ACTUAL FILING&amp;RDAY KIMBALL HOSPITAL</oddHeader>
    <oddFooter>&amp;LREPORT 450&amp;CPAGE &amp;P of &amp;N&amp;R&amp;D, &amp;T</oddFooter>
  </headerFooter>
  <rowBreaks count="1" manualBreakCount="1">
    <brk id="66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Normal="75" zoomScaleSheetLayoutView="90" workbookViewId="0"/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581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553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582</v>
      </c>
      <c r="C12" s="296">
        <v>3004</v>
      </c>
      <c r="D12" s="296">
        <v>2996</v>
      </c>
      <c r="E12" s="296">
        <f>+D12-C12</f>
        <v>-8</v>
      </c>
      <c r="F12" s="316">
        <f>IF(C12=0,0,+E12/C12)</f>
        <v>-2.6631158455392811E-3</v>
      </c>
    </row>
    <row r="13" spans="1:16" ht="15.75" customHeight="1" x14ac:dyDescent="0.25">
      <c r="A13" s="294"/>
      <c r="B13" s="135" t="s">
        <v>583</v>
      </c>
      <c r="C13" s="300">
        <f>SUM(C11:C12)</f>
        <v>3004</v>
      </c>
      <c r="D13" s="300">
        <f>SUM(D11:D12)</f>
        <v>2996</v>
      </c>
      <c r="E13" s="300">
        <f>+D13-C13</f>
        <v>-8</v>
      </c>
      <c r="F13" s="309">
        <f>IF(C13=0,0,+E13/C13)</f>
        <v>-2.6631158455392811E-3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557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582</v>
      </c>
      <c r="C16" s="296">
        <v>2539</v>
      </c>
      <c r="D16" s="296">
        <v>2630</v>
      </c>
      <c r="E16" s="296">
        <f>+D16-C16</f>
        <v>91</v>
      </c>
      <c r="F16" s="316">
        <f>IF(C16=0,0,+E16/C16)</f>
        <v>3.5840882237101218E-2</v>
      </c>
    </row>
    <row r="17" spans="1:6" ht="15.75" customHeight="1" x14ac:dyDescent="0.25">
      <c r="A17" s="294"/>
      <c r="B17" s="135" t="s">
        <v>584</v>
      </c>
      <c r="C17" s="300">
        <f>SUM(C15:C16)</f>
        <v>2539</v>
      </c>
      <c r="D17" s="300">
        <f>SUM(D15:D16)</f>
        <v>2630</v>
      </c>
      <c r="E17" s="300">
        <f>+D17-C17</f>
        <v>91</v>
      </c>
      <c r="F17" s="309">
        <f>IF(C17=0,0,+E17/C17)</f>
        <v>3.5840882237101218E-2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585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582</v>
      </c>
      <c r="C20" s="296">
        <v>30101</v>
      </c>
      <c r="D20" s="296">
        <v>28650</v>
      </c>
      <c r="E20" s="296">
        <f>+D20-C20</f>
        <v>-1451</v>
      </c>
      <c r="F20" s="316">
        <f>IF(C20=0,0,+E20/C20)</f>
        <v>-4.8204378592073355E-2</v>
      </c>
    </row>
    <row r="21" spans="1:6" ht="15.75" customHeight="1" x14ac:dyDescent="0.25">
      <c r="A21" s="294"/>
      <c r="B21" s="135" t="s">
        <v>586</v>
      </c>
      <c r="C21" s="300">
        <f>SUM(C19:C20)</f>
        <v>30101</v>
      </c>
      <c r="D21" s="300">
        <f>SUM(D19:D20)</f>
        <v>28650</v>
      </c>
      <c r="E21" s="300">
        <f>+D21-C21</f>
        <v>-1451</v>
      </c>
      <c r="F21" s="309">
        <f>IF(C21=0,0,+E21/C21)</f>
        <v>-4.8204378592073355E-2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587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588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589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FILING&amp;RDAY KIMBALL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Normal="85" zoomScaleSheetLayoutView="80" workbookViewId="0"/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590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591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592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593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594</v>
      </c>
      <c r="D7" s="341" t="s">
        <v>594</v>
      </c>
      <c r="E7" s="341" t="s">
        <v>595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596</v>
      </c>
      <c r="D8" s="344" t="s">
        <v>597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598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599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600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601</v>
      </c>
      <c r="C15" s="361">
        <v>31425234</v>
      </c>
      <c r="D15" s="361">
        <v>28346683</v>
      </c>
      <c r="E15" s="361">
        <f t="shared" ref="E15:E24" si="0">D15-C15</f>
        <v>-3078551</v>
      </c>
      <c r="F15" s="362">
        <f t="shared" ref="F15:F24" si="1">IF(C15=0,0,E15/C15)</f>
        <v>-9.7964298372448078E-2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602</v>
      </c>
      <c r="C16" s="361">
        <v>18096677</v>
      </c>
      <c r="D16" s="361">
        <v>18684382</v>
      </c>
      <c r="E16" s="361">
        <f t="shared" si="0"/>
        <v>587705</v>
      </c>
      <c r="F16" s="362">
        <f t="shared" si="1"/>
        <v>3.247585178207027E-2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603</v>
      </c>
      <c r="C17" s="366">
        <f>IF(C15=0,0,C16/C15)</f>
        <v>0.57586451066680999</v>
      </c>
      <c r="D17" s="366">
        <f>IF(LN_IA1=0,0,LN_IA2/LN_IA1)</f>
        <v>0.65913821380794357</v>
      </c>
      <c r="E17" s="367">
        <f t="shared" si="0"/>
        <v>8.3273703141133582E-2</v>
      </c>
      <c r="F17" s="362">
        <f t="shared" si="1"/>
        <v>0.14460641626397255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2571</v>
      </c>
      <c r="D18" s="369">
        <v>2334</v>
      </c>
      <c r="E18" s="369">
        <f t="shared" si="0"/>
        <v>-237</v>
      </c>
      <c r="F18" s="362">
        <f t="shared" si="1"/>
        <v>-9.2182030338389731E-2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604</v>
      </c>
      <c r="C19" s="372">
        <v>1.1093</v>
      </c>
      <c r="D19" s="372">
        <v>1.0235000000000001</v>
      </c>
      <c r="E19" s="373">
        <f t="shared" si="0"/>
        <v>-8.5799999999999876E-2</v>
      </c>
      <c r="F19" s="362">
        <f t="shared" si="1"/>
        <v>-7.7346074100784173E-2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605</v>
      </c>
      <c r="C20" s="376">
        <f>C18*C19</f>
        <v>2852.0102999999999</v>
      </c>
      <c r="D20" s="376">
        <f>LN_IA4*LN_IA5</f>
        <v>2388.8490000000002</v>
      </c>
      <c r="E20" s="376">
        <f t="shared" si="0"/>
        <v>-463.16129999999976</v>
      </c>
      <c r="F20" s="362">
        <f t="shared" si="1"/>
        <v>-0.16239818628986008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606</v>
      </c>
      <c r="C21" s="378">
        <f>IF(C20=0,0,C16/C20)</f>
        <v>6345.23549932481</v>
      </c>
      <c r="D21" s="378">
        <f>IF(LN_IA6=0,0,LN_IA2/LN_IA6)</f>
        <v>7821.4998101596202</v>
      </c>
      <c r="E21" s="378">
        <f t="shared" si="0"/>
        <v>1476.2643108348102</v>
      </c>
      <c r="F21" s="362">
        <f t="shared" si="1"/>
        <v>0.23265713478907094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10832</v>
      </c>
      <c r="D22" s="369">
        <v>9522</v>
      </c>
      <c r="E22" s="369">
        <f t="shared" si="0"/>
        <v>-1310</v>
      </c>
      <c r="F22" s="362">
        <f t="shared" si="1"/>
        <v>-0.12093796159527326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607</v>
      </c>
      <c r="C23" s="378">
        <f>IF(C22=0,0,C16/C22)</f>
        <v>1670.6681129985229</v>
      </c>
      <c r="D23" s="378">
        <f>IF(LN_IA8=0,0,LN_IA2/LN_IA8)</f>
        <v>1962.232934257509</v>
      </c>
      <c r="E23" s="378">
        <f t="shared" si="0"/>
        <v>291.56482125898606</v>
      </c>
      <c r="F23" s="362">
        <f t="shared" si="1"/>
        <v>0.17451989356263234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608</v>
      </c>
      <c r="C24" s="379">
        <f>IF(C18=0,0,C22/C18)</f>
        <v>4.2131466355503697</v>
      </c>
      <c r="D24" s="379">
        <f>IF(LN_IA4=0,0,LN_IA8/LN_IA4)</f>
        <v>4.0796915167095111</v>
      </c>
      <c r="E24" s="379">
        <f t="shared" si="0"/>
        <v>-0.13345511884085859</v>
      </c>
      <c r="F24" s="362">
        <f t="shared" si="1"/>
        <v>-3.1675878004047954E-2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609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610</v>
      </c>
      <c r="C27" s="361">
        <v>34602568</v>
      </c>
      <c r="D27" s="361">
        <v>36390387</v>
      </c>
      <c r="E27" s="361">
        <f t="shared" ref="E27:E32" si="2">D27-C27</f>
        <v>1787819</v>
      </c>
      <c r="F27" s="362">
        <f t="shared" ref="F27:F32" si="3">IF(C27=0,0,E27/C27)</f>
        <v>5.1667234639926146E-2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611</v>
      </c>
      <c r="C28" s="361">
        <v>15954823</v>
      </c>
      <c r="D28" s="361">
        <v>17477474</v>
      </c>
      <c r="E28" s="361">
        <f t="shared" si="2"/>
        <v>1522651</v>
      </c>
      <c r="F28" s="362">
        <f t="shared" si="3"/>
        <v>9.5435154623777399E-2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612</v>
      </c>
      <c r="C29" s="366">
        <f>IF(C27=0,0,C28/C27)</f>
        <v>0.46108783024427552</v>
      </c>
      <c r="D29" s="366">
        <f>IF(LN_IA11=0,0,LN_IA12/LN_IA11)</f>
        <v>0.48027722266322698</v>
      </c>
      <c r="E29" s="367">
        <f t="shared" si="2"/>
        <v>1.9189392418951456E-2</v>
      </c>
      <c r="F29" s="362">
        <f t="shared" si="3"/>
        <v>4.1617651042286853E-2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613</v>
      </c>
      <c r="C30" s="366">
        <f>IF(C15=0,0,C27/C15)</f>
        <v>1.101107727630604</v>
      </c>
      <c r="D30" s="366">
        <f>IF(LN_IA1=0,0,LN_IA11/LN_IA1)</f>
        <v>1.2837617367788676</v>
      </c>
      <c r="E30" s="367">
        <f t="shared" si="2"/>
        <v>0.18265400914826357</v>
      </c>
      <c r="F30" s="362">
        <f t="shared" si="3"/>
        <v>0.16588205183275195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614</v>
      </c>
      <c r="C31" s="376">
        <f>C30*C18</f>
        <v>2830.9479677382828</v>
      </c>
      <c r="D31" s="376">
        <f>LN_IA14*LN_IA4</f>
        <v>2996.2998936418771</v>
      </c>
      <c r="E31" s="376">
        <f t="shared" si="2"/>
        <v>165.35192590359429</v>
      </c>
      <c r="F31" s="362">
        <f t="shared" si="3"/>
        <v>5.8408677159721235E-2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615</v>
      </c>
      <c r="C32" s="378">
        <f>IF(C31=0,0,C28/C31)</f>
        <v>5635.858794235176</v>
      </c>
      <c r="D32" s="378">
        <f>IF(LN_IA15=0,0,LN_IA12/LN_IA15)</f>
        <v>5833.0189301434921</v>
      </c>
      <c r="E32" s="378">
        <f t="shared" si="2"/>
        <v>197.16013590831608</v>
      </c>
      <c r="F32" s="362">
        <f t="shared" si="3"/>
        <v>3.498315751097026E-2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616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617</v>
      </c>
      <c r="C35" s="361">
        <f>C15+C27</f>
        <v>66027802</v>
      </c>
      <c r="D35" s="361">
        <f>LN_IA1+LN_IA11</f>
        <v>64737070</v>
      </c>
      <c r="E35" s="361">
        <f>D35-C35</f>
        <v>-1290732</v>
      </c>
      <c r="F35" s="362">
        <f>IF(C35=0,0,E35/C35)</f>
        <v>-1.9548310876681917E-2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618</v>
      </c>
      <c r="C36" s="361">
        <f>C16+C28</f>
        <v>34051500</v>
      </c>
      <c r="D36" s="361">
        <f>LN_IA2+LN_IA12</f>
        <v>36161856</v>
      </c>
      <c r="E36" s="361">
        <f>D36-C36</f>
        <v>2110356</v>
      </c>
      <c r="F36" s="362">
        <f>IF(C36=0,0,E36/C36)</f>
        <v>6.1975419585040305E-2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619</v>
      </c>
      <c r="C37" s="361">
        <f>C35-C36</f>
        <v>31976302</v>
      </c>
      <c r="D37" s="361">
        <f>LN_IA17-LN_IA18</f>
        <v>28575214</v>
      </c>
      <c r="E37" s="361">
        <f>D37-C37</f>
        <v>-3401088</v>
      </c>
      <c r="F37" s="362">
        <f>IF(C37=0,0,E37/C37)</f>
        <v>-0.10636276827758256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620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621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601</v>
      </c>
      <c r="C42" s="361">
        <v>16754947</v>
      </c>
      <c r="D42" s="361">
        <v>15157306</v>
      </c>
      <c r="E42" s="361">
        <f t="shared" ref="E42:E53" si="4">D42-C42</f>
        <v>-1597641</v>
      </c>
      <c r="F42" s="362">
        <f t="shared" ref="F42:F53" si="5">IF(C42=0,0,E42/C42)</f>
        <v>-9.5353390255427245E-2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602</v>
      </c>
      <c r="C43" s="361">
        <v>9152280</v>
      </c>
      <c r="D43" s="361">
        <v>8782544</v>
      </c>
      <c r="E43" s="361">
        <f t="shared" si="4"/>
        <v>-369736</v>
      </c>
      <c r="F43" s="362">
        <f t="shared" si="5"/>
        <v>-4.0398239564348994E-2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603</v>
      </c>
      <c r="C44" s="366">
        <f>IF(C42=0,0,C43/C42)</f>
        <v>0.54624344678619396</v>
      </c>
      <c r="D44" s="366">
        <f>IF(LN_IB1=0,0,LN_IB2/LN_IB1)</f>
        <v>0.57942644952869593</v>
      </c>
      <c r="E44" s="367">
        <f t="shared" si="4"/>
        <v>3.3183002742501966E-2</v>
      </c>
      <c r="F44" s="362">
        <f t="shared" si="5"/>
        <v>6.0747644548841934E-2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2019</v>
      </c>
      <c r="D45" s="369">
        <v>1726</v>
      </c>
      <c r="E45" s="369">
        <f t="shared" si="4"/>
        <v>-293</v>
      </c>
      <c r="F45" s="362">
        <f t="shared" si="5"/>
        <v>-0.14512134720158495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604</v>
      </c>
      <c r="C46" s="372">
        <v>0.82840000000000003</v>
      </c>
      <c r="D46" s="372">
        <v>0.82930000000000004</v>
      </c>
      <c r="E46" s="373">
        <f t="shared" si="4"/>
        <v>9.000000000000119E-4</v>
      </c>
      <c r="F46" s="362">
        <f t="shared" si="5"/>
        <v>1.0864316755190872E-3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605</v>
      </c>
      <c r="C47" s="376">
        <f>C45*C46</f>
        <v>1672.5396000000001</v>
      </c>
      <c r="D47" s="376">
        <f>LN_IB4*LN_IB5</f>
        <v>1431.3718000000001</v>
      </c>
      <c r="E47" s="376">
        <f t="shared" si="4"/>
        <v>-241.16779999999994</v>
      </c>
      <c r="F47" s="362">
        <f t="shared" si="5"/>
        <v>-0.14419257995445964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606</v>
      </c>
      <c r="C48" s="378">
        <f>IF(C47=0,0,C43/C47)</f>
        <v>5472.0856833524294</v>
      </c>
      <c r="D48" s="378">
        <f>IF(LN_IB6=0,0,LN_IB2/LN_IB6)</f>
        <v>6135.7531285721843</v>
      </c>
      <c r="E48" s="378">
        <f t="shared" si="4"/>
        <v>663.66744521975488</v>
      </c>
      <c r="F48" s="362">
        <f t="shared" si="5"/>
        <v>0.12128235623919623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622</v>
      </c>
      <c r="C49" s="378">
        <f>C21-C48</f>
        <v>873.14981597238057</v>
      </c>
      <c r="D49" s="378">
        <f>LN_IA7-LN_IB7</f>
        <v>1685.7466815874359</v>
      </c>
      <c r="E49" s="378">
        <f t="shared" si="4"/>
        <v>812.59686561505532</v>
      </c>
      <c r="F49" s="362">
        <f t="shared" si="5"/>
        <v>0.93064998783755037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623</v>
      </c>
      <c r="C50" s="391">
        <f>C49*C47</f>
        <v>1460377.6439465191</v>
      </c>
      <c r="D50" s="391">
        <f>LN_IB8*LN_IB6</f>
        <v>2412930.261967835</v>
      </c>
      <c r="E50" s="391">
        <f t="shared" si="4"/>
        <v>952552.6180213159</v>
      </c>
      <c r="F50" s="362">
        <f t="shared" si="5"/>
        <v>0.65226458510220775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5991</v>
      </c>
      <c r="D51" s="369">
        <v>5637</v>
      </c>
      <c r="E51" s="369">
        <f t="shared" si="4"/>
        <v>-354</v>
      </c>
      <c r="F51" s="362">
        <f t="shared" si="5"/>
        <v>-5.9088632949424139E-2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607</v>
      </c>
      <c r="C52" s="378">
        <f>IF(C51=0,0,C43/C51)</f>
        <v>1527.6715072608913</v>
      </c>
      <c r="D52" s="378">
        <f>IF(LN_IB10=0,0,LN_IB2/LN_IB10)</f>
        <v>1558.0173851339364</v>
      </c>
      <c r="E52" s="378">
        <f t="shared" si="4"/>
        <v>30.345877873045083</v>
      </c>
      <c r="F52" s="362">
        <f t="shared" si="5"/>
        <v>1.9864138153270344E-2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608</v>
      </c>
      <c r="C53" s="379">
        <f>IF(C45=0,0,C51/C45)</f>
        <v>2.9673105497771175</v>
      </c>
      <c r="D53" s="379">
        <f>IF(LN_IB4=0,0,LN_IB10/LN_IB4)</f>
        <v>3.2659327925840094</v>
      </c>
      <c r="E53" s="379">
        <f t="shared" si="4"/>
        <v>0.29862224280689187</v>
      </c>
      <c r="F53" s="362">
        <f t="shared" si="5"/>
        <v>0.10063734071559249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624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610</v>
      </c>
      <c r="C56" s="361">
        <v>55129669</v>
      </c>
      <c r="D56" s="361">
        <v>57225261</v>
      </c>
      <c r="E56" s="361">
        <f t="shared" ref="E56:E63" si="6">D56-C56</f>
        <v>2095592</v>
      </c>
      <c r="F56" s="362">
        <f t="shared" ref="F56:F63" si="7">IF(C56=0,0,E56/C56)</f>
        <v>3.801205481571094E-2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611</v>
      </c>
      <c r="C57" s="361">
        <v>37603044</v>
      </c>
      <c r="D57" s="361">
        <v>38664834</v>
      </c>
      <c r="E57" s="361">
        <f t="shared" si="6"/>
        <v>1061790</v>
      </c>
      <c r="F57" s="362">
        <f t="shared" si="7"/>
        <v>2.8236809764656288E-2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612</v>
      </c>
      <c r="C58" s="366">
        <f>IF(C56=0,0,C57/C56)</f>
        <v>0.6820836163554691</v>
      </c>
      <c r="D58" s="366">
        <f>IF(LN_IB13=0,0,LN_IB14/LN_IB13)</f>
        <v>0.67566024731630314</v>
      </c>
      <c r="E58" s="367">
        <f t="shared" si="6"/>
        <v>-6.4233690391659604E-3</v>
      </c>
      <c r="F58" s="362">
        <f t="shared" si="7"/>
        <v>-9.4172750747005332E-3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613</v>
      </c>
      <c r="C59" s="366">
        <f>IF(C42=0,0,C56/C42)</f>
        <v>3.2903517391012933</v>
      </c>
      <c r="D59" s="366">
        <f>IF(LN_IB1=0,0,LN_IB13/LN_IB1)</f>
        <v>3.7754242739441954</v>
      </c>
      <c r="E59" s="367">
        <f t="shared" si="6"/>
        <v>0.48507253484290214</v>
      </c>
      <c r="F59" s="362">
        <f t="shared" si="7"/>
        <v>0.14742269924472934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614</v>
      </c>
      <c r="C60" s="376">
        <f>C59*C45</f>
        <v>6643.220161245511</v>
      </c>
      <c r="D60" s="376">
        <f>LN_IB16*LN_IB4</f>
        <v>6516.3822968276818</v>
      </c>
      <c r="E60" s="376">
        <f t="shared" si="6"/>
        <v>-126.83786441782922</v>
      </c>
      <c r="F60" s="362">
        <f t="shared" si="7"/>
        <v>-1.9092828679344701E-2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615</v>
      </c>
      <c r="C61" s="378">
        <f>IF(C60=0,0,C57/C60)</f>
        <v>5660.3639631521646</v>
      </c>
      <c r="D61" s="378">
        <f>IF(LN_IB17=0,0,LN_IB14/LN_IB17)</f>
        <v>5933.4815299008615</v>
      </c>
      <c r="E61" s="378">
        <f t="shared" si="6"/>
        <v>273.11756674869685</v>
      </c>
      <c r="F61" s="362">
        <f t="shared" si="7"/>
        <v>4.8250884311792933E-2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625</v>
      </c>
      <c r="C62" s="378">
        <f>C32-C61</f>
        <v>-24.505168916988623</v>
      </c>
      <c r="D62" s="378">
        <f>LN_IA16-LN_IB18</f>
        <v>-100.46259975736939</v>
      </c>
      <c r="E62" s="378">
        <f t="shared" si="6"/>
        <v>-75.957430840380766</v>
      </c>
      <c r="F62" s="362">
        <f t="shared" si="7"/>
        <v>3.0996493473555282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626</v>
      </c>
      <c r="C63" s="361">
        <f>C62*C60</f>
        <v>-162793.23220406566</v>
      </c>
      <c r="D63" s="361">
        <f>LN_IB19*LN_IB17</f>
        <v>-654652.70655220689</v>
      </c>
      <c r="E63" s="361">
        <f t="shared" si="6"/>
        <v>-491859.47434814123</v>
      </c>
      <c r="F63" s="362">
        <f t="shared" si="7"/>
        <v>3.0213754447210821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627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617</v>
      </c>
      <c r="C66" s="361">
        <f>C42+C56</f>
        <v>71884616</v>
      </c>
      <c r="D66" s="361">
        <f>LN_IB1+LN_IB13</f>
        <v>72382567</v>
      </c>
      <c r="E66" s="361">
        <f>D66-C66</f>
        <v>497951</v>
      </c>
      <c r="F66" s="362">
        <f>IF(C66=0,0,E66/C66)</f>
        <v>6.9270871531121481E-3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618</v>
      </c>
      <c r="C67" s="361">
        <f>C43+C57</f>
        <v>46755324</v>
      </c>
      <c r="D67" s="361">
        <f>LN_IB2+LN_IB14</f>
        <v>47447378</v>
      </c>
      <c r="E67" s="361">
        <f>D67-C67</f>
        <v>692054</v>
      </c>
      <c r="F67" s="362">
        <f>IF(C67=0,0,E67/C67)</f>
        <v>1.4801608475646539E-2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619</v>
      </c>
      <c r="C68" s="361">
        <f>C66-C67</f>
        <v>25129292</v>
      </c>
      <c r="D68" s="361">
        <f>LN_IB21-LN_IB22</f>
        <v>24935189</v>
      </c>
      <c r="E68" s="361">
        <f>D68-C68</f>
        <v>-194103</v>
      </c>
      <c r="F68" s="362">
        <f>IF(C68=0,0,E68/C68)</f>
        <v>-7.7241730487273581E-3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628</v>
      </c>
      <c r="C70" s="353">
        <f>C50+C63</f>
        <v>1297584.4117424535</v>
      </c>
      <c r="D70" s="353">
        <f>LN_IB9+LN_IB20</f>
        <v>1758277.555415628</v>
      </c>
      <c r="E70" s="361">
        <f>D70-C70</f>
        <v>460693.14367317455</v>
      </c>
      <c r="F70" s="362">
        <f>IF(C70=0,0,E70/C70)</f>
        <v>0.35503905526618923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629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630</v>
      </c>
      <c r="C73" s="400">
        <v>71884616</v>
      </c>
      <c r="D73" s="400">
        <v>72119402</v>
      </c>
      <c r="E73" s="400">
        <f>D73-C73</f>
        <v>234786</v>
      </c>
      <c r="F73" s="401">
        <f>IF(C73=0,0,E73/C73)</f>
        <v>3.2661508548644121E-3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631</v>
      </c>
      <c r="C74" s="400">
        <v>46755324</v>
      </c>
      <c r="D74" s="400">
        <v>47838937</v>
      </c>
      <c r="E74" s="400">
        <f>D74-C74</f>
        <v>1083613</v>
      </c>
      <c r="F74" s="401">
        <f>IF(C74=0,0,E74/C74)</f>
        <v>2.317624833484204E-2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632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633</v>
      </c>
      <c r="C76" s="353">
        <f>C73-C74</f>
        <v>25129292</v>
      </c>
      <c r="D76" s="353">
        <f>LN_IB32-LN_IB33</f>
        <v>24280465</v>
      </c>
      <c r="E76" s="400">
        <f>D76-C76</f>
        <v>-848827</v>
      </c>
      <c r="F76" s="401">
        <f>IF(C76=0,0,E76/C76)</f>
        <v>-3.3778388981273326E-2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634</v>
      </c>
      <c r="C77" s="366">
        <f>IF(C73=0,0,C76/C73)</f>
        <v>0.34957816287145499</v>
      </c>
      <c r="D77" s="366">
        <f>IF(LN_IB1=0,0,LN_IB34/LN_IB32)</f>
        <v>0.33667035952405705</v>
      </c>
      <c r="E77" s="405">
        <f>D77-C77</f>
        <v>-1.2907803347397939E-2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635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636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601</v>
      </c>
      <c r="C83" s="361">
        <v>1028632</v>
      </c>
      <c r="D83" s="361">
        <v>1207338</v>
      </c>
      <c r="E83" s="361">
        <f t="shared" ref="E83:E95" si="8">D83-C83</f>
        <v>178706</v>
      </c>
      <c r="F83" s="362">
        <f t="shared" ref="F83:F95" si="9">IF(C83=0,0,E83/C83)</f>
        <v>0.17373171357686715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602</v>
      </c>
      <c r="C84" s="361">
        <v>52535</v>
      </c>
      <c r="D84" s="361">
        <v>50266</v>
      </c>
      <c r="E84" s="361">
        <f t="shared" si="8"/>
        <v>-2269</v>
      </c>
      <c r="F84" s="362">
        <f t="shared" si="9"/>
        <v>-4.3190254116303416E-2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603</v>
      </c>
      <c r="C85" s="366">
        <f>IF(C83=0,0,C84/C83)</f>
        <v>5.1072686830664418E-2</v>
      </c>
      <c r="D85" s="366">
        <f>IF(LN_IC1=0,0,LN_IC2/LN_IC1)</f>
        <v>4.1633742994919398E-2</v>
      </c>
      <c r="E85" s="367">
        <f t="shared" si="8"/>
        <v>-9.4389438357450201E-3</v>
      </c>
      <c r="F85" s="362">
        <f t="shared" si="9"/>
        <v>-0.18481392739411956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72</v>
      </c>
      <c r="D86" s="369">
        <v>81</v>
      </c>
      <c r="E86" s="369">
        <f t="shared" si="8"/>
        <v>9</v>
      </c>
      <c r="F86" s="362">
        <f t="shared" si="9"/>
        <v>0.125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604</v>
      </c>
      <c r="C87" s="372">
        <v>0.90949999999999998</v>
      </c>
      <c r="D87" s="372">
        <v>0.85670000000000002</v>
      </c>
      <c r="E87" s="373">
        <f t="shared" si="8"/>
        <v>-5.2799999999999958E-2</v>
      </c>
      <c r="F87" s="362">
        <f t="shared" si="9"/>
        <v>-5.8053875755909798E-2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605</v>
      </c>
      <c r="C88" s="376">
        <f>C86*C87</f>
        <v>65.483999999999995</v>
      </c>
      <c r="D88" s="376">
        <f>LN_IC4*LN_IC5</f>
        <v>69.392700000000005</v>
      </c>
      <c r="E88" s="376">
        <f t="shared" si="8"/>
        <v>3.9087000000000103</v>
      </c>
      <c r="F88" s="362">
        <f t="shared" si="9"/>
        <v>5.9689389774601594E-2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606</v>
      </c>
      <c r="C89" s="378">
        <f>IF(C88=0,0,C84/C88)</f>
        <v>802.2570398876062</v>
      </c>
      <c r="D89" s="378">
        <f>IF(LN_IC6=0,0,LN_IC2/LN_IC6)</f>
        <v>724.37014268071425</v>
      </c>
      <c r="E89" s="378">
        <f t="shared" si="8"/>
        <v>-77.886897206891945</v>
      </c>
      <c r="F89" s="362">
        <f t="shared" si="9"/>
        <v>-9.7084716411841854E-2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637</v>
      </c>
      <c r="C90" s="378">
        <f>C48-C89</f>
        <v>4669.8286434648235</v>
      </c>
      <c r="D90" s="378">
        <f>LN_IB7-LN_IC7</f>
        <v>5411.3829858914705</v>
      </c>
      <c r="E90" s="378">
        <f t="shared" si="8"/>
        <v>741.55434242664705</v>
      </c>
      <c r="F90" s="362">
        <f t="shared" si="9"/>
        <v>0.15879690649129338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638</v>
      </c>
      <c r="C91" s="378">
        <f>C21-C89</f>
        <v>5542.978459437204</v>
      </c>
      <c r="D91" s="378">
        <f>LN_IA7-LN_IC7</f>
        <v>7097.1296674789064</v>
      </c>
      <c r="E91" s="378">
        <f t="shared" si="8"/>
        <v>1554.1512080417024</v>
      </c>
      <c r="F91" s="362">
        <f t="shared" si="9"/>
        <v>0.28038196782014918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623</v>
      </c>
      <c r="C92" s="353">
        <f>C91*C88</f>
        <v>362976.40143778583</v>
      </c>
      <c r="D92" s="353">
        <f>LN_IC9*LN_IC6</f>
        <v>492488.98987646354</v>
      </c>
      <c r="E92" s="353">
        <f t="shared" si="8"/>
        <v>129512.58843867772</v>
      </c>
      <c r="F92" s="362">
        <f t="shared" si="9"/>
        <v>0.35680718615773754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204</v>
      </c>
      <c r="D93" s="369">
        <v>348</v>
      </c>
      <c r="E93" s="369">
        <f t="shared" si="8"/>
        <v>144</v>
      </c>
      <c r="F93" s="362">
        <f t="shared" si="9"/>
        <v>0.70588235294117652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607</v>
      </c>
      <c r="C94" s="411">
        <f>IF(C93=0,0,C84/C93)</f>
        <v>257.52450980392155</v>
      </c>
      <c r="D94" s="411">
        <f>IF(LN_IC11=0,0,LN_IC2/LN_IC11)</f>
        <v>144.44252873563218</v>
      </c>
      <c r="E94" s="411">
        <f t="shared" si="8"/>
        <v>-113.08198106828937</v>
      </c>
      <c r="F94" s="362">
        <f t="shared" si="9"/>
        <v>-0.43911152827507438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608</v>
      </c>
      <c r="C95" s="379">
        <f>IF(C86=0,0,C93/C86)</f>
        <v>2.8333333333333335</v>
      </c>
      <c r="D95" s="379">
        <f>IF(LN_IC4=0,0,LN_IC11/LN_IC4)</f>
        <v>4.2962962962962967</v>
      </c>
      <c r="E95" s="379">
        <f t="shared" si="8"/>
        <v>1.4629629629629632</v>
      </c>
      <c r="F95" s="362">
        <f t="shared" si="9"/>
        <v>0.5163398692810458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639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610</v>
      </c>
      <c r="C98" s="361">
        <v>2467936</v>
      </c>
      <c r="D98" s="361">
        <v>2592162</v>
      </c>
      <c r="E98" s="361">
        <f t="shared" ref="E98:E106" si="10">D98-C98</f>
        <v>124226</v>
      </c>
      <c r="F98" s="362">
        <f t="shared" ref="F98:F106" si="11">IF(C98=0,0,E98/C98)</f>
        <v>5.0335989263903119E-2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611</v>
      </c>
      <c r="C99" s="361">
        <v>159075</v>
      </c>
      <c r="D99" s="361">
        <v>125390</v>
      </c>
      <c r="E99" s="361">
        <f t="shared" si="10"/>
        <v>-33685</v>
      </c>
      <c r="F99" s="362">
        <f t="shared" si="11"/>
        <v>-0.21175546126041175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612</v>
      </c>
      <c r="C100" s="366">
        <f>IF(C98=0,0,C99/C98)</f>
        <v>6.4456695797621977E-2</v>
      </c>
      <c r="D100" s="366">
        <f>IF(LN_IC14=0,0,LN_IC15/LN_IC14)</f>
        <v>4.8372748308169011E-2</v>
      </c>
      <c r="E100" s="367">
        <f t="shared" si="10"/>
        <v>-1.6083947489452965E-2</v>
      </c>
      <c r="F100" s="362">
        <f t="shared" si="11"/>
        <v>-0.24953105787415117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613</v>
      </c>
      <c r="C101" s="366">
        <f>IF(C83=0,0,C98/C83)</f>
        <v>2.3992409335894664</v>
      </c>
      <c r="D101" s="366">
        <f>IF(LN_IC1=0,0,LN_IC14/LN_IC1)</f>
        <v>2.1470060579556014</v>
      </c>
      <c r="E101" s="367">
        <f t="shared" si="10"/>
        <v>-0.25223487563386504</v>
      </c>
      <c r="F101" s="362">
        <f t="shared" si="11"/>
        <v>-0.10513111547180067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614</v>
      </c>
      <c r="C102" s="376">
        <f>C101*C86</f>
        <v>172.74534721844159</v>
      </c>
      <c r="D102" s="376">
        <f>LN_IC17*LN_IC4</f>
        <v>173.90749069440372</v>
      </c>
      <c r="E102" s="376">
        <f t="shared" si="10"/>
        <v>1.1621434759621252</v>
      </c>
      <c r="F102" s="362">
        <f t="shared" si="11"/>
        <v>6.7274950942242196E-3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615</v>
      </c>
      <c r="C103" s="378">
        <f>IF(C102=0,0,C99/C102)</f>
        <v>920.86416544027065</v>
      </c>
      <c r="D103" s="378">
        <f>IF(LN_IC18=0,0,LN_IC15/LN_IC18)</f>
        <v>721.01552094923647</v>
      </c>
      <c r="E103" s="378">
        <f t="shared" si="10"/>
        <v>-199.84864449103418</v>
      </c>
      <c r="F103" s="362">
        <f t="shared" si="11"/>
        <v>-0.21702293561991887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640</v>
      </c>
      <c r="C104" s="378">
        <f>C61-C103</f>
        <v>4739.4997977118937</v>
      </c>
      <c r="D104" s="378">
        <f>LN_IB18-LN_IC19</f>
        <v>5212.4660089516246</v>
      </c>
      <c r="E104" s="378">
        <f t="shared" si="10"/>
        <v>472.96621123973091</v>
      </c>
      <c r="F104" s="362">
        <f t="shared" si="11"/>
        <v>9.9792431992098959E-2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641</v>
      </c>
      <c r="C105" s="378">
        <f>C32-C103</f>
        <v>4714.9946287949051</v>
      </c>
      <c r="D105" s="378">
        <f>LN_IA16-LN_IC19</f>
        <v>5112.0034091942553</v>
      </c>
      <c r="E105" s="378">
        <f t="shared" si="10"/>
        <v>397.00878039935014</v>
      </c>
      <c r="F105" s="362">
        <f t="shared" si="11"/>
        <v>8.4201321879516275E-2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626</v>
      </c>
      <c r="C106" s="361">
        <f>C105*C102</f>
        <v>814493.38428426301</v>
      </c>
      <c r="D106" s="361">
        <f>LN_IC21*LN_IC18</f>
        <v>889015.68531421002</v>
      </c>
      <c r="E106" s="361">
        <f t="shared" si="10"/>
        <v>74522.301029947004</v>
      </c>
      <c r="F106" s="362">
        <f t="shared" si="11"/>
        <v>9.1495280953612118E-2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642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617</v>
      </c>
      <c r="C109" s="361">
        <f>C83+C98</f>
        <v>3496568</v>
      </c>
      <c r="D109" s="361">
        <f>LN_IC1+LN_IC14</f>
        <v>3799500</v>
      </c>
      <c r="E109" s="361">
        <f>D109-C109</f>
        <v>302932</v>
      </c>
      <c r="F109" s="362">
        <f>IF(C109=0,0,E109/C109)</f>
        <v>8.6636953721477741E-2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618</v>
      </c>
      <c r="C110" s="361">
        <f>C84+C99</f>
        <v>211610</v>
      </c>
      <c r="D110" s="361">
        <f>LN_IC2+LN_IC15</f>
        <v>175656</v>
      </c>
      <c r="E110" s="361">
        <f>D110-C110</f>
        <v>-35954</v>
      </c>
      <c r="F110" s="362">
        <f>IF(C110=0,0,E110/C110)</f>
        <v>-0.16990690421057605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619</v>
      </c>
      <c r="C111" s="361">
        <f>C109-C110</f>
        <v>3284958</v>
      </c>
      <c r="D111" s="361">
        <f>LN_IC23-LN_IC24</f>
        <v>3623844</v>
      </c>
      <c r="E111" s="361">
        <f>D111-C111</f>
        <v>338886</v>
      </c>
      <c r="F111" s="362">
        <f>IF(C111=0,0,E111/C111)</f>
        <v>0.10316296281413644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628</v>
      </c>
      <c r="C113" s="361">
        <f>C92+C106</f>
        <v>1177469.785722049</v>
      </c>
      <c r="D113" s="361">
        <f>LN_IC10+LN_IC22</f>
        <v>1381504.6751906737</v>
      </c>
      <c r="E113" s="361">
        <f>D113-C113</f>
        <v>204034.88946862472</v>
      </c>
      <c r="F113" s="362">
        <f>IF(C113=0,0,E113/C113)</f>
        <v>0.17328248413907818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643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644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601</v>
      </c>
      <c r="C118" s="361">
        <v>8010139</v>
      </c>
      <c r="D118" s="361">
        <v>9213745</v>
      </c>
      <c r="E118" s="361">
        <f t="shared" ref="E118:E130" si="12">D118-C118</f>
        <v>1203606</v>
      </c>
      <c r="F118" s="362">
        <f t="shared" ref="F118:F130" si="13">IF(C118=0,0,E118/C118)</f>
        <v>0.15026031383475369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602</v>
      </c>
      <c r="C119" s="361">
        <v>4009071</v>
      </c>
      <c r="D119" s="361">
        <v>4241450</v>
      </c>
      <c r="E119" s="361">
        <f t="shared" si="12"/>
        <v>232379</v>
      </c>
      <c r="F119" s="362">
        <f t="shared" si="13"/>
        <v>5.796330371799352E-2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603</v>
      </c>
      <c r="C120" s="366">
        <f>IF(C118=0,0,C119/C118)</f>
        <v>0.50049955437727112</v>
      </c>
      <c r="D120" s="366">
        <f>IF(LN_ID1=0,0,LN_1D2/LN_ID1)</f>
        <v>0.46033941681694035</v>
      </c>
      <c r="E120" s="367">
        <f t="shared" si="12"/>
        <v>-4.0160137560330766E-2</v>
      </c>
      <c r="F120" s="362">
        <f t="shared" si="13"/>
        <v>-8.0240106527764241E-2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871</v>
      </c>
      <c r="D121" s="369">
        <v>1050</v>
      </c>
      <c r="E121" s="369">
        <f t="shared" si="12"/>
        <v>179</v>
      </c>
      <c r="F121" s="362">
        <f t="shared" si="13"/>
        <v>0.20551090700344432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604</v>
      </c>
      <c r="C122" s="372">
        <v>0.62160000000000004</v>
      </c>
      <c r="D122" s="372">
        <v>0.82310000000000005</v>
      </c>
      <c r="E122" s="373">
        <f t="shared" si="12"/>
        <v>0.20150000000000001</v>
      </c>
      <c r="F122" s="362">
        <f t="shared" si="13"/>
        <v>0.32416344916344914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605</v>
      </c>
      <c r="C123" s="376">
        <f>C121*C122</f>
        <v>541.41360000000009</v>
      </c>
      <c r="D123" s="376">
        <f>LN_ID4*LN_ID5</f>
        <v>864.25500000000011</v>
      </c>
      <c r="E123" s="376">
        <f t="shared" si="12"/>
        <v>322.84140000000002</v>
      </c>
      <c r="F123" s="362">
        <f t="shared" si="13"/>
        <v>0.59629348062183873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606</v>
      </c>
      <c r="C124" s="378">
        <f>IF(C123=0,0,C119/C123)</f>
        <v>7404.8213787019749</v>
      </c>
      <c r="D124" s="378">
        <f>IF(LN_ID6=0,0,LN_1D2/LN_ID6)</f>
        <v>4907.6372135538695</v>
      </c>
      <c r="E124" s="378">
        <f t="shared" si="12"/>
        <v>-2497.1841651481054</v>
      </c>
      <c r="F124" s="362">
        <f t="shared" si="13"/>
        <v>-0.33723759661922437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645</v>
      </c>
      <c r="C125" s="378">
        <f>C48-C124</f>
        <v>-1932.7356953495455</v>
      </c>
      <c r="D125" s="378">
        <f>LN_IB7-LN_ID7</f>
        <v>1228.1159150183148</v>
      </c>
      <c r="E125" s="378">
        <f t="shared" si="12"/>
        <v>3160.8516103678603</v>
      </c>
      <c r="F125" s="362">
        <f t="shared" si="13"/>
        <v>-1.6354287955530327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646</v>
      </c>
      <c r="C126" s="378">
        <f>C21-C124</f>
        <v>-1059.5858793771649</v>
      </c>
      <c r="D126" s="378">
        <f>LN_IA7-LN_ID7</f>
        <v>2913.8625966057507</v>
      </c>
      <c r="E126" s="378">
        <f t="shared" si="12"/>
        <v>3973.4484759829156</v>
      </c>
      <c r="F126" s="362">
        <f t="shared" si="13"/>
        <v>-3.7500013479969629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623</v>
      </c>
      <c r="C127" s="391">
        <f>C126*C123</f>
        <v>-573674.20546275668</v>
      </c>
      <c r="D127" s="391">
        <f>LN_ID9*LN_ID6</f>
        <v>2518320.3184295036</v>
      </c>
      <c r="E127" s="391">
        <f t="shared" si="12"/>
        <v>3091994.5238922602</v>
      </c>
      <c r="F127" s="362">
        <f t="shared" si="13"/>
        <v>-5.3898092235088209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2936</v>
      </c>
      <c r="D128" s="369">
        <v>3447</v>
      </c>
      <c r="E128" s="369">
        <f t="shared" si="12"/>
        <v>511</v>
      </c>
      <c r="F128" s="362">
        <f t="shared" si="13"/>
        <v>0.17404632152588556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607</v>
      </c>
      <c r="C129" s="378">
        <f>IF(C128=0,0,C119/C128)</f>
        <v>1365.4873978201636</v>
      </c>
      <c r="D129" s="378">
        <f>IF(LN_ID11=0,0,LN_1D2/LN_ID11)</f>
        <v>1230.4757760371338</v>
      </c>
      <c r="E129" s="378">
        <f t="shared" si="12"/>
        <v>-135.0116217830298</v>
      </c>
      <c r="F129" s="362">
        <f t="shared" si="13"/>
        <v>-9.8874308176376893E-2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608</v>
      </c>
      <c r="C130" s="379">
        <f>IF(C121=0,0,C128/C121)</f>
        <v>3.3708381171067736</v>
      </c>
      <c r="D130" s="379">
        <f>IF(LN_ID4=0,0,LN_ID11/LN_ID4)</f>
        <v>3.2828571428571429</v>
      </c>
      <c r="E130" s="379">
        <f t="shared" si="12"/>
        <v>-8.7980974249630695E-2</v>
      </c>
      <c r="F130" s="362">
        <f t="shared" si="13"/>
        <v>-2.6100622810431996E-2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647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610</v>
      </c>
      <c r="C133" s="361">
        <v>13999061</v>
      </c>
      <c r="D133" s="361">
        <v>18204386</v>
      </c>
      <c r="E133" s="361">
        <f t="shared" ref="E133:E141" si="14">D133-C133</f>
        <v>4205325</v>
      </c>
      <c r="F133" s="362">
        <f t="shared" ref="F133:F141" si="15">IF(C133=0,0,E133/C133)</f>
        <v>0.30040050543390018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611</v>
      </c>
      <c r="C134" s="361">
        <v>5806009</v>
      </c>
      <c r="D134" s="361">
        <v>7156747</v>
      </c>
      <c r="E134" s="361">
        <f t="shared" si="14"/>
        <v>1350738</v>
      </c>
      <c r="F134" s="362">
        <f t="shared" si="15"/>
        <v>0.2326448339987072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612</v>
      </c>
      <c r="C135" s="366">
        <f>IF(C133=0,0,C134/C133)</f>
        <v>0.41474274595988975</v>
      </c>
      <c r="D135" s="366">
        <f>IF(LN_ID14=0,0,LN_ID15/LN_ID14)</f>
        <v>0.39313311638195325</v>
      </c>
      <c r="E135" s="367">
        <f t="shared" si="14"/>
        <v>-2.1609629577936496E-2</v>
      </c>
      <c r="F135" s="362">
        <f t="shared" si="15"/>
        <v>-5.2103695093985776E-2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613</v>
      </c>
      <c r="C136" s="366">
        <f>IF(C118=0,0,C133/C118)</f>
        <v>1.7476676746808013</v>
      </c>
      <c r="D136" s="366">
        <f>IF(LN_ID1=0,0,LN_ID14/LN_ID1)</f>
        <v>1.9757857418454712</v>
      </c>
      <c r="E136" s="367">
        <f t="shared" si="14"/>
        <v>0.22811806716466987</v>
      </c>
      <c r="F136" s="362">
        <f t="shared" si="15"/>
        <v>0.13052714224192191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614</v>
      </c>
      <c r="C137" s="376">
        <f>C136*C121</f>
        <v>1522.218544646978</v>
      </c>
      <c r="D137" s="376">
        <f>LN_ID17*LN_ID4</f>
        <v>2074.5750289377447</v>
      </c>
      <c r="E137" s="376">
        <f t="shared" si="14"/>
        <v>552.35648429076673</v>
      </c>
      <c r="F137" s="362">
        <f t="shared" si="15"/>
        <v>0.36286280063607113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615</v>
      </c>
      <c r="C138" s="378">
        <f>IF(C137=0,0,C134/C137)</f>
        <v>3814.1757111141278</v>
      </c>
      <c r="D138" s="378">
        <f>IF(LN_ID18=0,0,LN_ID15/LN_ID18)</f>
        <v>3449.7412241891807</v>
      </c>
      <c r="E138" s="378">
        <f t="shared" si="14"/>
        <v>-364.43448692494712</v>
      </c>
      <c r="F138" s="362">
        <f t="shared" si="15"/>
        <v>-9.5547377605866804E-2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648</v>
      </c>
      <c r="C139" s="378">
        <f>C61-C138</f>
        <v>1846.1882520380368</v>
      </c>
      <c r="D139" s="378">
        <f>LN_IB18-LN_ID19</f>
        <v>2483.7403057116808</v>
      </c>
      <c r="E139" s="378">
        <f t="shared" si="14"/>
        <v>637.55205367364397</v>
      </c>
      <c r="F139" s="362">
        <f t="shared" si="15"/>
        <v>0.34533425991084066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649</v>
      </c>
      <c r="C140" s="378">
        <f>C32-C138</f>
        <v>1821.6830831210482</v>
      </c>
      <c r="D140" s="378">
        <f>LN_IA16-LN_ID19</f>
        <v>2383.2777059543114</v>
      </c>
      <c r="E140" s="378">
        <f t="shared" si="14"/>
        <v>561.5946228332632</v>
      </c>
      <c r="F140" s="362">
        <f t="shared" si="15"/>
        <v>0.30828338256898996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626</v>
      </c>
      <c r="C141" s="353">
        <f>C140*C137</f>
        <v>2772999.7715965416</v>
      </c>
      <c r="D141" s="353">
        <f>LN_ID21*LN_ID18</f>
        <v>4944288.4157968471</v>
      </c>
      <c r="E141" s="353">
        <f t="shared" si="14"/>
        <v>2171288.6442003055</v>
      </c>
      <c r="F141" s="362">
        <f t="shared" si="15"/>
        <v>0.78301075479360616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650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617</v>
      </c>
      <c r="C144" s="361">
        <f>C118+C133</f>
        <v>22009200</v>
      </c>
      <c r="D144" s="361">
        <f>LN_ID1+LN_ID14</f>
        <v>27418131</v>
      </c>
      <c r="E144" s="361">
        <f>D144-C144</f>
        <v>5408931</v>
      </c>
      <c r="F144" s="362">
        <f>IF(C144=0,0,E144/C144)</f>
        <v>0.24575772858622758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618</v>
      </c>
      <c r="C145" s="361">
        <f>C119+C134</f>
        <v>9815080</v>
      </c>
      <c r="D145" s="361">
        <f>LN_1D2+LN_ID15</f>
        <v>11398197</v>
      </c>
      <c r="E145" s="361">
        <f>D145-C145</f>
        <v>1583117</v>
      </c>
      <c r="F145" s="362">
        <f>IF(C145=0,0,E145/C145)</f>
        <v>0.1612943552166666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619</v>
      </c>
      <c r="C146" s="361">
        <f>C144-C145</f>
        <v>12194120</v>
      </c>
      <c r="D146" s="361">
        <f>LN_ID23-LN_ID24</f>
        <v>16019934</v>
      </c>
      <c r="E146" s="361">
        <f>D146-C146</f>
        <v>3825814</v>
      </c>
      <c r="F146" s="362">
        <f>IF(C146=0,0,E146/C146)</f>
        <v>0.31374252508586103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628</v>
      </c>
      <c r="C148" s="361">
        <f>C127+C141</f>
        <v>2199325.5661337851</v>
      </c>
      <c r="D148" s="361">
        <f>LN_ID10+LN_ID22</f>
        <v>7462608.7342263507</v>
      </c>
      <c r="E148" s="361">
        <f>D148-C148</f>
        <v>5263283.1680925656</v>
      </c>
      <c r="F148" s="415">
        <f>IF(C148=0,0,E148/C148)</f>
        <v>2.3931350815627268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651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652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601</v>
      </c>
      <c r="C153" s="361">
        <v>1797947</v>
      </c>
      <c r="D153" s="361">
        <v>1096386</v>
      </c>
      <c r="E153" s="361">
        <f t="shared" ref="E153:E165" si="16">D153-C153</f>
        <v>-701561</v>
      </c>
      <c r="F153" s="362">
        <f t="shared" ref="F153:F165" si="17">IF(C153=0,0,E153/C153)</f>
        <v>-0.39020115720874976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602</v>
      </c>
      <c r="C154" s="361">
        <v>372324</v>
      </c>
      <c r="D154" s="361">
        <v>246767</v>
      </c>
      <c r="E154" s="361">
        <f t="shared" si="16"/>
        <v>-125557</v>
      </c>
      <c r="F154" s="362">
        <f t="shared" si="17"/>
        <v>-0.33722510501606129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603</v>
      </c>
      <c r="C155" s="366">
        <f>IF(C153=0,0,C154/C153)</f>
        <v>0.20708285616873023</v>
      </c>
      <c r="D155" s="366">
        <f>IF(LN_IE1=0,0,LN_IE2/LN_IE1)</f>
        <v>0.22507310381562698</v>
      </c>
      <c r="E155" s="367">
        <f t="shared" si="16"/>
        <v>1.7990247646896745E-2</v>
      </c>
      <c r="F155" s="362">
        <f t="shared" si="17"/>
        <v>8.6874635494878283E-2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99</v>
      </c>
      <c r="D156" s="419">
        <v>46</v>
      </c>
      <c r="E156" s="419">
        <f t="shared" si="16"/>
        <v>-53</v>
      </c>
      <c r="F156" s="362">
        <f t="shared" si="17"/>
        <v>-0.53535353535353536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604</v>
      </c>
      <c r="C157" s="372">
        <v>0.62160000000000004</v>
      </c>
      <c r="D157" s="372">
        <v>0.82310000000000005</v>
      </c>
      <c r="E157" s="373">
        <f t="shared" si="16"/>
        <v>0.20150000000000001</v>
      </c>
      <c r="F157" s="362">
        <f t="shared" si="17"/>
        <v>0.32416344916344914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605</v>
      </c>
      <c r="C158" s="376">
        <f>C156*C157</f>
        <v>61.538400000000003</v>
      </c>
      <c r="D158" s="376">
        <f>LN_IE4*LN_IE5</f>
        <v>37.8626</v>
      </c>
      <c r="E158" s="376">
        <f t="shared" si="16"/>
        <v>-23.675800000000002</v>
      </c>
      <c r="F158" s="362">
        <f t="shared" si="17"/>
        <v>-0.38473213473213475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606</v>
      </c>
      <c r="C159" s="378">
        <f>IF(C158=0,0,C154/C158)</f>
        <v>6050.2710502710497</v>
      </c>
      <c r="D159" s="378">
        <f>IF(LN_IE6=0,0,LN_IE2/LN_IE6)</f>
        <v>6517.4340906329726</v>
      </c>
      <c r="E159" s="378">
        <f t="shared" si="16"/>
        <v>467.16304036192287</v>
      </c>
      <c r="F159" s="362">
        <f t="shared" si="17"/>
        <v>7.7213572165662589E-2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653</v>
      </c>
      <c r="C160" s="378">
        <f>C48-C159</f>
        <v>-578.18536691862028</v>
      </c>
      <c r="D160" s="378">
        <f>LN_IB7-LN_IE7</f>
        <v>-381.68096206078826</v>
      </c>
      <c r="E160" s="378">
        <f t="shared" si="16"/>
        <v>196.50440485783201</v>
      </c>
      <c r="F160" s="362">
        <f t="shared" si="17"/>
        <v>-0.33986402302964208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654</v>
      </c>
      <c r="C161" s="378">
        <f>C21-C159</f>
        <v>294.96444905376029</v>
      </c>
      <c r="D161" s="378">
        <f>LN_IA7-LN_IE7</f>
        <v>1304.0657195266476</v>
      </c>
      <c r="E161" s="378">
        <f t="shared" si="16"/>
        <v>1009.1012704728873</v>
      </c>
      <c r="F161" s="362">
        <f t="shared" si="17"/>
        <v>3.4210945546490867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623</v>
      </c>
      <c r="C162" s="391">
        <f>C161*C158</f>
        <v>18151.640251649922</v>
      </c>
      <c r="D162" s="391">
        <f>LN_IE9*LN_IE6</f>
        <v>49375.318712149652</v>
      </c>
      <c r="E162" s="391">
        <f t="shared" si="16"/>
        <v>31223.67846049973</v>
      </c>
      <c r="F162" s="362">
        <f t="shared" si="17"/>
        <v>1.7201574087863274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404</v>
      </c>
      <c r="D163" s="369">
        <v>165</v>
      </c>
      <c r="E163" s="419">
        <f t="shared" si="16"/>
        <v>-239</v>
      </c>
      <c r="F163" s="362">
        <f t="shared" si="17"/>
        <v>-0.59158415841584155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607</v>
      </c>
      <c r="C164" s="378">
        <f>IF(C163=0,0,C154/C163)</f>
        <v>921.59405940594058</v>
      </c>
      <c r="D164" s="378">
        <f>IF(LN_IE11=0,0,LN_IE2/LN_IE11)</f>
        <v>1495.5575757575757</v>
      </c>
      <c r="E164" s="378">
        <f t="shared" si="16"/>
        <v>573.96351635163512</v>
      </c>
      <c r="F164" s="362">
        <f t="shared" si="17"/>
        <v>0.6227942883243105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608</v>
      </c>
      <c r="C165" s="379">
        <f>IF(C156=0,0,C163/C156)</f>
        <v>4.0808080808080804</v>
      </c>
      <c r="D165" s="379">
        <f>IF(LN_IE4=0,0,LN_IE11/LN_IE4)</f>
        <v>3.5869565217391304</v>
      </c>
      <c r="E165" s="379">
        <f t="shared" si="16"/>
        <v>-0.49385155906895006</v>
      </c>
      <c r="F165" s="362">
        <f t="shared" si="17"/>
        <v>-0.12101808006887639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655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610</v>
      </c>
      <c r="C168" s="424">
        <v>3005386</v>
      </c>
      <c r="D168" s="424">
        <v>1824513</v>
      </c>
      <c r="E168" s="424">
        <f t="shared" ref="E168:E176" si="18">D168-C168</f>
        <v>-1180873</v>
      </c>
      <c r="F168" s="362">
        <f t="shared" ref="F168:F176" si="19">IF(C168=0,0,E168/C168)</f>
        <v>-0.3929189129116859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611</v>
      </c>
      <c r="C169" s="424">
        <v>585115</v>
      </c>
      <c r="D169" s="424">
        <v>318194</v>
      </c>
      <c r="E169" s="424">
        <f t="shared" si="18"/>
        <v>-266921</v>
      </c>
      <c r="F169" s="362">
        <f t="shared" si="19"/>
        <v>-0.45618553617664903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612</v>
      </c>
      <c r="C170" s="366">
        <f>IF(C168=0,0,C169/C168)</f>
        <v>0.19468880203740885</v>
      </c>
      <c r="D170" s="366">
        <f>IF(LN_IE14=0,0,LN_IE15/LN_IE14)</f>
        <v>0.17439941507679035</v>
      </c>
      <c r="E170" s="367">
        <f t="shared" si="18"/>
        <v>-2.0289386960618494E-2</v>
      </c>
      <c r="F170" s="362">
        <f t="shared" si="19"/>
        <v>-0.10421445274864834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613</v>
      </c>
      <c r="C171" s="366">
        <f>IF(C153=0,0,C168/C153)</f>
        <v>1.6715654020947224</v>
      </c>
      <c r="D171" s="366">
        <f>IF(LN_IE1=0,0,LN_IE14/LN_IE1)</f>
        <v>1.6641155578418549</v>
      </c>
      <c r="E171" s="367">
        <f t="shared" si="18"/>
        <v>-7.4498442528674325E-3</v>
      </c>
      <c r="F171" s="362">
        <f t="shared" si="19"/>
        <v>-4.4568069209446779E-3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614</v>
      </c>
      <c r="C172" s="376">
        <f>C171*C156</f>
        <v>165.48497480737751</v>
      </c>
      <c r="D172" s="376">
        <f>LN_IE17*LN_IE4</f>
        <v>76.549315660725327</v>
      </c>
      <c r="E172" s="376">
        <f t="shared" si="18"/>
        <v>-88.935659146652185</v>
      </c>
      <c r="F172" s="362">
        <f t="shared" si="19"/>
        <v>-0.53742437493296413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615</v>
      </c>
      <c r="C173" s="378">
        <f>IF(C172=0,0,C169/C172)</f>
        <v>3535.7590662298298</v>
      </c>
      <c r="D173" s="378">
        <f>IF(LN_IE18=0,0,LN_IE15/LN_IE18)</f>
        <v>4156.7190673561281</v>
      </c>
      <c r="E173" s="378">
        <f t="shared" si="18"/>
        <v>620.96000112629827</v>
      </c>
      <c r="F173" s="362">
        <f t="shared" si="19"/>
        <v>0.17562282652602407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656</v>
      </c>
      <c r="C174" s="378">
        <f>C61-C173</f>
        <v>2124.6048969223348</v>
      </c>
      <c r="D174" s="378">
        <f>LN_IB18-LN_IE19</f>
        <v>1776.7624625447334</v>
      </c>
      <c r="E174" s="378">
        <f t="shared" si="18"/>
        <v>-347.84243437760142</v>
      </c>
      <c r="F174" s="362">
        <f t="shared" si="19"/>
        <v>-0.16372099814016236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657</v>
      </c>
      <c r="C175" s="378">
        <f>C32-C173</f>
        <v>2100.0997280053462</v>
      </c>
      <c r="D175" s="378">
        <f>LN_IA16-LN_IE19</f>
        <v>1676.299862787364</v>
      </c>
      <c r="E175" s="378">
        <f t="shared" si="18"/>
        <v>-423.79986521798219</v>
      </c>
      <c r="F175" s="362">
        <f t="shared" si="19"/>
        <v>-0.20179987624706902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626</v>
      </c>
      <c r="C176" s="353">
        <f>C175*C172</f>
        <v>347534.95058194507</v>
      </c>
      <c r="D176" s="353">
        <f>LN_IE21*LN_IE18</f>
        <v>128319.60733854047</v>
      </c>
      <c r="E176" s="353">
        <f t="shared" si="18"/>
        <v>-219215.34324340458</v>
      </c>
      <c r="F176" s="362">
        <f t="shared" si="19"/>
        <v>-0.63077207882640263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658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617</v>
      </c>
      <c r="C179" s="361">
        <f>C153+C168</f>
        <v>4803333</v>
      </c>
      <c r="D179" s="361">
        <f>LN_IE1+LN_IE14</f>
        <v>2920899</v>
      </c>
      <c r="E179" s="361">
        <f>D179-C179</f>
        <v>-1882434</v>
      </c>
      <c r="F179" s="362">
        <f>IF(C179=0,0,E179/C179)</f>
        <v>-0.39190162331031392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618</v>
      </c>
      <c r="C180" s="361">
        <f>C154+C169</f>
        <v>957439</v>
      </c>
      <c r="D180" s="361">
        <f>LN_IE15+LN_IE2</f>
        <v>564961</v>
      </c>
      <c r="E180" s="361">
        <f>D180-C180</f>
        <v>-392478</v>
      </c>
      <c r="F180" s="362">
        <f>IF(C180=0,0,E180/C180)</f>
        <v>-0.40992480983122687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619</v>
      </c>
      <c r="C181" s="361">
        <f>C179-C180</f>
        <v>3845894</v>
      </c>
      <c r="D181" s="361">
        <f>LN_IE23-LN_IE24</f>
        <v>2355938</v>
      </c>
      <c r="E181" s="361">
        <f>D181-C181</f>
        <v>-1489956</v>
      </c>
      <c r="F181" s="362">
        <f>IF(C181=0,0,E181/C181)</f>
        <v>-0.38741473373941143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659</v>
      </c>
      <c r="C183" s="361">
        <f>C162+C176</f>
        <v>365686.59083359502</v>
      </c>
      <c r="D183" s="361">
        <f>LN_IE10+LN_IE22</f>
        <v>177694.92605069012</v>
      </c>
      <c r="E183" s="353">
        <f>D183-C183</f>
        <v>-187991.6647829049</v>
      </c>
      <c r="F183" s="362">
        <f>IF(C183=0,0,E183/C183)</f>
        <v>-0.51407863863526282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660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661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601</v>
      </c>
      <c r="C188" s="361">
        <f>C118+C153</f>
        <v>9808086</v>
      </c>
      <c r="D188" s="361">
        <f>LN_ID1+LN_IE1</f>
        <v>10310131</v>
      </c>
      <c r="E188" s="361">
        <f t="shared" ref="E188:E200" si="20">D188-C188</f>
        <v>502045</v>
      </c>
      <c r="F188" s="362">
        <f t="shared" ref="F188:F200" si="21">IF(C188=0,0,E188/C188)</f>
        <v>5.1186847260515457E-2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602</v>
      </c>
      <c r="C189" s="361">
        <f>C119+C154</f>
        <v>4381395</v>
      </c>
      <c r="D189" s="361">
        <f>LN_1D2+LN_IE2</f>
        <v>4488217</v>
      </c>
      <c r="E189" s="361">
        <f t="shared" si="20"/>
        <v>106822</v>
      </c>
      <c r="F189" s="362">
        <f t="shared" si="21"/>
        <v>2.4380819350914493E-2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603</v>
      </c>
      <c r="C190" s="366">
        <f>IF(C188=0,0,C189/C188)</f>
        <v>0.44671253902137481</v>
      </c>
      <c r="D190" s="366">
        <f>IF(LN_IF1=0,0,LN_IF2/LN_IF1)</f>
        <v>0.43532104490233925</v>
      </c>
      <c r="E190" s="367">
        <f t="shared" si="20"/>
        <v>-1.1391494119035561E-2</v>
      </c>
      <c r="F190" s="362">
        <f t="shared" si="21"/>
        <v>-2.5500726135852855E-2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970</v>
      </c>
      <c r="D191" s="369">
        <f>LN_ID4+LN_IE4</f>
        <v>1096</v>
      </c>
      <c r="E191" s="369">
        <f t="shared" si="20"/>
        <v>126</v>
      </c>
      <c r="F191" s="362">
        <f t="shared" si="21"/>
        <v>0.12989690721649486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604</v>
      </c>
      <c r="C192" s="372">
        <f>IF((C121+C156)=0,0,(C123+C158)/(C121+C156))</f>
        <v>0.62160000000000015</v>
      </c>
      <c r="D192" s="372">
        <f>IF((LN_ID4+LN_IE4)=0,0,(LN_ID6+LN_IE6)/(LN_ID4+LN_IE4))</f>
        <v>0.82310000000000016</v>
      </c>
      <c r="E192" s="373">
        <f t="shared" si="20"/>
        <v>0.20150000000000001</v>
      </c>
      <c r="F192" s="362">
        <f t="shared" si="21"/>
        <v>0.32416344916344908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605</v>
      </c>
      <c r="C193" s="376">
        <f>C123+C158</f>
        <v>602.95200000000011</v>
      </c>
      <c r="D193" s="376">
        <f>LN_IF4*LN_IF5</f>
        <v>902.11760000000015</v>
      </c>
      <c r="E193" s="376">
        <f t="shared" si="20"/>
        <v>299.16560000000004</v>
      </c>
      <c r="F193" s="362">
        <f t="shared" si="21"/>
        <v>0.49616818585890748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606</v>
      </c>
      <c r="C194" s="378">
        <f>IF(C193=0,0,C189/C193)</f>
        <v>7266.5734585837663</v>
      </c>
      <c r="D194" s="378">
        <f>IF(LN_IF6=0,0,LN_IF2/LN_IF6)</f>
        <v>4975.2016810225177</v>
      </c>
      <c r="E194" s="378">
        <f t="shared" si="20"/>
        <v>-2291.3717775612486</v>
      </c>
      <c r="F194" s="362">
        <f t="shared" si="21"/>
        <v>-0.31533043608807476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662</v>
      </c>
      <c r="C195" s="378">
        <f>C48-C194</f>
        <v>-1794.4877752313369</v>
      </c>
      <c r="D195" s="378">
        <f>LN_IB7-LN_IF7</f>
        <v>1160.5514475496666</v>
      </c>
      <c r="E195" s="378">
        <f t="shared" si="20"/>
        <v>2955.0392227810034</v>
      </c>
      <c r="F195" s="362">
        <f t="shared" si="21"/>
        <v>-1.6467313199723825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663</v>
      </c>
      <c r="C196" s="378">
        <f>C21-C194</f>
        <v>-921.33795925895629</v>
      </c>
      <c r="D196" s="378">
        <f>LN_IA7-LN_IF7</f>
        <v>2846.2981291371025</v>
      </c>
      <c r="E196" s="378">
        <f t="shared" si="20"/>
        <v>3767.6360883960588</v>
      </c>
      <c r="F196" s="362">
        <f t="shared" si="21"/>
        <v>-4.0893095205003993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623</v>
      </c>
      <c r="C197" s="391">
        <f>C127+C162</f>
        <v>-555522.56521110679</v>
      </c>
      <c r="D197" s="391">
        <f>LN_IF9*LN_IF6</f>
        <v>2567695.6371416533</v>
      </c>
      <c r="E197" s="391">
        <f t="shared" si="20"/>
        <v>3123218.2023527604</v>
      </c>
      <c r="F197" s="362">
        <f t="shared" si="21"/>
        <v>-5.6221266208437299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3340</v>
      </c>
      <c r="D198" s="369">
        <f>LN_ID11+LN_IE11</f>
        <v>3612</v>
      </c>
      <c r="E198" s="369">
        <f t="shared" si="20"/>
        <v>272</v>
      </c>
      <c r="F198" s="362">
        <f t="shared" si="21"/>
        <v>8.1437125748502995E-2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607</v>
      </c>
      <c r="C199" s="432">
        <f>IF(C198=0,0,C189/C198)</f>
        <v>1311.7949101796407</v>
      </c>
      <c r="D199" s="432">
        <f>IF(LN_IF11=0,0,LN_IF2/LN_IF11)</f>
        <v>1242.5849944629015</v>
      </c>
      <c r="E199" s="432">
        <f t="shared" si="20"/>
        <v>-69.20991571673926</v>
      </c>
      <c r="F199" s="362">
        <f t="shared" si="21"/>
        <v>-5.2759707466208623E-2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608</v>
      </c>
      <c r="C200" s="379">
        <f>IF(C191=0,0,C198/C191)</f>
        <v>3.4432989690721651</v>
      </c>
      <c r="D200" s="379">
        <f>IF(LN_IF4=0,0,LN_IF11/LN_IF4)</f>
        <v>3.2956204379562042</v>
      </c>
      <c r="E200" s="379">
        <f t="shared" si="20"/>
        <v>-0.14767853111596096</v>
      </c>
      <c r="F200" s="362">
        <f t="shared" si="21"/>
        <v>-4.2888675204335966E-2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664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610</v>
      </c>
      <c r="C203" s="361">
        <f>C133+C168</f>
        <v>17004447</v>
      </c>
      <c r="D203" s="361">
        <f>LN_ID14+LN_IE14</f>
        <v>20028899</v>
      </c>
      <c r="E203" s="361">
        <f t="shared" ref="E203:E211" si="22">D203-C203</f>
        <v>3024452</v>
      </c>
      <c r="F203" s="362">
        <f t="shared" ref="F203:F211" si="23">IF(C203=0,0,E203/C203)</f>
        <v>0.17786241446134649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611</v>
      </c>
      <c r="C204" s="361">
        <f>C134+C169</f>
        <v>6391124</v>
      </c>
      <c r="D204" s="361">
        <f>LN_ID15+LN_IE15</f>
        <v>7474941</v>
      </c>
      <c r="E204" s="361">
        <f t="shared" si="22"/>
        <v>1083817</v>
      </c>
      <c r="F204" s="362">
        <f t="shared" si="23"/>
        <v>0.1695815947241831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612</v>
      </c>
      <c r="C205" s="366">
        <f>IF(C203=0,0,C204/C203)</f>
        <v>0.37585015261007898</v>
      </c>
      <c r="D205" s="366">
        <f>IF(LN_IF14=0,0,LN_IF15/LN_IF14)</f>
        <v>0.37320778341335686</v>
      </c>
      <c r="E205" s="367">
        <f t="shared" si="22"/>
        <v>-2.6423691967221163E-3</v>
      </c>
      <c r="F205" s="362">
        <f t="shared" si="23"/>
        <v>-7.0303794700421716E-3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613</v>
      </c>
      <c r="C206" s="366">
        <f>IF(C188=0,0,C203/C188)</f>
        <v>1.7337171594947272</v>
      </c>
      <c r="D206" s="366">
        <f>IF(LN_IF1=0,0,LN_IF14/LN_IF1)</f>
        <v>1.9426425328640344</v>
      </c>
      <c r="E206" s="367">
        <f t="shared" si="22"/>
        <v>0.20892537336930728</v>
      </c>
      <c r="F206" s="362">
        <f t="shared" si="23"/>
        <v>0.12050718436114244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614</v>
      </c>
      <c r="C207" s="376">
        <f>C137+C172</f>
        <v>1687.7035194543555</v>
      </c>
      <c r="D207" s="376">
        <f>LN_ID18+LN_IE18</f>
        <v>2151.1243445984701</v>
      </c>
      <c r="E207" s="376">
        <f t="shared" si="22"/>
        <v>463.42082514411459</v>
      </c>
      <c r="F207" s="362">
        <f t="shared" si="23"/>
        <v>0.27458663195413685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615</v>
      </c>
      <c r="C208" s="378">
        <f>IF(C207=0,0,C204/C207)</f>
        <v>3786.8760278856848</v>
      </c>
      <c r="D208" s="378">
        <f>IF(LN_IF18=0,0,LN_IF15/LN_IF18)</f>
        <v>3474.899542078901</v>
      </c>
      <c r="E208" s="378">
        <f t="shared" si="22"/>
        <v>-311.97648580678378</v>
      </c>
      <c r="F208" s="362">
        <f t="shared" si="23"/>
        <v>-8.2383601551637986E-2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665</v>
      </c>
      <c r="C209" s="378">
        <f>C61-C208</f>
        <v>1873.4879352664798</v>
      </c>
      <c r="D209" s="378">
        <f>LN_IB18-LN_IF19</f>
        <v>2458.5819878219604</v>
      </c>
      <c r="E209" s="378">
        <f t="shared" si="22"/>
        <v>585.09405255548063</v>
      </c>
      <c r="F209" s="362">
        <f t="shared" si="23"/>
        <v>0.31230201248787781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666</v>
      </c>
      <c r="C210" s="378">
        <f>C32-C208</f>
        <v>1848.9827663494912</v>
      </c>
      <c r="D210" s="378">
        <f>LN_IA16-LN_IF19</f>
        <v>2358.119388064591</v>
      </c>
      <c r="E210" s="378">
        <f t="shared" si="22"/>
        <v>509.13662171509986</v>
      </c>
      <c r="F210" s="362">
        <f t="shared" si="23"/>
        <v>0.2753603932827916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626</v>
      </c>
      <c r="C211" s="391">
        <f>C141+C176</f>
        <v>3120534.7221784866</v>
      </c>
      <c r="D211" s="353">
        <f>LN_IF21*LN_IF18</f>
        <v>5072608.0231353883</v>
      </c>
      <c r="E211" s="353">
        <f t="shared" si="22"/>
        <v>1952073.3009569016</v>
      </c>
      <c r="F211" s="362">
        <f t="shared" si="23"/>
        <v>0.62555730820201649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667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617</v>
      </c>
      <c r="C214" s="361">
        <f>C188+C203</f>
        <v>26812533</v>
      </c>
      <c r="D214" s="361">
        <f>LN_IF1+LN_IF14</f>
        <v>30339030</v>
      </c>
      <c r="E214" s="361">
        <f>D214-C214</f>
        <v>3526497</v>
      </c>
      <c r="F214" s="362">
        <f>IF(C214=0,0,E214/C214)</f>
        <v>0.13152420176042301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618</v>
      </c>
      <c r="C215" s="361">
        <f>C189+C204</f>
        <v>10772519</v>
      </c>
      <c r="D215" s="361">
        <f>LN_IF2+LN_IF15</f>
        <v>11963158</v>
      </c>
      <c r="E215" s="361">
        <f>D215-C215</f>
        <v>1190639</v>
      </c>
      <c r="F215" s="362">
        <f>IF(C215=0,0,E215/C215)</f>
        <v>0.11052558830483381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619</v>
      </c>
      <c r="C216" s="361">
        <f>C214-C215</f>
        <v>16040014</v>
      </c>
      <c r="D216" s="361">
        <f>LN_IF23-LN_IF24</f>
        <v>18375872</v>
      </c>
      <c r="E216" s="361">
        <f>D216-C216</f>
        <v>2335858</v>
      </c>
      <c r="F216" s="362">
        <f>IF(C216=0,0,E216/C216)</f>
        <v>0.145626930250809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668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669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601</v>
      </c>
      <c r="C221" s="361">
        <v>120481</v>
      </c>
      <c r="D221" s="361">
        <v>306112</v>
      </c>
      <c r="E221" s="361">
        <f t="shared" ref="E221:E230" si="24">D221-C221</f>
        <v>185631</v>
      </c>
      <c r="F221" s="362">
        <f t="shared" ref="F221:F230" si="25">IF(C221=0,0,E221/C221)</f>
        <v>1.5407491637685611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602</v>
      </c>
      <c r="C222" s="361">
        <v>52101</v>
      </c>
      <c r="D222" s="361">
        <v>179806</v>
      </c>
      <c r="E222" s="361">
        <f t="shared" si="24"/>
        <v>127705</v>
      </c>
      <c r="F222" s="362">
        <f t="shared" si="25"/>
        <v>2.451104585324658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603</v>
      </c>
      <c r="C223" s="366">
        <f>IF(C221=0,0,C222/C221)</f>
        <v>0.43244162980054945</v>
      </c>
      <c r="D223" s="366">
        <f>IF(LN_IG1=0,0,LN_IG2/LN_IG1)</f>
        <v>0.58738631611959025</v>
      </c>
      <c r="E223" s="367">
        <f t="shared" si="24"/>
        <v>0.15494468631904079</v>
      </c>
      <c r="F223" s="362">
        <f t="shared" si="25"/>
        <v>0.35830196641915424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13</v>
      </c>
      <c r="D224" s="369">
        <v>46</v>
      </c>
      <c r="E224" s="369">
        <f t="shared" si="24"/>
        <v>33</v>
      </c>
      <c r="F224" s="362">
        <f t="shared" si="25"/>
        <v>2.5384615384615383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604</v>
      </c>
      <c r="C225" s="372">
        <v>0.96909999999999996</v>
      </c>
      <c r="D225" s="372">
        <v>0.66579999999999995</v>
      </c>
      <c r="E225" s="373">
        <f t="shared" si="24"/>
        <v>-0.30330000000000001</v>
      </c>
      <c r="F225" s="362">
        <f t="shared" si="25"/>
        <v>-0.31297079764730162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605</v>
      </c>
      <c r="C226" s="376">
        <f>C224*C225</f>
        <v>12.5983</v>
      </c>
      <c r="D226" s="376">
        <f>LN_IG3*LN_IG4</f>
        <v>30.626799999999996</v>
      </c>
      <c r="E226" s="376">
        <f t="shared" si="24"/>
        <v>18.028499999999994</v>
      </c>
      <c r="F226" s="362">
        <f t="shared" si="25"/>
        <v>1.4310264083249322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606</v>
      </c>
      <c r="C227" s="378">
        <f>IF(C226=0,0,C222/C226)</f>
        <v>4135.5579721073482</v>
      </c>
      <c r="D227" s="378">
        <f>IF(LN_IG5=0,0,LN_IG2/LN_IG5)</f>
        <v>5870.8712630767832</v>
      </c>
      <c r="E227" s="378">
        <f t="shared" si="24"/>
        <v>1735.313290969435</v>
      </c>
      <c r="F227" s="362">
        <f t="shared" si="25"/>
        <v>0.4196080196852312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41</v>
      </c>
      <c r="D228" s="369">
        <v>105</v>
      </c>
      <c r="E228" s="369">
        <f t="shared" si="24"/>
        <v>64</v>
      </c>
      <c r="F228" s="362">
        <f t="shared" si="25"/>
        <v>1.5609756097560976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607</v>
      </c>
      <c r="C229" s="378">
        <f>IF(C228=0,0,C222/C228)</f>
        <v>1270.7560975609756</v>
      </c>
      <c r="D229" s="378">
        <f>IF(LN_IG6=0,0,LN_IG2/LN_IG6)</f>
        <v>1712.4380952380952</v>
      </c>
      <c r="E229" s="378">
        <f t="shared" si="24"/>
        <v>441.68199767711963</v>
      </c>
      <c r="F229" s="362">
        <f t="shared" si="25"/>
        <v>0.34757417141248548</v>
      </c>
      <c r="Q229" s="330"/>
      <c r="U229" s="375"/>
    </row>
    <row r="230" spans="1:21" ht="11.25" customHeight="1" x14ac:dyDescent="0.2">
      <c r="A230" s="364">
        <v>10</v>
      </c>
      <c r="B230" s="360" t="s">
        <v>608</v>
      </c>
      <c r="C230" s="379">
        <f>IF(C224=0,0,C228/C224)</f>
        <v>3.1538461538461537</v>
      </c>
      <c r="D230" s="379">
        <f>IF(LN_IG3=0,0,LN_IG6/LN_IG3)</f>
        <v>2.2826086956521738</v>
      </c>
      <c r="E230" s="379">
        <f t="shared" si="24"/>
        <v>-0.87123745819397991</v>
      </c>
      <c r="F230" s="362">
        <f t="shared" si="25"/>
        <v>-0.27624602332979853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670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610</v>
      </c>
      <c r="C233" s="361">
        <v>715569</v>
      </c>
      <c r="D233" s="361">
        <v>1082313</v>
      </c>
      <c r="E233" s="361">
        <f>D233-C233</f>
        <v>366744</v>
      </c>
      <c r="F233" s="362">
        <f>IF(C233=0,0,E233/C233)</f>
        <v>0.51252080512151865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611</v>
      </c>
      <c r="C234" s="361">
        <v>362147</v>
      </c>
      <c r="D234" s="361">
        <v>542788</v>
      </c>
      <c r="E234" s="361">
        <f>D234-C234</f>
        <v>180641</v>
      </c>
      <c r="F234" s="362">
        <f>IF(C234=0,0,E234/C234)</f>
        <v>0.49880573358332392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671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617</v>
      </c>
      <c r="C237" s="361">
        <f>C221+C233</f>
        <v>836050</v>
      </c>
      <c r="D237" s="361">
        <f>LN_IG1+LN_IG9</f>
        <v>1388425</v>
      </c>
      <c r="E237" s="361">
        <f>D237-C237</f>
        <v>552375</v>
      </c>
      <c r="F237" s="362">
        <f>IF(C237=0,0,E237/C237)</f>
        <v>0.66069613061419774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618</v>
      </c>
      <c r="C238" s="361">
        <f>C222+C234</f>
        <v>414248</v>
      </c>
      <c r="D238" s="361">
        <f>LN_IG2+LN_IG10</f>
        <v>722594</v>
      </c>
      <c r="E238" s="361">
        <f>D238-C238</f>
        <v>308346</v>
      </c>
      <c r="F238" s="362">
        <f>IF(C238=0,0,E238/C238)</f>
        <v>0.74435120990324632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619</v>
      </c>
      <c r="C239" s="361">
        <f>C237-C238</f>
        <v>421802</v>
      </c>
      <c r="D239" s="361">
        <f>LN_IG13-LN_IG14</f>
        <v>665831</v>
      </c>
      <c r="E239" s="361">
        <f>D239-C239</f>
        <v>244029</v>
      </c>
      <c r="F239" s="362">
        <f>IF(C239=0,0,E239/C239)</f>
        <v>0.57853921982351908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672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673</v>
      </c>
      <c r="C243" s="361">
        <v>2788759</v>
      </c>
      <c r="D243" s="361">
        <v>2972027</v>
      </c>
      <c r="E243" s="353">
        <f>D243-C243</f>
        <v>183268</v>
      </c>
      <c r="F243" s="415">
        <f>IF(C243=0,0,E243/C243)</f>
        <v>6.5716686167574895E-2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674</v>
      </c>
      <c r="C244" s="361">
        <v>96763604</v>
      </c>
      <c r="D244" s="361">
        <v>100411939</v>
      </c>
      <c r="E244" s="353">
        <f>D244-C244</f>
        <v>3648335</v>
      </c>
      <c r="F244" s="415">
        <f>IF(C244=0,0,E244/C244)</f>
        <v>3.770358739428515E-2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675</v>
      </c>
      <c r="C245" s="400">
        <v>597835</v>
      </c>
      <c r="D245" s="400">
        <v>529980</v>
      </c>
      <c r="E245" s="400">
        <f>D245-C245</f>
        <v>-67855</v>
      </c>
      <c r="F245" s="401">
        <f>IF(C245=0,0,E245/C245)</f>
        <v>-0.11350121689094816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676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677</v>
      </c>
      <c r="C248" s="353">
        <v>1210237</v>
      </c>
      <c r="D248" s="353">
        <v>1391261</v>
      </c>
      <c r="E248" s="353">
        <f>D248-C248</f>
        <v>181024</v>
      </c>
      <c r="F248" s="362">
        <f>IF(C248=0,0,E248/C248)</f>
        <v>0.14957731419548403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678</v>
      </c>
      <c r="C249" s="353">
        <v>3445323</v>
      </c>
      <c r="D249" s="353">
        <v>3312220</v>
      </c>
      <c r="E249" s="353">
        <f>D249-C249</f>
        <v>-133103</v>
      </c>
      <c r="F249" s="362">
        <f>IF(C249=0,0,E249/C249)</f>
        <v>-3.8632952556262506E-2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679</v>
      </c>
      <c r="C250" s="353">
        <f>C248+C249</f>
        <v>4655560</v>
      </c>
      <c r="D250" s="353">
        <f>LN_IH4+LN_IH5</f>
        <v>4703481</v>
      </c>
      <c r="E250" s="353">
        <f>D250-C250</f>
        <v>47921</v>
      </c>
      <c r="F250" s="362">
        <f>IF(C250=0,0,E250/C250)</f>
        <v>1.0293283729562073E-2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680</v>
      </c>
      <c r="C251" s="353">
        <f>C250*C313</f>
        <v>2471847.3818688742</v>
      </c>
      <c r="D251" s="353">
        <f>LN_IH6*LN_III10</f>
        <v>2583752.2130841198</v>
      </c>
      <c r="E251" s="353">
        <f>D251-C251</f>
        <v>111904.83121524565</v>
      </c>
      <c r="F251" s="362">
        <f>IF(C251=0,0,E251/C251)</f>
        <v>4.5271739685901834E-2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681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617</v>
      </c>
      <c r="C254" s="353">
        <f>C188+C203</f>
        <v>26812533</v>
      </c>
      <c r="D254" s="353">
        <f>LN_IF23</f>
        <v>30339030</v>
      </c>
      <c r="E254" s="353">
        <f>D254-C254</f>
        <v>3526497</v>
      </c>
      <c r="F254" s="362">
        <f>IF(C254=0,0,E254/C254)</f>
        <v>0.13152420176042301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618</v>
      </c>
      <c r="C255" s="353">
        <f>C189+C204</f>
        <v>10772519</v>
      </c>
      <c r="D255" s="353">
        <f>LN_IF24</f>
        <v>11963158</v>
      </c>
      <c r="E255" s="353">
        <f>D255-C255</f>
        <v>1190639</v>
      </c>
      <c r="F255" s="362">
        <f>IF(C255=0,0,E255/C255)</f>
        <v>0.11052558830483381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682</v>
      </c>
      <c r="C256" s="353">
        <f>C254*C313</f>
        <v>14235986.540249247</v>
      </c>
      <c r="D256" s="353">
        <f>LN_IH8*LN_III10</f>
        <v>16666068.366243109</v>
      </c>
      <c r="E256" s="353">
        <f>D256-C256</f>
        <v>2430081.825993862</v>
      </c>
      <c r="F256" s="362">
        <f>IF(C256=0,0,E256/C256)</f>
        <v>0.17069992438692735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683</v>
      </c>
      <c r="C257" s="353">
        <f>C256-C255</f>
        <v>3463467.5402492471</v>
      </c>
      <c r="D257" s="353">
        <f>LN_IH10-LN_IH9</f>
        <v>4702910.3662431091</v>
      </c>
      <c r="E257" s="353">
        <f>D257-C257</f>
        <v>1239442.825993862</v>
      </c>
      <c r="F257" s="362">
        <f>IF(C257=0,0,E257/C257)</f>
        <v>0.35786182823721974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684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685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686</v>
      </c>
      <c r="C261" s="361">
        <f>C15+C42+C188+C221</f>
        <v>58108748</v>
      </c>
      <c r="D261" s="361">
        <f>LN_IA1+LN_IB1+LN_IF1+LN_IG1</f>
        <v>54120232</v>
      </c>
      <c r="E261" s="361">
        <f t="shared" ref="E261:E274" si="26">D261-C261</f>
        <v>-3988516</v>
      </c>
      <c r="F261" s="415">
        <f t="shared" ref="F261:F274" si="27">IF(C261=0,0,E261/C261)</f>
        <v>-6.863882181732775E-2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687</v>
      </c>
      <c r="C262" s="361">
        <f>C16+C43+C189+C222</f>
        <v>31682453</v>
      </c>
      <c r="D262" s="361">
        <f>+LN_IA2+LN_IB2+LN_IF2+LN_IG2</f>
        <v>32134949</v>
      </c>
      <c r="E262" s="361">
        <f t="shared" si="26"/>
        <v>452496</v>
      </c>
      <c r="F262" s="415">
        <f t="shared" si="27"/>
        <v>1.4282227452527113E-2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688</v>
      </c>
      <c r="C263" s="366">
        <f>IF(C261=0,0,C262/C261)</f>
        <v>0.54522690800359352</v>
      </c>
      <c r="D263" s="366">
        <f>IF(LN_IIA1=0,0,LN_IIA2/LN_IIA1)</f>
        <v>0.59376960911771404</v>
      </c>
      <c r="E263" s="367">
        <f t="shared" si="26"/>
        <v>4.8542701114120512E-2</v>
      </c>
      <c r="F263" s="371">
        <f t="shared" si="27"/>
        <v>8.903210828655686E-2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689</v>
      </c>
      <c r="C264" s="369">
        <f>C18+C45+C191+C224</f>
        <v>5573</v>
      </c>
      <c r="D264" s="369">
        <f>LN_IA4+LN_IB4+LN_IF4+LN_IG3</f>
        <v>5202</v>
      </c>
      <c r="E264" s="369">
        <f t="shared" si="26"/>
        <v>-371</v>
      </c>
      <c r="F264" s="415">
        <f t="shared" si="27"/>
        <v>-6.6570967163107841E-2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690</v>
      </c>
      <c r="C265" s="439">
        <f>IF(C264=0,0,C266/C264)</f>
        <v>0.92232194509240983</v>
      </c>
      <c r="D265" s="439">
        <f>IF(LN_IIA4=0,0,LN_IIA6/LN_IIA4)</f>
        <v>0.91368035371011158</v>
      </c>
      <c r="E265" s="439">
        <f t="shared" si="26"/>
        <v>-8.6415913822982526E-3</v>
      </c>
      <c r="F265" s="415">
        <f t="shared" si="27"/>
        <v>-9.3693871519368744E-3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691</v>
      </c>
      <c r="C266" s="376">
        <f>C20+C47+C193+C226</f>
        <v>5140.1001999999999</v>
      </c>
      <c r="D266" s="376">
        <f>LN_IA6+LN_IB6+LN_IF6+LN_IG5</f>
        <v>4752.9652000000006</v>
      </c>
      <c r="E266" s="376">
        <f t="shared" si="26"/>
        <v>-387.13499999999931</v>
      </c>
      <c r="F266" s="415">
        <f t="shared" si="27"/>
        <v>-7.531662515061463E-2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692</v>
      </c>
      <c r="C267" s="361">
        <f>C27+C56+C203+C233</f>
        <v>107452253</v>
      </c>
      <c r="D267" s="361">
        <f>LN_IA11+LN_IB13+LN_IF14+LN_IG9</f>
        <v>114726860</v>
      </c>
      <c r="E267" s="361">
        <f t="shared" si="26"/>
        <v>7274607</v>
      </c>
      <c r="F267" s="415">
        <f t="shared" si="27"/>
        <v>6.7700832666579822E-2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613</v>
      </c>
      <c r="C268" s="366">
        <f>IF(C261=0,0,C267/C261)</f>
        <v>1.8491579443425628</v>
      </c>
      <c r="D268" s="366">
        <f>IF(LN_IIA1=0,0,LN_IIA7/LN_IIA1)</f>
        <v>2.1198515926539265</v>
      </c>
      <c r="E268" s="367">
        <f t="shared" si="26"/>
        <v>0.27069364831136378</v>
      </c>
      <c r="F268" s="371">
        <f t="shared" si="27"/>
        <v>0.14638752148757331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693</v>
      </c>
      <c r="C269" s="361">
        <f>C28+C57+C204+C234</f>
        <v>60311138</v>
      </c>
      <c r="D269" s="361">
        <f>LN_IA12+LN_IB14+LN_IF15+LN_IG10</f>
        <v>64160037</v>
      </c>
      <c r="E269" s="361">
        <f t="shared" si="26"/>
        <v>3848899</v>
      </c>
      <c r="F269" s="415">
        <f t="shared" si="27"/>
        <v>6.3817383117526313E-2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612</v>
      </c>
      <c r="C270" s="366">
        <f>IF(C267=0,0,C269/C267)</f>
        <v>0.56128314033582893</v>
      </c>
      <c r="D270" s="366">
        <f>IF(LN_IIA7=0,0,LN_IIA9/LN_IIA7)</f>
        <v>0.55924163704994623</v>
      </c>
      <c r="E270" s="367">
        <f t="shared" si="26"/>
        <v>-2.0415032858827065E-3</v>
      </c>
      <c r="F270" s="371">
        <f t="shared" si="27"/>
        <v>-3.6372075681112156E-3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694</v>
      </c>
      <c r="C271" s="353">
        <f>C261+C267</f>
        <v>165561001</v>
      </c>
      <c r="D271" s="353">
        <f>LN_IIA1+LN_IIA7</f>
        <v>168847092</v>
      </c>
      <c r="E271" s="353">
        <f t="shared" si="26"/>
        <v>3286091</v>
      </c>
      <c r="F271" s="415">
        <f t="shared" si="27"/>
        <v>1.9848218965527999E-2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695</v>
      </c>
      <c r="C272" s="353">
        <f>C262+C269</f>
        <v>91993591</v>
      </c>
      <c r="D272" s="353">
        <f>LN_IIA2+LN_IIA9</f>
        <v>96294986</v>
      </c>
      <c r="E272" s="353">
        <f t="shared" si="26"/>
        <v>4301395</v>
      </c>
      <c r="F272" s="415">
        <f t="shared" si="27"/>
        <v>4.6757550751551809E-2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696</v>
      </c>
      <c r="C273" s="366">
        <f>IF(C271=0,0,C272/C271)</f>
        <v>0.55564770957141052</v>
      </c>
      <c r="D273" s="366">
        <f>IF(LN_IIA11=0,0,LN_IIA12/LN_IIA11)</f>
        <v>0.5703088211907138</v>
      </c>
      <c r="E273" s="367">
        <f t="shared" si="26"/>
        <v>1.466111161930328E-2</v>
      </c>
      <c r="F273" s="371">
        <f t="shared" si="27"/>
        <v>2.6385624140540201E-2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20204</v>
      </c>
      <c r="D274" s="421">
        <f>LN_IA8+LN_IB10+LN_IF11+LN_IG6</f>
        <v>18876</v>
      </c>
      <c r="E274" s="442">
        <f t="shared" si="26"/>
        <v>-1328</v>
      </c>
      <c r="F274" s="371">
        <f t="shared" si="27"/>
        <v>-6.5729558503266686E-2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697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698</v>
      </c>
      <c r="C277" s="361">
        <f>C15+C188+C221</f>
        <v>41353801</v>
      </c>
      <c r="D277" s="361">
        <f>LN_IA1+LN_IF1+LN_IG1</f>
        <v>38962926</v>
      </c>
      <c r="E277" s="361">
        <f t="shared" ref="E277:E291" si="28">D277-C277</f>
        <v>-2390875</v>
      </c>
      <c r="F277" s="415">
        <f t="shared" ref="F277:F291" si="29">IF(C277=0,0,E277/C277)</f>
        <v>-5.7815120791435831E-2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699</v>
      </c>
      <c r="C278" s="361">
        <f>C16+C189+C222</f>
        <v>22530173</v>
      </c>
      <c r="D278" s="361">
        <f>LN_IA2+LN_IF2+LN_IG2</f>
        <v>23352405</v>
      </c>
      <c r="E278" s="361">
        <f t="shared" si="28"/>
        <v>822232</v>
      </c>
      <c r="F278" s="415">
        <f t="shared" si="29"/>
        <v>3.6494704235071784E-2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700</v>
      </c>
      <c r="C279" s="366">
        <f>IF(C277=0,0,C278/C277)</f>
        <v>0.54481504614291687</v>
      </c>
      <c r="D279" s="366">
        <f>IF(D277=0,0,LN_IIB2/D277)</f>
        <v>0.59934936611280165</v>
      </c>
      <c r="E279" s="367">
        <f t="shared" si="28"/>
        <v>5.4534319969884781E-2</v>
      </c>
      <c r="F279" s="371">
        <f t="shared" si="29"/>
        <v>0.10009694180798971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701</v>
      </c>
      <c r="C280" s="369">
        <f>C18+C191+C224</f>
        <v>3554</v>
      </c>
      <c r="D280" s="369">
        <f>LN_IA4+LN_IF4+LN_IG3</f>
        <v>3476</v>
      </c>
      <c r="E280" s="369">
        <f t="shared" si="28"/>
        <v>-78</v>
      </c>
      <c r="F280" s="415">
        <f t="shared" si="29"/>
        <v>-2.1947101857062466E-2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702</v>
      </c>
      <c r="C281" s="439">
        <f>IF(C280=0,0,C282/C280)</f>
        <v>0.97567827799662354</v>
      </c>
      <c r="D281" s="439">
        <f>IF(LN_IIB4=0,0,LN_IIB6/LN_IIB4)</f>
        <v>0.95557922899884928</v>
      </c>
      <c r="E281" s="439">
        <f t="shared" si="28"/>
        <v>-2.009904899777426E-2</v>
      </c>
      <c r="F281" s="415">
        <f t="shared" si="29"/>
        <v>-2.0600078377315083E-2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703</v>
      </c>
      <c r="C282" s="376">
        <f>C20+C193+C226</f>
        <v>3467.5606000000002</v>
      </c>
      <c r="D282" s="376">
        <f>LN_IA6+LN_IF6+LN_IG5</f>
        <v>3321.5934000000002</v>
      </c>
      <c r="E282" s="376">
        <f t="shared" si="28"/>
        <v>-145.96720000000005</v>
      </c>
      <c r="F282" s="415">
        <f t="shared" si="29"/>
        <v>-4.2095068215967167E-2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704</v>
      </c>
      <c r="C283" s="361">
        <f>C27+C203+C233</f>
        <v>52322584</v>
      </c>
      <c r="D283" s="361">
        <f>LN_IA11+LN_IF14+LN_IG9</f>
        <v>57501599</v>
      </c>
      <c r="E283" s="361">
        <f t="shared" si="28"/>
        <v>5179015</v>
      </c>
      <c r="F283" s="415">
        <f t="shared" si="29"/>
        <v>9.8982401174987841E-2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705</v>
      </c>
      <c r="C284" s="366">
        <f>IF(C277=0,0,C283/C277)</f>
        <v>1.265242438053034</v>
      </c>
      <c r="D284" s="366">
        <f>IF(D277=0,0,LN_IIB7/D277)</f>
        <v>1.4758028952959026</v>
      </c>
      <c r="E284" s="367">
        <f t="shared" si="28"/>
        <v>0.21056045724286854</v>
      </c>
      <c r="F284" s="371">
        <f t="shared" si="29"/>
        <v>0.16641906002369061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706</v>
      </c>
      <c r="C285" s="361">
        <f>C28+C204+C234</f>
        <v>22708094</v>
      </c>
      <c r="D285" s="361">
        <f>LN_IA12+LN_IF15+LN_IG10</f>
        <v>25495203</v>
      </c>
      <c r="E285" s="361">
        <f t="shared" si="28"/>
        <v>2787109</v>
      </c>
      <c r="F285" s="415">
        <f t="shared" si="29"/>
        <v>0.12273636880312368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707</v>
      </c>
      <c r="C286" s="366">
        <f>IF(C283=0,0,C285/C283)</f>
        <v>0.43400176871998525</v>
      </c>
      <c r="D286" s="366">
        <f>IF(LN_IIB7=0,0,LN_IIB9/LN_IIB7)</f>
        <v>0.44338250489347264</v>
      </c>
      <c r="E286" s="367">
        <f t="shared" si="28"/>
        <v>9.3807361734873917E-3</v>
      </c>
      <c r="F286" s="371">
        <f t="shared" si="29"/>
        <v>2.1614511390481851E-2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708</v>
      </c>
      <c r="C287" s="353">
        <f>C277+C283</f>
        <v>93676385</v>
      </c>
      <c r="D287" s="353">
        <f>D277+LN_IIB7</f>
        <v>96464525</v>
      </c>
      <c r="E287" s="353">
        <f t="shared" si="28"/>
        <v>2788140</v>
      </c>
      <c r="F287" s="415">
        <f t="shared" si="29"/>
        <v>2.9763531118328274E-2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709</v>
      </c>
      <c r="C288" s="353">
        <f>C278+C285</f>
        <v>45238267</v>
      </c>
      <c r="D288" s="353">
        <f>LN_IIB2+LN_IIB9</f>
        <v>48847608</v>
      </c>
      <c r="E288" s="353">
        <f t="shared" si="28"/>
        <v>3609341</v>
      </c>
      <c r="F288" s="415">
        <f t="shared" si="29"/>
        <v>7.9785129700039134E-2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710</v>
      </c>
      <c r="C289" s="366">
        <f>IF(C287=0,0,C288/C287)</f>
        <v>0.4829207168914556</v>
      </c>
      <c r="D289" s="366">
        <f>IF(LN_IIB11=0,0,LN_IIB12/LN_IIB11)</f>
        <v>0.50637898232536782</v>
      </c>
      <c r="E289" s="367">
        <f t="shared" si="28"/>
        <v>2.3458265433912218E-2</v>
      </c>
      <c r="F289" s="371">
        <f t="shared" si="29"/>
        <v>4.8575810921743602E-2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14213</v>
      </c>
      <c r="D290" s="421">
        <f>LN_IA8+LN_IF11+LN_IG6</f>
        <v>13239</v>
      </c>
      <c r="E290" s="442">
        <f t="shared" si="28"/>
        <v>-974</v>
      </c>
      <c r="F290" s="371">
        <f t="shared" si="29"/>
        <v>-6.8528811651305144E-2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711</v>
      </c>
      <c r="C291" s="361">
        <f>C287-C288</f>
        <v>48438118</v>
      </c>
      <c r="D291" s="429">
        <f>LN_IIB11-LN_IIB12</f>
        <v>47616917</v>
      </c>
      <c r="E291" s="353">
        <f t="shared" si="28"/>
        <v>-821201</v>
      </c>
      <c r="F291" s="415">
        <f t="shared" si="29"/>
        <v>-1.6953610790576133E-2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608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599</v>
      </c>
      <c r="C294" s="379">
        <f>IF(C18=0,0,C22/C18)</f>
        <v>4.2131466355503697</v>
      </c>
      <c r="D294" s="379">
        <f>IF(LN_IA4=0,0,LN_IA8/LN_IA4)</f>
        <v>4.0796915167095111</v>
      </c>
      <c r="E294" s="379">
        <f t="shared" ref="E294:E300" si="30">D294-C294</f>
        <v>-0.13345511884085859</v>
      </c>
      <c r="F294" s="415">
        <f t="shared" ref="F294:F300" si="31">IF(C294=0,0,E294/C294)</f>
        <v>-3.1675878004047954E-2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620</v>
      </c>
      <c r="C295" s="379">
        <f>IF(C45=0,0,C51/C45)</f>
        <v>2.9673105497771175</v>
      </c>
      <c r="D295" s="379">
        <f>IF(LN_IB4=0,0,(LN_IB10)/(LN_IB4))</f>
        <v>3.2659327925840094</v>
      </c>
      <c r="E295" s="379">
        <f t="shared" si="30"/>
        <v>0.29862224280689187</v>
      </c>
      <c r="F295" s="415">
        <f t="shared" si="31"/>
        <v>0.10063734071559249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635</v>
      </c>
      <c r="C296" s="379">
        <f>IF(C86=0,0,C93/C86)</f>
        <v>2.8333333333333335</v>
      </c>
      <c r="D296" s="379">
        <f>IF(LN_IC4=0,0,LN_IC11/LN_IC4)</f>
        <v>4.2962962962962967</v>
      </c>
      <c r="E296" s="379">
        <f t="shared" si="30"/>
        <v>1.4629629629629632</v>
      </c>
      <c r="F296" s="415">
        <f t="shared" si="31"/>
        <v>0.5163398692810458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3.3708381171067736</v>
      </c>
      <c r="D297" s="379">
        <f>IF(LN_ID4=0,0,LN_ID11/LN_ID4)</f>
        <v>3.2828571428571429</v>
      </c>
      <c r="E297" s="379">
        <f t="shared" si="30"/>
        <v>-8.7980974249630695E-2</v>
      </c>
      <c r="F297" s="415">
        <f t="shared" si="31"/>
        <v>-2.6100622810431996E-2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712</v>
      </c>
      <c r="C298" s="379">
        <f>IF(C156=0,0,C163/C156)</f>
        <v>4.0808080808080804</v>
      </c>
      <c r="D298" s="379">
        <f>IF(LN_IE4=0,0,LN_IE11/LN_IE4)</f>
        <v>3.5869565217391304</v>
      </c>
      <c r="E298" s="379">
        <f t="shared" si="30"/>
        <v>-0.49385155906895006</v>
      </c>
      <c r="F298" s="415">
        <f t="shared" si="31"/>
        <v>-0.12101808006887639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3.1538461538461537</v>
      </c>
      <c r="D299" s="379">
        <f>IF(LN_IG3=0,0,LN_IG6/LN_IG3)</f>
        <v>2.2826086956521738</v>
      </c>
      <c r="E299" s="379">
        <f t="shared" si="30"/>
        <v>-0.87123745819397991</v>
      </c>
      <c r="F299" s="415">
        <f t="shared" si="31"/>
        <v>-0.27624602332979853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713</v>
      </c>
      <c r="C300" s="379">
        <f>IF(C264=0,0,C274/C264)</f>
        <v>3.6253364435671989</v>
      </c>
      <c r="D300" s="379">
        <f>IF(LN_IIA4=0,0,LN_IIA14/LN_IIA4)</f>
        <v>3.6286043829296424</v>
      </c>
      <c r="E300" s="379">
        <f t="shared" si="30"/>
        <v>3.2679393624435171E-3</v>
      </c>
      <c r="F300" s="415">
        <f t="shared" si="31"/>
        <v>9.0141685145999414E-4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714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708</v>
      </c>
      <c r="C304" s="353">
        <f>C35+C66+C214+C221+C233</f>
        <v>165561001</v>
      </c>
      <c r="D304" s="353">
        <f>LN_IIA11</f>
        <v>168847092</v>
      </c>
      <c r="E304" s="353">
        <f t="shared" ref="E304:E316" si="32">D304-C304</f>
        <v>3286091</v>
      </c>
      <c r="F304" s="362">
        <f>IF(C304=0,0,E304/C304)</f>
        <v>1.9848218965527999E-2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711</v>
      </c>
      <c r="C305" s="353">
        <f>C291</f>
        <v>48438118</v>
      </c>
      <c r="D305" s="353">
        <f>LN_IIB14</f>
        <v>47616917</v>
      </c>
      <c r="E305" s="353">
        <f t="shared" si="32"/>
        <v>-821201</v>
      </c>
      <c r="F305" s="362">
        <f>IF(C305=0,0,E305/C305)</f>
        <v>-1.6953610790576133E-2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715</v>
      </c>
      <c r="C306" s="353">
        <f>C250</f>
        <v>4655560</v>
      </c>
      <c r="D306" s="353">
        <f>LN_IH6</f>
        <v>4703481</v>
      </c>
      <c r="E306" s="353">
        <f t="shared" si="32"/>
        <v>47921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716</v>
      </c>
      <c r="C307" s="353">
        <f>C73-C74</f>
        <v>25129292</v>
      </c>
      <c r="D307" s="353">
        <f>LN_IB32-LN_IB33</f>
        <v>24280465</v>
      </c>
      <c r="E307" s="353">
        <f t="shared" si="32"/>
        <v>-848827</v>
      </c>
      <c r="F307" s="362">
        <f t="shared" ref="F307:F316" si="33">IF(C307=0,0,E307/C307)</f>
        <v>-3.3778388981273326E-2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717</v>
      </c>
      <c r="C308" s="353">
        <v>32042</v>
      </c>
      <c r="D308" s="353">
        <v>23831</v>
      </c>
      <c r="E308" s="353">
        <f t="shared" si="32"/>
        <v>-8211</v>
      </c>
      <c r="F308" s="362">
        <f t="shared" si="33"/>
        <v>-0.25625741214655762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718</v>
      </c>
      <c r="C309" s="353">
        <f>C305+C307+C308+C306</f>
        <v>78255012</v>
      </c>
      <c r="D309" s="353">
        <f>LN_III2+LN_III3+LN_III4+LN_III5</f>
        <v>76624694</v>
      </c>
      <c r="E309" s="353">
        <f t="shared" si="32"/>
        <v>-1630318</v>
      </c>
      <c r="F309" s="362">
        <f t="shared" si="33"/>
        <v>-2.0833400421688006E-2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719</v>
      </c>
      <c r="C310" s="353">
        <f>C304-C309</f>
        <v>87305989</v>
      </c>
      <c r="D310" s="353">
        <f>LN_III1-LN_III6</f>
        <v>92222398</v>
      </c>
      <c r="E310" s="353">
        <f t="shared" si="32"/>
        <v>4916409</v>
      </c>
      <c r="F310" s="362">
        <f t="shared" si="33"/>
        <v>5.6312391123591765E-2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720</v>
      </c>
      <c r="C311" s="353">
        <f>C245</f>
        <v>597835</v>
      </c>
      <c r="D311" s="353">
        <f>LN_IH3</f>
        <v>529980</v>
      </c>
      <c r="E311" s="353">
        <f t="shared" si="32"/>
        <v>-67855</v>
      </c>
      <c r="F311" s="362">
        <f t="shared" si="33"/>
        <v>-0.11350121689094816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721</v>
      </c>
      <c r="C312" s="353">
        <f>C310+C311</f>
        <v>87903824</v>
      </c>
      <c r="D312" s="353">
        <f>LN_III7+LN_III8</f>
        <v>92752378</v>
      </c>
      <c r="E312" s="353">
        <f t="shared" si="32"/>
        <v>4848554</v>
      </c>
      <c r="F312" s="362">
        <f t="shared" si="33"/>
        <v>5.5157486664061395E-2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722</v>
      </c>
      <c r="C313" s="448">
        <f>IF(C304=0,0,C312/C304)</f>
        <v>0.53094523147996675</v>
      </c>
      <c r="D313" s="448">
        <f>IF(LN_III1=0,0,LN_III9/LN_III1)</f>
        <v>0.54932766031884039</v>
      </c>
      <c r="E313" s="448">
        <f t="shared" si="32"/>
        <v>1.8382428838873643E-2</v>
      </c>
      <c r="F313" s="362">
        <f t="shared" si="33"/>
        <v>3.4622081052755882E-2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680</v>
      </c>
      <c r="C314" s="353">
        <f>C306*C313</f>
        <v>2471847.3818688742</v>
      </c>
      <c r="D314" s="353">
        <f>D313*LN_III5</f>
        <v>2583752.2130841198</v>
      </c>
      <c r="E314" s="353">
        <f t="shared" si="32"/>
        <v>111904.83121524565</v>
      </c>
      <c r="F314" s="362">
        <f t="shared" si="33"/>
        <v>4.5271739685901834E-2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683</v>
      </c>
      <c r="C315" s="353">
        <f>(C214*C313)-C215</f>
        <v>3463467.5402492471</v>
      </c>
      <c r="D315" s="353">
        <f>D313*LN_IH8-LN_IH9</f>
        <v>4702910.3662431091</v>
      </c>
      <c r="E315" s="353">
        <f t="shared" si="32"/>
        <v>1239442.825993862</v>
      </c>
      <c r="F315" s="362">
        <f t="shared" si="33"/>
        <v>0.35786182823721974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723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724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725</v>
      </c>
      <c r="C318" s="353">
        <f>C314+C315+C316</f>
        <v>5935314.9221181218</v>
      </c>
      <c r="D318" s="353">
        <f>D314+D315+D316</f>
        <v>7286662.5793272294</v>
      </c>
      <c r="E318" s="353">
        <f>D318-C318</f>
        <v>1351347.6572091077</v>
      </c>
      <c r="F318" s="362">
        <f>IF(C318=0,0,E318/C318)</f>
        <v>0.22767918382447944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726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2772999.7715965416</v>
      </c>
      <c r="D322" s="353">
        <f>LN_ID22</f>
        <v>4944288.4157968471</v>
      </c>
      <c r="E322" s="353">
        <f>LN_IV2-C322</f>
        <v>2171288.6442003055</v>
      </c>
      <c r="F322" s="362">
        <f>IF(C322=0,0,E322/C322)</f>
        <v>0.78301075479360616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712</v>
      </c>
      <c r="C323" s="353">
        <f>C162+C176</f>
        <v>365686.59083359502</v>
      </c>
      <c r="D323" s="353">
        <f>LN_IE10+LN_IE22</f>
        <v>177694.92605069012</v>
      </c>
      <c r="E323" s="353">
        <f>LN_IV3-C323</f>
        <v>-187991.6647829049</v>
      </c>
      <c r="F323" s="362">
        <f>IF(C323=0,0,E323/C323)</f>
        <v>-0.51407863863526282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727</v>
      </c>
      <c r="C324" s="353">
        <f>C92+C106</f>
        <v>1177469.785722049</v>
      </c>
      <c r="D324" s="353">
        <f>LN_IC10+LN_IC22</f>
        <v>1381504.6751906737</v>
      </c>
      <c r="E324" s="353">
        <f>LN_IV1-C324</f>
        <v>204034.88946862472</v>
      </c>
      <c r="F324" s="362">
        <f>IF(C324=0,0,E324/C324)</f>
        <v>0.17328248413907818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728</v>
      </c>
      <c r="C325" s="429">
        <f>C324+C322+C323</f>
        <v>4316156.1481521856</v>
      </c>
      <c r="D325" s="429">
        <f>LN_IV1+LN_IV2+LN_IV3</f>
        <v>6503488.0170382103</v>
      </c>
      <c r="E325" s="353">
        <f>LN_IV4-C325</f>
        <v>2187331.8688860247</v>
      </c>
      <c r="F325" s="362">
        <f>IF(C325=0,0,E325/C325)</f>
        <v>0.50677774246477525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729</v>
      </c>
      <c r="B327" s="446" t="s">
        <v>730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731</v>
      </c>
      <c r="C329" s="431">
        <v>73431</v>
      </c>
      <c r="D329" s="431">
        <v>3510423</v>
      </c>
      <c r="E329" s="431">
        <f t="shared" ref="E329:E335" si="34">D329-C329</f>
        <v>3436992</v>
      </c>
      <c r="F329" s="462">
        <f t="shared" ref="F329:F335" si="35">IF(C329=0,0,E329/C329)</f>
        <v>46.805735997058463</v>
      </c>
    </row>
    <row r="330" spans="1:22" s="333" customFormat="1" ht="11.25" customHeight="1" x14ac:dyDescent="0.2">
      <c r="A330" s="364">
        <v>2</v>
      </c>
      <c r="B330" s="360" t="s">
        <v>732</v>
      </c>
      <c r="C330" s="429">
        <v>3403934</v>
      </c>
      <c r="D330" s="429">
        <v>3826990</v>
      </c>
      <c r="E330" s="431">
        <f t="shared" si="34"/>
        <v>423056</v>
      </c>
      <c r="F330" s="463">
        <f t="shared" si="35"/>
        <v>0.12428443089672127</v>
      </c>
    </row>
    <row r="331" spans="1:22" s="333" customFormat="1" ht="11.25" customHeight="1" x14ac:dyDescent="0.2">
      <c r="A331" s="339">
        <v>3</v>
      </c>
      <c r="B331" s="360" t="s">
        <v>733</v>
      </c>
      <c r="C331" s="429">
        <v>95995284</v>
      </c>
      <c r="D331" s="429">
        <v>100651954</v>
      </c>
      <c r="E331" s="431">
        <f t="shared" si="34"/>
        <v>4656670</v>
      </c>
      <c r="F331" s="462">
        <f t="shared" si="35"/>
        <v>4.8509362189084207E-2</v>
      </c>
    </row>
    <row r="332" spans="1:22" s="333" customFormat="1" ht="11.25" customHeight="1" x14ac:dyDescent="0.2">
      <c r="A332" s="364">
        <v>4</v>
      </c>
      <c r="B332" s="360" t="s">
        <v>734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735</v>
      </c>
      <c r="C333" s="429">
        <v>165561002</v>
      </c>
      <c r="D333" s="429">
        <v>168847093</v>
      </c>
      <c r="E333" s="431">
        <f t="shared" si="34"/>
        <v>3286091</v>
      </c>
      <c r="F333" s="462">
        <f t="shared" si="35"/>
        <v>1.9848218845643372E-2</v>
      </c>
    </row>
    <row r="334" spans="1:22" s="333" customFormat="1" ht="11.25" customHeight="1" x14ac:dyDescent="0.2">
      <c r="A334" s="339">
        <v>6</v>
      </c>
      <c r="B334" s="360" t="s">
        <v>736</v>
      </c>
      <c r="C334" s="429">
        <v>93029</v>
      </c>
      <c r="D334" s="429">
        <v>64679</v>
      </c>
      <c r="E334" s="429">
        <f t="shared" si="34"/>
        <v>-28350</v>
      </c>
      <c r="F334" s="463">
        <f t="shared" si="35"/>
        <v>-0.30474368207763169</v>
      </c>
    </row>
    <row r="335" spans="1:22" s="333" customFormat="1" ht="11.25" customHeight="1" x14ac:dyDescent="0.2">
      <c r="A335" s="364">
        <v>7</v>
      </c>
      <c r="B335" s="360" t="s">
        <v>737</v>
      </c>
      <c r="C335" s="429">
        <v>4748589</v>
      </c>
      <c r="D335" s="429">
        <v>4768160</v>
      </c>
      <c r="E335" s="429">
        <f t="shared" si="34"/>
        <v>19571</v>
      </c>
      <c r="F335" s="462">
        <f t="shared" si="35"/>
        <v>4.1214348093717946E-3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FILING&amp;RDAY KIMBALL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80" max="5" man="1"/>
    <brk id="114" max="16383" man="1"/>
    <brk id="149" max="16383" man="1"/>
    <brk id="184" max="16383" man="1"/>
    <brk id="217" max="16383" man="1"/>
    <brk id="257" max="5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Normal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590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738</v>
      </c>
      <c r="B5" s="710"/>
      <c r="C5" s="710"/>
      <c r="D5" s="710"/>
      <c r="E5" s="710"/>
    </row>
    <row r="6" spans="1:5" s="338" customFormat="1" ht="15.75" customHeight="1" x14ac:dyDescent="0.25">
      <c r="A6" s="710" t="s">
        <v>739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740</v>
      </c>
      <c r="D9" s="494" t="s">
        <v>741</v>
      </c>
      <c r="E9" s="495" t="s">
        <v>742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743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744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620</v>
      </c>
      <c r="C14" s="513">
        <v>16754947</v>
      </c>
      <c r="D14" s="513">
        <v>15157306</v>
      </c>
      <c r="E14" s="514">
        <f t="shared" ref="E14:E22" si="0">D14-C14</f>
        <v>-1597641</v>
      </c>
    </row>
    <row r="15" spans="1:5" s="506" customFormat="1" x14ac:dyDescent="0.2">
      <c r="A15" s="512">
        <v>2</v>
      </c>
      <c r="B15" s="511" t="s">
        <v>599</v>
      </c>
      <c r="C15" s="513">
        <v>31425234</v>
      </c>
      <c r="D15" s="515">
        <v>28346683</v>
      </c>
      <c r="E15" s="514">
        <f t="shared" si="0"/>
        <v>-3078551</v>
      </c>
    </row>
    <row r="16" spans="1:5" s="506" customFormat="1" x14ac:dyDescent="0.2">
      <c r="A16" s="512">
        <v>3</v>
      </c>
      <c r="B16" s="511" t="s">
        <v>745</v>
      </c>
      <c r="C16" s="513">
        <v>9808086</v>
      </c>
      <c r="D16" s="515">
        <v>10310131</v>
      </c>
      <c r="E16" s="514">
        <f t="shared" si="0"/>
        <v>502045</v>
      </c>
    </row>
    <row r="17" spans="1:5" s="506" customFormat="1" x14ac:dyDescent="0.2">
      <c r="A17" s="512">
        <v>4</v>
      </c>
      <c r="B17" s="511" t="s">
        <v>114</v>
      </c>
      <c r="C17" s="513">
        <v>8010139</v>
      </c>
      <c r="D17" s="515">
        <v>9213745</v>
      </c>
      <c r="E17" s="514">
        <f t="shared" si="0"/>
        <v>1203606</v>
      </c>
    </row>
    <row r="18" spans="1:5" s="506" customFormat="1" x14ac:dyDescent="0.2">
      <c r="A18" s="512">
        <v>5</v>
      </c>
      <c r="B18" s="511" t="s">
        <v>712</v>
      </c>
      <c r="C18" s="513">
        <v>1797947</v>
      </c>
      <c r="D18" s="515">
        <v>1096386</v>
      </c>
      <c r="E18" s="514">
        <f t="shared" si="0"/>
        <v>-701561</v>
      </c>
    </row>
    <row r="19" spans="1:5" s="506" customFormat="1" x14ac:dyDescent="0.2">
      <c r="A19" s="512">
        <v>6</v>
      </c>
      <c r="B19" s="511" t="s">
        <v>418</v>
      </c>
      <c r="C19" s="513">
        <v>120481</v>
      </c>
      <c r="D19" s="515">
        <v>306112</v>
      </c>
      <c r="E19" s="514">
        <f t="shared" si="0"/>
        <v>185631</v>
      </c>
    </row>
    <row r="20" spans="1:5" s="506" customFormat="1" x14ac:dyDescent="0.2">
      <c r="A20" s="512">
        <v>7</v>
      </c>
      <c r="B20" s="511" t="s">
        <v>727</v>
      </c>
      <c r="C20" s="513">
        <v>1028632</v>
      </c>
      <c r="D20" s="515">
        <v>1207338</v>
      </c>
      <c r="E20" s="514">
        <f t="shared" si="0"/>
        <v>178706</v>
      </c>
    </row>
    <row r="21" spans="1:5" s="506" customFormat="1" x14ac:dyDescent="0.2">
      <c r="A21" s="512"/>
      <c r="B21" s="516" t="s">
        <v>746</v>
      </c>
      <c r="C21" s="517">
        <f>SUM(C15+C16+C19)</f>
        <v>41353801</v>
      </c>
      <c r="D21" s="517">
        <f>SUM(D15+D16+D19)</f>
        <v>38962926</v>
      </c>
      <c r="E21" s="517">
        <f t="shared" si="0"/>
        <v>-2390875</v>
      </c>
    </row>
    <row r="22" spans="1:5" s="506" customFormat="1" x14ac:dyDescent="0.2">
      <c r="A22" s="512"/>
      <c r="B22" s="516" t="s">
        <v>686</v>
      </c>
      <c r="C22" s="517">
        <f>SUM(C14+C21)</f>
        <v>58108748</v>
      </c>
      <c r="D22" s="517">
        <f>SUM(D14+D21)</f>
        <v>54120232</v>
      </c>
      <c r="E22" s="517">
        <f t="shared" si="0"/>
        <v>-3988516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747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620</v>
      </c>
      <c r="C25" s="513">
        <v>55129669</v>
      </c>
      <c r="D25" s="513">
        <v>57225261</v>
      </c>
      <c r="E25" s="514">
        <f t="shared" ref="E25:E33" si="1">D25-C25</f>
        <v>2095592</v>
      </c>
    </row>
    <row r="26" spans="1:5" s="506" customFormat="1" x14ac:dyDescent="0.2">
      <c r="A26" s="512">
        <v>2</v>
      </c>
      <c r="B26" s="511" t="s">
        <v>599</v>
      </c>
      <c r="C26" s="513">
        <v>34602568</v>
      </c>
      <c r="D26" s="515">
        <v>36390387</v>
      </c>
      <c r="E26" s="514">
        <f t="shared" si="1"/>
        <v>1787819</v>
      </c>
    </row>
    <row r="27" spans="1:5" s="506" customFormat="1" x14ac:dyDescent="0.2">
      <c r="A27" s="512">
        <v>3</v>
      </c>
      <c r="B27" s="511" t="s">
        <v>745</v>
      </c>
      <c r="C27" s="513">
        <v>17004447</v>
      </c>
      <c r="D27" s="515">
        <v>20028899</v>
      </c>
      <c r="E27" s="514">
        <f t="shared" si="1"/>
        <v>3024452</v>
      </c>
    </row>
    <row r="28" spans="1:5" s="506" customFormat="1" x14ac:dyDescent="0.2">
      <c r="A28" s="512">
        <v>4</v>
      </c>
      <c r="B28" s="511" t="s">
        <v>114</v>
      </c>
      <c r="C28" s="513">
        <v>13999061</v>
      </c>
      <c r="D28" s="515">
        <v>18204386</v>
      </c>
      <c r="E28" s="514">
        <f t="shared" si="1"/>
        <v>4205325</v>
      </c>
    </row>
    <row r="29" spans="1:5" s="506" customFormat="1" x14ac:dyDescent="0.2">
      <c r="A29" s="512">
        <v>5</v>
      </c>
      <c r="B29" s="511" t="s">
        <v>712</v>
      </c>
      <c r="C29" s="513">
        <v>3005386</v>
      </c>
      <c r="D29" s="515">
        <v>1824513</v>
      </c>
      <c r="E29" s="514">
        <f t="shared" si="1"/>
        <v>-1180873</v>
      </c>
    </row>
    <row r="30" spans="1:5" s="506" customFormat="1" x14ac:dyDescent="0.2">
      <c r="A30" s="512">
        <v>6</v>
      </c>
      <c r="B30" s="511" t="s">
        <v>418</v>
      </c>
      <c r="C30" s="513">
        <v>715569</v>
      </c>
      <c r="D30" s="515">
        <v>1082313</v>
      </c>
      <c r="E30" s="514">
        <f t="shared" si="1"/>
        <v>366744</v>
      </c>
    </row>
    <row r="31" spans="1:5" s="506" customFormat="1" x14ac:dyDescent="0.2">
      <c r="A31" s="512">
        <v>7</v>
      </c>
      <c r="B31" s="511" t="s">
        <v>727</v>
      </c>
      <c r="C31" s="514">
        <v>2467936</v>
      </c>
      <c r="D31" s="518">
        <v>2592162</v>
      </c>
      <c r="E31" s="514">
        <f t="shared" si="1"/>
        <v>124226</v>
      </c>
    </row>
    <row r="32" spans="1:5" s="506" customFormat="1" x14ac:dyDescent="0.2">
      <c r="A32" s="512"/>
      <c r="B32" s="516" t="s">
        <v>748</v>
      </c>
      <c r="C32" s="517">
        <f>SUM(C26+C27+C30)</f>
        <v>52322584</v>
      </c>
      <c r="D32" s="517">
        <f>SUM(D26+D27+D30)</f>
        <v>57501599</v>
      </c>
      <c r="E32" s="517">
        <f t="shared" si="1"/>
        <v>5179015</v>
      </c>
    </row>
    <row r="33" spans="1:5" s="506" customFormat="1" x14ac:dyDescent="0.2">
      <c r="A33" s="512"/>
      <c r="B33" s="516" t="s">
        <v>692</v>
      </c>
      <c r="C33" s="517">
        <f>SUM(C25+C32)</f>
        <v>107452253</v>
      </c>
      <c r="D33" s="517">
        <f>SUM(D25+D32)</f>
        <v>114726860</v>
      </c>
      <c r="E33" s="517">
        <f t="shared" si="1"/>
        <v>7274607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617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749</v>
      </c>
      <c r="C36" s="514">
        <f t="shared" ref="C36:D42" si="2">C14+C25</f>
        <v>71884616</v>
      </c>
      <c r="D36" s="514">
        <f t="shared" si="2"/>
        <v>72382567</v>
      </c>
      <c r="E36" s="514">
        <f t="shared" ref="E36:E44" si="3">D36-C36</f>
        <v>497951</v>
      </c>
    </row>
    <row r="37" spans="1:5" s="506" customFormat="1" x14ac:dyDescent="0.2">
      <c r="A37" s="512">
        <v>2</v>
      </c>
      <c r="B37" s="511" t="s">
        <v>750</v>
      </c>
      <c r="C37" s="514">
        <f t="shared" si="2"/>
        <v>66027802</v>
      </c>
      <c r="D37" s="514">
        <f t="shared" si="2"/>
        <v>64737070</v>
      </c>
      <c r="E37" s="514">
        <f t="shared" si="3"/>
        <v>-1290732</v>
      </c>
    </row>
    <row r="38" spans="1:5" s="506" customFormat="1" x14ac:dyDescent="0.2">
      <c r="A38" s="512">
        <v>3</v>
      </c>
      <c r="B38" s="511" t="s">
        <v>751</v>
      </c>
      <c r="C38" s="514">
        <f t="shared" si="2"/>
        <v>26812533</v>
      </c>
      <c r="D38" s="514">
        <f t="shared" si="2"/>
        <v>30339030</v>
      </c>
      <c r="E38" s="514">
        <f t="shared" si="3"/>
        <v>3526497</v>
      </c>
    </row>
    <row r="39" spans="1:5" s="506" customFormat="1" x14ac:dyDescent="0.2">
      <c r="A39" s="512">
        <v>4</v>
      </c>
      <c r="B39" s="511" t="s">
        <v>752</v>
      </c>
      <c r="C39" s="514">
        <f t="shared" si="2"/>
        <v>22009200</v>
      </c>
      <c r="D39" s="514">
        <f t="shared" si="2"/>
        <v>27418131</v>
      </c>
      <c r="E39" s="514">
        <f t="shared" si="3"/>
        <v>5408931</v>
      </c>
    </row>
    <row r="40" spans="1:5" s="506" customFormat="1" x14ac:dyDescent="0.2">
      <c r="A40" s="512">
        <v>5</v>
      </c>
      <c r="B40" s="511" t="s">
        <v>753</v>
      </c>
      <c r="C40" s="514">
        <f t="shared" si="2"/>
        <v>4803333</v>
      </c>
      <c r="D40" s="514">
        <f t="shared" si="2"/>
        <v>2920899</v>
      </c>
      <c r="E40" s="514">
        <f t="shared" si="3"/>
        <v>-1882434</v>
      </c>
    </row>
    <row r="41" spans="1:5" s="506" customFormat="1" x14ac:dyDescent="0.2">
      <c r="A41" s="512">
        <v>6</v>
      </c>
      <c r="B41" s="511" t="s">
        <v>754</v>
      </c>
      <c r="C41" s="514">
        <f t="shared" si="2"/>
        <v>836050</v>
      </c>
      <c r="D41" s="514">
        <f t="shared" si="2"/>
        <v>1388425</v>
      </c>
      <c r="E41" s="514">
        <f t="shared" si="3"/>
        <v>552375</v>
      </c>
    </row>
    <row r="42" spans="1:5" s="506" customFormat="1" x14ac:dyDescent="0.2">
      <c r="A42" s="512">
        <v>7</v>
      </c>
      <c r="B42" s="511" t="s">
        <v>755</v>
      </c>
      <c r="C42" s="514">
        <f t="shared" si="2"/>
        <v>3496568</v>
      </c>
      <c r="D42" s="514">
        <f t="shared" si="2"/>
        <v>3799500</v>
      </c>
      <c r="E42" s="514">
        <f t="shared" si="3"/>
        <v>302932</v>
      </c>
    </row>
    <row r="43" spans="1:5" s="506" customFormat="1" x14ac:dyDescent="0.2">
      <c r="A43" s="512"/>
      <c r="B43" s="516" t="s">
        <v>756</v>
      </c>
      <c r="C43" s="517">
        <f>SUM(C37+C38+C41)</f>
        <v>93676385</v>
      </c>
      <c r="D43" s="517">
        <f>SUM(D37+D38+D41)</f>
        <v>96464525</v>
      </c>
      <c r="E43" s="517">
        <f t="shared" si="3"/>
        <v>2788140</v>
      </c>
    </row>
    <row r="44" spans="1:5" s="506" customFormat="1" x14ac:dyDescent="0.2">
      <c r="A44" s="512"/>
      <c r="B44" s="516" t="s">
        <v>694</v>
      </c>
      <c r="C44" s="517">
        <f>SUM(C36+C43)</f>
        <v>165561001</v>
      </c>
      <c r="D44" s="517">
        <f>SUM(D36+D43)</f>
        <v>168847092</v>
      </c>
      <c r="E44" s="517">
        <f t="shared" si="3"/>
        <v>3286091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757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620</v>
      </c>
      <c r="C47" s="513">
        <v>9152280</v>
      </c>
      <c r="D47" s="513">
        <v>8782544</v>
      </c>
      <c r="E47" s="514">
        <f t="shared" ref="E47:E55" si="4">D47-C47</f>
        <v>-369736</v>
      </c>
    </row>
    <row r="48" spans="1:5" s="506" customFormat="1" x14ac:dyDescent="0.2">
      <c r="A48" s="512">
        <v>2</v>
      </c>
      <c r="B48" s="511" t="s">
        <v>599</v>
      </c>
      <c r="C48" s="513">
        <v>18096677</v>
      </c>
      <c r="D48" s="515">
        <v>18684382</v>
      </c>
      <c r="E48" s="514">
        <f t="shared" si="4"/>
        <v>587705</v>
      </c>
    </row>
    <row r="49" spans="1:5" s="506" customFormat="1" x14ac:dyDescent="0.2">
      <c r="A49" s="512">
        <v>3</v>
      </c>
      <c r="B49" s="511" t="s">
        <v>745</v>
      </c>
      <c r="C49" s="513">
        <v>4381395</v>
      </c>
      <c r="D49" s="515">
        <v>4488217</v>
      </c>
      <c r="E49" s="514">
        <f t="shared" si="4"/>
        <v>106822</v>
      </c>
    </row>
    <row r="50" spans="1:5" s="506" customFormat="1" x14ac:dyDescent="0.2">
      <c r="A50" s="512">
        <v>4</v>
      </c>
      <c r="B50" s="511" t="s">
        <v>114</v>
      </c>
      <c r="C50" s="513">
        <v>4009071</v>
      </c>
      <c r="D50" s="515">
        <v>4241450</v>
      </c>
      <c r="E50" s="514">
        <f t="shared" si="4"/>
        <v>232379</v>
      </c>
    </row>
    <row r="51" spans="1:5" s="506" customFormat="1" x14ac:dyDescent="0.2">
      <c r="A51" s="512">
        <v>5</v>
      </c>
      <c r="B51" s="511" t="s">
        <v>712</v>
      </c>
      <c r="C51" s="513">
        <v>372324</v>
      </c>
      <c r="D51" s="515">
        <v>246767</v>
      </c>
      <c r="E51" s="514">
        <f t="shared" si="4"/>
        <v>-125557</v>
      </c>
    </row>
    <row r="52" spans="1:5" s="506" customFormat="1" x14ac:dyDescent="0.2">
      <c r="A52" s="512">
        <v>6</v>
      </c>
      <c r="B52" s="511" t="s">
        <v>418</v>
      </c>
      <c r="C52" s="513">
        <v>52101</v>
      </c>
      <c r="D52" s="515">
        <v>179806</v>
      </c>
      <c r="E52" s="514">
        <f t="shared" si="4"/>
        <v>127705</v>
      </c>
    </row>
    <row r="53" spans="1:5" s="506" customFormat="1" x14ac:dyDescent="0.2">
      <c r="A53" s="512">
        <v>7</v>
      </c>
      <c r="B53" s="511" t="s">
        <v>727</v>
      </c>
      <c r="C53" s="513">
        <v>52535</v>
      </c>
      <c r="D53" s="515">
        <v>50266</v>
      </c>
      <c r="E53" s="514">
        <f t="shared" si="4"/>
        <v>-2269</v>
      </c>
    </row>
    <row r="54" spans="1:5" s="506" customFormat="1" x14ac:dyDescent="0.2">
      <c r="A54" s="512"/>
      <c r="B54" s="516" t="s">
        <v>758</v>
      </c>
      <c r="C54" s="517">
        <f>SUM(C48+C49+C52)</f>
        <v>22530173</v>
      </c>
      <c r="D54" s="517">
        <f>SUM(D48+D49+D52)</f>
        <v>23352405</v>
      </c>
      <c r="E54" s="517">
        <f t="shared" si="4"/>
        <v>822232</v>
      </c>
    </row>
    <row r="55" spans="1:5" s="506" customFormat="1" x14ac:dyDescent="0.2">
      <c r="A55" s="512"/>
      <c r="B55" s="516" t="s">
        <v>687</v>
      </c>
      <c r="C55" s="517">
        <f>SUM(C47+C54)</f>
        <v>31682453</v>
      </c>
      <c r="D55" s="517">
        <f>SUM(D47+D54)</f>
        <v>32134949</v>
      </c>
      <c r="E55" s="517">
        <f t="shared" si="4"/>
        <v>452496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759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620</v>
      </c>
      <c r="C58" s="513">
        <v>37603044</v>
      </c>
      <c r="D58" s="513">
        <v>38664834</v>
      </c>
      <c r="E58" s="514">
        <f t="shared" ref="E58:E66" si="5">D58-C58</f>
        <v>1061790</v>
      </c>
    </row>
    <row r="59" spans="1:5" s="506" customFormat="1" x14ac:dyDescent="0.2">
      <c r="A59" s="512">
        <v>2</v>
      </c>
      <c r="B59" s="511" t="s">
        <v>599</v>
      </c>
      <c r="C59" s="513">
        <v>15954823</v>
      </c>
      <c r="D59" s="515">
        <v>17477474</v>
      </c>
      <c r="E59" s="514">
        <f t="shared" si="5"/>
        <v>1522651</v>
      </c>
    </row>
    <row r="60" spans="1:5" s="506" customFormat="1" x14ac:dyDescent="0.2">
      <c r="A60" s="512">
        <v>3</v>
      </c>
      <c r="B60" s="511" t="s">
        <v>745</v>
      </c>
      <c r="C60" s="513">
        <f>C61+C62</f>
        <v>6391124</v>
      </c>
      <c r="D60" s="515">
        <f>D61+D62</f>
        <v>7474941</v>
      </c>
      <c r="E60" s="514">
        <f t="shared" si="5"/>
        <v>1083817</v>
      </c>
    </row>
    <row r="61" spans="1:5" s="506" customFormat="1" x14ac:dyDescent="0.2">
      <c r="A61" s="512">
        <v>4</v>
      </c>
      <c r="B61" s="511" t="s">
        <v>114</v>
      </c>
      <c r="C61" s="513">
        <v>5806009</v>
      </c>
      <c r="D61" s="515">
        <v>7156747</v>
      </c>
      <c r="E61" s="514">
        <f t="shared" si="5"/>
        <v>1350738</v>
      </c>
    </row>
    <row r="62" spans="1:5" s="506" customFormat="1" x14ac:dyDescent="0.2">
      <c r="A62" s="512">
        <v>5</v>
      </c>
      <c r="B62" s="511" t="s">
        <v>712</v>
      </c>
      <c r="C62" s="513">
        <v>585115</v>
      </c>
      <c r="D62" s="515">
        <v>318194</v>
      </c>
      <c r="E62" s="514">
        <f t="shared" si="5"/>
        <v>-266921</v>
      </c>
    </row>
    <row r="63" spans="1:5" s="506" customFormat="1" x14ac:dyDescent="0.2">
      <c r="A63" s="512">
        <v>6</v>
      </c>
      <c r="B63" s="511" t="s">
        <v>418</v>
      </c>
      <c r="C63" s="513">
        <v>362147</v>
      </c>
      <c r="D63" s="515">
        <v>542788</v>
      </c>
      <c r="E63" s="514">
        <f t="shared" si="5"/>
        <v>180641</v>
      </c>
    </row>
    <row r="64" spans="1:5" s="506" customFormat="1" x14ac:dyDescent="0.2">
      <c r="A64" s="512">
        <v>7</v>
      </c>
      <c r="B64" s="511" t="s">
        <v>727</v>
      </c>
      <c r="C64" s="513">
        <v>159075</v>
      </c>
      <c r="D64" s="515">
        <v>125390</v>
      </c>
      <c r="E64" s="514">
        <f t="shared" si="5"/>
        <v>-33685</v>
      </c>
    </row>
    <row r="65" spans="1:5" s="506" customFormat="1" x14ac:dyDescent="0.2">
      <c r="A65" s="512"/>
      <c r="B65" s="516" t="s">
        <v>760</v>
      </c>
      <c r="C65" s="517">
        <f>SUM(C59+C60+C63)</f>
        <v>22708094</v>
      </c>
      <c r="D65" s="517">
        <f>SUM(D59+D60+D63)</f>
        <v>25495203</v>
      </c>
      <c r="E65" s="517">
        <f t="shared" si="5"/>
        <v>2787109</v>
      </c>
    </row>
    <row r="66" spans="1:5" s="506" customFormat="1" x14ac:dyDescent="0.2">
      <c r="A66" s="512"/>
      <c r="B66" s="516" t="s">
        <v>693</v>
      </c>
      <c r="C66" s="517">
        <f>SUM(C58+C65)</f>
        <v>60311138</v>
      </c>
      <c r="D66" s="517">
        <f>SUM(D58+D65)</f>
        <v>64160037</v>
      </c>
      <c r="E66" s="517">
        <f t="shared" si="5"/>
        <v>3848899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618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749</v>
      </c>
      <c r="C69" s="514">
        <f t="shared" ref="C69:D75" si="6">C47+C58</f>
        <v>46755324</v>
      </c>
      <c r="D69" s="514">
        <f t="shared" si="6"/>
        <v>47447378</v>
      </c>
      <c r="E69" s="514">
        <f t="shared" ref="E69:E77" si="7">D69-C69</f>
        <v>692054</v>
      </c>
    </row>
    <row r="70" spans="1:5" s="506" customFormat="1" x14ac:dyDescent="0.2">
      <c r="A70" s="512">
        <v>2</v>
      </c>
      <c r="B70" s="511" t="s">
        <v>750</v>
      </c>
      <c r="C70" s="514">
        <f t="shared" si="6"/>
        <v>34051500</v>
      </c>
      <c r="D70" s="514">
        <f t="shared" si="6"/>
        <v>36161856</v>
      </c>
      <c r="E70" s="514">
        <f t="shared" si="7"/>
        <v>2110356</v>
      </c>
    </row>
    <row r="71" spans="1:5" s="506" customFormat="1" x14ac:dyDescent="0.2">
      <c r="A71" s="512">
        <v>3</v>
      </c>
      <c r="B71" s="511" t="s">
        <v>751</v>
      </c>
      <c r="C71" s="514">
        <f t="shared" si="6"/>
        <v>10772519</v>
      </c>
      <c r="D71" s="514">
        <f t="shared" si="6"/>
        <v>11963158</v>
      </c>
      <c r="E71" s="514">
        <f t="shared" si="7"/>
        <v>1190639</v>
      </c>
    </row>
    <row r="72" spans="1:5" s="506" customFormat="1" x14ac:dyDescent="0.2">
      <c r="A72" s="512">
        <v>4</v>
      </c>
      <c r="B72" s="511" t="s">
        <v>752</v>
      </c>
      <c r="C72" s="514">
        <f t="shared" si="6"/>
        <v>9815080</v>
      </c>
      <c r="D72" s="514">
        <f t="shared" si="6"/>
        <v>11398197</v>
      </c>
      <c r="E72" s="514">
        <f t="shared" si="7"/>
        <v>1583117</v>
      </c>
    </row>
    <row r="73" spans="1:5" s="506" customFormat="1" x14ac:dyDescent="0.2">
      <c r="A73" s="512">
        <v>5</v>
      </c>
      <c r="B73" s="511" t="s">
        <v>753</v>
      </c>
      <c r="C73" s="514">
        <f t="shared" si="6"/>
        <v>957439</v>
      </c>
      <c r="D73" s="514">
        <f t="shared" si="6"/>
        <v>564961</v>
      </c>
      <c r="E73" s="514">
        <f t="shared" si="7"/>
        <v>-392478</v>
      </c>
    </row>
    <row r="74" spans="1:5" s="506" customFormat="1" x14ac:dyDescent="0.2">
      <c r="A74" s="512">
        <v>6</v>
      </c>
      <c r="B74" s="511" t="s">
        <v>754</v>
      </c>
      <c r="C74" s="514">
        <f t="shared" si="6"/>
        <v>414248</v>
      </c>
      <c r="D74" s="514">
        <f t="shared" si="6"/>
        <v>722594</v>
      </c>
      <c r="E74" s="514">
        <f t="shared" si="7"/>
        <v>308346</v>
      </c>
    </row>
    <row r="75" spans="1:5" s="506" customFormat="1" x14ac:dyDescent="0.2">
      <c r="A75" s="512">
        <v>7</v>
      </c>
      <c r="B75" s="511" t="s">
        <v>755</v>
      </c>
      <c r="C75" s="514">
        <f t="shared" si="6"/>
        <v>211610</v>
      </c>
      <c r="D75" s="514">
        <f t="shared" si="6"/>
        <v>175656</v>
      </c>
      <c r="E75" s="514">
        <f t="shared" si="7"/>
        <v>-35954</v>
      </c>
    </row>
    <row r="76" spans="1:5" s="506" customFormat="1" x14ac:dyDescent="0.2">
      <c r="A76" s="512"/>
      <c r="B76" s="516" t="s">
        <v>761</v>
      </c>
      <c r="C76" s="517">
        <f>SUM(C70+C71+C74)</f>
        <v>45238267</v>
      </c>
      <c r="D76" s="517">
        <f>SUM(D70+D71+D74)</f>
        <v>48847608</v>
      </c>
      <c r="E76" s="517">
        <f t="shared" si="7"/>
        <v>3609341</v>
      </c>
    </row>
    <row r="77" spans="1:5" s="506" customFormat="1" x14ac:dyDescent="0.2">
      <c r="A77" s="512"/>
      <c r="B77" s="516" t="s">
        <v>695</v>
      </c>
      <c r="C77" s="517">
        <f>SUM(C69+C76)</f>
        <v>91993591</v>
      </c>
      <c r="D77" s="517">
        <f>SUM(D69+D76)</f>
        <v>96294986</v>
      </c>
      <c r="E77" s="517">
        <f t="shared" si="7"/>
        <v>4301395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762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763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620</v>
      </c>
      <c r="C83" s="523">
        <f t="shared" ref="C83:D89" si="8">IF(C$44=0,0,C14/C$44)</f>
        <v>0.10120104915287387</v>
      </c>
      <c r="D83" s="523">
        <f t="shared" si="8"/>
        <v>8.9769422857457329E-2</v>
      </c>
      <c r="E83" s="523">
        <f t="shared" ref="E83:E91" si="9">D83-C83</f>
        <v>-1.1431626295416539E-2</v>
      </c>
    </row>
    <row r="84" spans="1:5" s="506" customFormat="1" x14ac:dyDescent="0.2">
      <c r="A84" s="512">
        <v>2</v>
      </c>
      <c r="B84" s="511" t="s">
        <v>599</v>
      </c>
      <c r="C84" s="523">
        <f t="shared" si="8"/>
        <v>0.1898106064241542</v>
      </c>
      <c r="D84" s="523">
        <f t="shared" si="8"/>
        <v>0.16788375010924086</v>
      </c>
      <c r="E84" s="523">
        <f t="shared" si="9"/>
        <v>-2.192685631491334E-2</v>
      </c>
    </row>
    <row r="85" spans="1:5" s="506" customFormat="1" x14ac:dyDescent="0.2">
      <c r="A85" s="512">
        <v>3</v>
      </c>
      <c r="B85" s="511" t="s">
        <v>745</v>
      </c>
      <c r="C85" s="523">
        <f t="shared" si="8"/>
        <v>5.9241523914197645E-2</v>
      </c>
      <c r="D85" s="523">
        <f t="shared" si="8"/>
        <v>6.1061939994797185E-2</v>
      </c>
      <c r="E85" s="523">
        <f t="shared" si="9"/>
        <v>1.8204160805995392E-3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4.8381798561365305E-2</v>
      </c>
      <c r="D86" s="523">
        <f t="shared" si="8"/>
        <v>5.4568573795751245E-2</v>
      </c>
      <c r="E86" s="523">
        <f t="shared" si="9"/>
        <v>6.1867752343859397E-3</v>
      </c>
    </row>
    <row r="87" spans="1:5" s="506" customFormat="1" x14ac:dyDescent="0.2">
      <c r="A87" s="512">
        <v>5</v>
      </c>
      <c r="B87" s="511" t="s">
        <v>712</v>
      </c>
      <c r="C87" s="523">
        <f t="shared" si="8"/>
        <v>1.0859725352832337E-2</v>
      </c>
      <c r="D87" s="523">
        <f t="shared" si="8"/>
        <v>6.493366199045939E-3</v>
      </c>
      <c r="E87" s="523">
        <f t="shared" si="9"/>
        <v>-4.3663591537863979E-3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7.2771364797438016E-4</v>
      </c>
      <c r="D88" s="523">
        <f t="shared" si="8"/>
        <v>1.8129539358605004E-3</v>
      </c>
      <c r="E88" s="523">
        <f t="shared" si="9"/>
        <v>1.0852402878861202E-3</v>
      </c>
    </row>
    <row r="89" spans="1:5" s="506" customFormat="1" x14ac:dyDescent="0.2">
      <c r="A89" s="512">
        <v>7</v>
      </c>
      <c r="B89" s="511" t="s">
        <v>727</v>
      </c>
      <c r="C89" s="523">
        <f t="shared" si="8"/>
        <v>6.2130090648582154E-3</v>
      </c>
      <c r="D89" s="523">
        <f t="shared" si="8"/>
        <v>7.1504814545458682E-3</v>
      </c>
      <c r="E89" s="523">
        <f t="shared" si="9"/>
        <v>9.3747238968765276E-4</v>
      </c>
    </row>
    <row r="90" spans="1:5" s="506" customFormat="1" x14ac:dyDescent="0.2">
      <c r="A90" s="512"/>
      <c r="B90" s="516" t="s">
        <v>764</v>
      </c>
      <c r="C90" s="524">
        <f>SUM(C84+C85+C88)</f>
        <v>0.24977984398632624</v>
      </c>
      <c r="D90" s="524">
        <f>SUM(D84+D85+D88)</f>
        <v>0.23075864403989854</v>
      </c>
      <c r="E90" s="525">
        <f t="shared" si="9"/>
        <v>-1.9021199946427703E-2</v>
      </c>
    </row>
    <row r="91" spans="1:5" s="506" customFormat="1" x14ac:dyDescent="0.2">
      <c r="A91" s="512"/>
      <c r="B91" s="516" t="s">
        <v>765</v>
      </c>
      <c r="C91" s="524">
        <f>SUM(C83+C90)</f>
        <v>0.35098089313920011</v>
      </c>
      <c r="D91" s="524">
        <f>SUM(D83+D90)</f>
        <v>0.32052806689735586</v>
      </c>
      <c r="E91" s="525">
        <f t="shared" si="9"/>
        <v>-3.0452826241844255E-2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766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620</v>
      </c>
      <c r="C95" s="523">
        <f t="shared" ref="C95:D101" si="10">IF(C$44=0,0,C25/C$44)</f>
        <v>0.33298704807903401</v>
      </c>
      <c r="D95" s="523">
        <f t="shared" si="10"/>
        <v>0.33891765811400532</v>
      </c>
      <c r="E95" s="523">
        <f t="shared" ref="E95:E103" si="11">D95-C95</f>
        <v>5.9306100349713065E-3</v>
      </c>
    </row>
    <row r="96" spans="1:5" s="506" customFormat="1" x14ac:dyDescent="0.2">
      <c r="A96" s="512">
        <v>2</v>
      </c>
      <c r="B96" s="511" t="s">
        <v>599</v>
      </c>
      <c r="C96" s="523">
        <f t="shared" si="10"/>
        <v>0.20900192551988739</v>
      </c>
      <c r="D96" s="523">
        <f t="shared" si="10"/>
        <v>0.21552273461718843</v>
      </c>
      <c r="E96" s="523">
        <f t="shared" si="11"/>
        <v>6.5208090973010446E-3</v>
      </c>
    </row>
    <row r="97" spans="1:5" s="506" customFormat="1" x14ac:dyDescent="0.2">
      <c r="A97" s="512">
        <v>3</v>
      </c>
      <c r="B97" s="511" t="s">
        <v>745</v>
      </c>
      <c r="C97" s="523">
        <f t="shared" si="10"/>
        <v>0.10270804656466169</v>
      </c>
      <c r="D97" s="523">
        <f t="shared" si="10"/>
        <v>0.11862152177308449</v>
      </c>
      <c r="E97" s="523">
        <f t="shared" si="11"/>
        <v>1.5913475208422803E-2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8.4555305388616248E-2</v>
      </c>
      <c r="D98" s="523">
        <f t="shared" si="10"/>
        <v>0.10781581005848771</v>
      </c>
      <c r="E98" s="523">
        <f t="shared" si="11"/>
        <v>2.3260504669871465E-2</v>
      </c>
    </row>
    <row r="99" spans="1:5" s="506" customFormat="1" x14ac:dyDescent="0.2">
      <c r="A99" s="512">
        <v>5</v>
      </c>
      <c r="B99" s="511" t="s">
        <v>712</v>
      </c>
      <c r="C99" s="523">
        <f t="shared" si="10"/>
        <v>1.8152741176045439E-2</v>
      </c>
      <c r="D99" s="523">
        <f t="shared" si="10"/>
        <v>1.0805711714596778E-2</v>
      </c>
      <c r="E99" s="523">
        <f t="shared" si="11"/>
        <v>-7.3470294614486602E-3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4.3220866972168166E-3</v>
      </c>
      <c r="D100" s="523">
        <f t="shared" si="10"/>
        <v>6.4100185983659106E-3</v>
      </c>
      <c r="E100" s="523">
        <f t="shared" si="11"/>
        <v>2.087931901149094E-3</v>
      </c>
    </row>
    <row r="101" spans="1:5" s="506" customFormat="1" x14ac:dyDescent="0.2">
      <c r="A101" s="512">
        <v>7</v>
      </c>
      <c r="B101" s="511" t="s">
        <v>727</v>
      </c>
      <c r="C101" s="523">
        <f t="shared" si="10"/>
        <v>1.4906505669170241E-2</v>
      </c>
      <c r="D101" s="523">
        <f t="shared" si="10"/>
        <v>1.5352127000209159E-2</v>
      </c>
      <c r="E101" s="523">
        <f t="shared" si="11"/>
        <v>4.4562133103891871E-4</v>
      </c>
    </row>
    <row r="102" spans="1:5" s="506" customFormat="1" x14ac:dyDescent="0.2">
      <c r="A102" s="512"/>
      <c r="B102" s="516" t="s">
        <v>767</v>
      </c>
      <c r="C102" s="524">
        <f>SUM(C96+C97+C100)</f>
        <v>0.31603205878176593</v>
      </c>
      <c r="D102" s="524">
        <f>SUM(D96+D97+D100)</f>
        <v>0.34055427498863883</v>
      </c>
      <c r="E102" s="525">
        <f t="shared" si="11"/>
        <v>2.4522216206872893E-2</v>
      </c>
    </row>
    <row r="103" spans="1:5" s="506" customFormat="1" x14ac:dyDescent="0.2">
      <c r="A103" s="512"/>
      <c r="B103" s="516" t="s">
        <v>768</v>
      </c>
      <c r="C103" s="524">
        <f>SUM(C95+C102)</f>
        <v>0.6490191068608</v>
      </c>
      <c r="D103" s="524">
        <f>SUM(D95+D102)</f>
        <v>0.6794719331026442</v>
      </c>
      <c r="E103" s="525">
        <f t="shared" si="11"/>
        <v>3.04528262418442E-2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769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770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620</v>
      </c>
      <c r="C109" s="523">
        <f t="shared" ref="C109:D115" si="12">IF(C$77=0,0,C47/C$77)</f>
        <v>9.9488235001066544E-2</v>
      </c>
      <c r="D109" s="523">
        <f t="shared" si="12"/>
        <v>9.1204582552200583E-2</v>
      </c>
      <c r="E109" s="523">
        <f t="shared" ref="E109:E117" si="13">D109-C109</f>
        <v>-8.2836524488659607E-3</v>
      </c>
    </row>
    <row r="110" spans="1:5" s="506" customFormat="1" x14ac:dyDescent="0.2">
      <c r="A110" s="512">
        <v>2</v>
      </c>
      <c r="B110" s="511" t="s">
        <v>599</v>
      </c>
      <c r="C110" s="523">
        <f t="shared" si="12"/>
        <v>0.19671671475461808</v>
      </c>
      <c r="D110" s="523">
        <f t="shared" si="12"/>
        <v>0.19403276095808353</v>
      </c>
      <c r="E110" s="523">
        <f t="shared" si="13"/>
        <v>-2.6839537965345495E-3</v>
      </c>
    </row>
    <row r="111" spans="1:5" s="506" customFormat="1" x14ac:dyDescent="0.2">
      <c r="A111" s="512">
        <v>3</v>
      </c>
      <c r="B111" s="511" t="s">
        <v>745</v>
      </c>
      <c r="C111" s="523">
        <f t="shared" si="12"/>
        <v>4.7627176549722906E-2</v>
      </c>
      <c r="D111" s="523">
        <f t="shared" si="12"/>
        <v>4.6609041513334871E-2</v>
      </c>
      <c r="E111" s="523">
        <f t="shared" si="13"/>
        <v>-1.0181350363880348E-3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4.3579894603744736E-2</v>
      </c>
      <c r="D112" s="523">
        <f t="shared" si="12"/>
        <v>4.4046426259410847E-2</v>
      </c>
      <c r="E112" s="523">
        <f t="shared" si="13"/>
        <v>4.6653165566611088E-4</v>
      </c>
    </row>
    <row r="113" spans="1:5" s="506" customFormat="1" x14ac:dyDescent="0.2">
      <c r="A113" s="512">
        <v>5</v>
      </c>
      <c r="B113" s="511" t="s">
        <v>712</v>
      </c>
      <c r="C113" s="523">
        <f t="shared" si="12"/>
        <v>4.0472819459781715E-3</v>
      </c>
      <c r="D113" s="523">
        <f t="shared" si="12"/>
        <v>2.5626152539240206E-3</v>
      </c>
      <c r="E113" s="523">
        <f t="shared" si="13"/>
        <v>-1.4846666920541509E-3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5.6635467138140092E-4</v>
      </c>
      <c r="D114" s="523">
        <f t="shared" si="12"/>
        <v>1.867241561258444E-3</v>
      </c>
      <c r="E114" s="523">
        <f t="shared" si="13"/>
        <v>1.3008868898770429E-3</v>
      </c>
    </row>
    <row r="115" spans="1:5" s="506" customFormat="1" x14ac:dyDescent="0.2">
      <c r="A115" s="512">
        <v>7</v>
      </c>
      <c r="B115" s="511" t="s">
        <v>727</v>
      </c>
      <c r="C115" s="523">
        <f t="shared" si="12"/>
        <v>5.7107239133647911E-4</v>
      </c>
      <c r="D115" s="523">
        <f t="shared" si="12"/>
        <v>5.2200017973936879E-4</v>
      </c>
      <c r="E115" s="523">
        <f t="shared" si="13"/>
        <v>-4.9072211597110324E-5</v>
      </c>
    </row>
    <row r="116" spans="1:5" s="506" customFormat="1" x14ac:dyDescent="0.2">
      <c r="A116" s="512"/>
      <c r="B116" s="516" t="s">
        <v>764</v>
      </c>
      <c r="C116" s="524">
        <f>SUM(C110+C111+C114)</f>
        <v>0.24491024597572239</v>
      </c>
      <c r="D116" s="524">
        <f>SUM(D110+D111+D114)</f>
        <v>0.24250904403267684</v>
      </c>
      <c r="E116" s="525">
        <f t="shared" si="13"/>
        <v>-2.40120194304555E-3</v>
      </c>
    </row>
    <row r="117" spans="1:5" s="506" customFormat="1" x14ac:dyDescent="0.2">
      <c r="A117" s="512"/>
      <c r="B117" s="516" t="s">
        <v>765</v>
      </c>
      <c r="C117" s="524">
        <f>SUM(C109+C116)</f>
        <v>0.34439848097678893</v>
      </c>
      <c r="D117" s="524">
        <f>SUM(D109+D116)</f>
        <v>0.33371362658487741</v>
      </c>
      <c r="E117" s="525">
        <f t="shared" si="13"/>
        <v>-1.0684854391911525E-2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771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620</v>
      </c>
      <c r="C121" s="523">
        <f t="shared" ref="C121:D127" si="14">IF(C$77=0,0,C58/C$77)</f>
        <v>0.40875721440203372</v>
      </c>
      <c r="D121" s="523">
        <f t="shared" si="14"/>
        <v>0.40152489351833959</v>
      </c>
      <c r="E121" s="523">
        <f t="shared" ref="E121:E129" si="15">D121-C121</f>
        <v>-7.2323208836941322E-3</v>
      </c>
    </row>
    <row r="122" spans="1:5" s="506" customFormat="1" x14ac:dyDescent="0.2">
      <c r="A122" s="512">
        <v>2</v>
      </c>
      <c r="B122" s="511" t="s">
        <v>599</v>
      </c>
      <c r="C122" s="523">
        <f t="shared" si="14"/>
        <v>0.17343407107566874</v>
      </c>
      <c r="D122" s="523">
        <f t="shared" si="14"/>
        <v>0.18149931503183353</v>
      </c>
      <c r="E122" s="523">
        <f t="shared" si="15"/>
        <v>8.065243956164786E-3</v>
      </c>
    </row>
    <row r="123" spans="1:5" s="506" customFormat="1" x14ac:dyDescent="0.2">
      <c r="A123" s="512">
        <v>3</v>
      </c>
      <c r="B123" s="511" t="s">
        <v>745</v>
      </c>
      <c r="C123" s="523">
        <f t="shared" si="14"/>
        <v>6.9473578871380295E-2</v>
      </c>
      <c r="D123" s="523">
        <f t="shared" si="14"/>
        <v>7.7625443551131518E-2</v>
      </c>
      <c r="E123" s="523">
        <f t="shared" si="15"/>
        <v>8.1518646797512223E-3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6.3113190135169306E-2</v>
      </c>
      <c r="D124" s="523">
        <f t="shared" si="14"/>
        <v>7.432107628116795E-2</v>
      </c>
      <c r="E124" s="523">
        <f t="shared" si="15"/>
        <v>1.1207886145998644E-2</v>
      </c>
    </row>
    <row r="125" spans="1:5" s="506" customFormat="1" x14ac:dyDescent="0.2">
      <c r="A125" s="512">
        <v>5</v>
      </c>
      <c r="B125" s="511" t="s">
        <v>712</v>
      </c>
      <c r="C125" s="523">
        <f t="shared" si="14"/>
        <v>6.3603887362109826E-3</v>
      </c>
      <c r="D125" s="523">
        <f t="shared" si="14"/>
        <v>3.3043672699635679E-3</v>
      </c>
      <c r="E125" s="523">
        <f t="shared" si="15"/>
        <v>-3.0560214662474147E-3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3.9366546741283317E-3</v>
      </c>
      <c r="D126" s="523">
        <f t="shared" si="14"/>
        <v>5.6367213138179386E-3</v>
      </c>
      <c r="E126" s="523">
        <f t="shared" si="15"/>
        <v>1.7000666396896069E-3</v>
      </c>
    </row>
    <row r="127" spans="1:5" s="506" customFormat="1" x14ac:dyDescent="0.2">
      <c r="A127" s="512">
        <v>7</v>
      </c>
      <c r="B127" s="511" t="s">
        <v>727</v>
      </c>
      <c r="C127" s="523">
        <f t="shared" si="14"/>
        <v>1.729196548050831E-3</v>
      </c>
      <c r="D127" s="523">
        <f t="shared" si="14"/>
        <v>1.3021446412588918E-3</v>
      </c>
      <c r="E127" s="523">
        <f t="shared" si="15"/>
        <v>-4.2705190679193919E-4</v>
      </c>
    </row>
    <row r="128" spans="1:5" s="506" customFormat="1" x14ac:dyDescent="0.2">
      <c r="A128" s="512"/>
      <c r="B128" s="516" t="s">
        <v>767</v>
      </c>
      <c r="C128" s="524">
        <f>SUM(C122+C123+C126)</f>
        <v>0.24684430462117737</v>
      </c>
      <c r="D128" s="524">
        <f>SUM(D122+D123+D126)</f>
        <v>0.26476147989678295</v>
      </c>
      <c r="E128" s="525">
        <f t="shared" si="15"/>
        <v>1.7917175275605574E-2</v>
      </c>
    </row>
    <row r="129" spans="1:5" s="506" customFormat="1" x14ac:dyDescent="0.2">
      <c r="A129" s="512"/>
      <c r="B129" s="516" t="s">
        <v>768</v>
      </c>
      <c r="C129" s="524">
        <f>SUM(C121+C128)</f>
        <v>0.65560151902321107</v>
      </c>
      <c r="D129" s="524">
        <f>SUM(D121+D128)</f>
        <v>0.66628637341512253</v>
      </c>
      <c r="E129" s="525">
        <f t="shared" si="15"/>
        <v>1.0684854391911469E-2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772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773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774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620</v>
      </c>
      <c r="C137" s="530">
        <v>2019</v>
      </c>
      <c r="D137" s="530">
        <v>1726</v>
      </c>
      <c r="E137" s="531">
        <f t="shared" ref="E137:E145" si="16">D137-C137</f>
        <v>-293</v>
      </c>
    </row>
    <row r="138" spans="1:5" s="506" customFormat="1" x14ac:dyDescent="0.2">
      <c r="A138" s="512">
        <v>2</v>
      </c>
      <c r="B138" s="511" t="s">
        <v>599</v>
      </c>
      <c r="C138" s="530">
        <v>2571</v>
      </c>
      <c r="D138" s="530">
        <v>2334</v>
      </c>
      <c r="E138" s="531">
        <f t="shared" si="16"/>
        <v>-237</v>
      </c>
    </row>
    <row r="139" spans="1:5" s="506" customFormat="1" x14ac:dyDescent="0.2">
      <c r="A139" s="512">
        <v>3</v>
      </c>
      <c r="B139" s="511" t="s">
        <v>745</v>
      </c>
      <c r="C139" s="530">
        <f>C140+C141</f>
        <v>970</v>
      </c>
      <c r="D139" s="530">
        <f>D140+D141</f>
        <v>1096</v>
      </c>
      <c r="E139" s="531">
        <f t="shared" si="16"/>
        <v>126</v>
      </c>
    </row>
    <row r="140" spans="1:5" s="506" customFormat="1" x14ac:dyDescent="0.2">
      <c r="A140" s="512">
        <v>4</v>
      </c>
      <c r="B140" s="511" t="s">
        <v>114</v>
      </c>
      <c r="C140" s="530">
        <v>871</v>
      </c>
      <c r="D140" s="530">
        <v>1050</v>
      </c>
      <c r="E140" s="531">
        <f t="shared" si="16"/>
        <v>179</v>
      </c>
    </row>
    <row r="141" spans="1:5" s="506" customFormat="1" x14ac:dyDescent="0.2">
      <c r="A141" s="512">
        <v>5</v>
      </c>
      <c r="B141" s="511" t="s">
        <v>712</v>
      </c>
      <c r="C141" s="530">
        <v>99</v>
      </c>
      <c r="D141" s="530">
        <v>46</v>
      </c>
      <c r="E141" s="531">
        <f t="shared" si="16"/>
        <v>-53</v>
      </c>
    </row>
    <row r="142" spans="1:5" s="506" customFormat="1" x14ac:dyDescent="0.2">
      <c r="A142" s="512">
        <v>6</v>
      </c>
      <c r="B142" s="511" t="s">
        <v>418</v>
      </c>
      <c r="C142" s="530">
        <v>13</v>
      </c>
      <c r="D142" s="530">
        <v>46</v>
      </c>
      <c r="E142" s="531">
        <f t="shared" si="16"/>
        <v>33</v>
      </c>
    </row>
    <row r="143" spans="1:5" s="506" customFormat="1" x14ac:dyDescent="0.2">
      <c r="A143" s="512">
        <v>7</v>
      </c>
      <c r="B143" s="511" t="s">
        <v>727</v>
      </c>
      <c r="C143" s="530">
        <v>72</v>
      </c>
      <c r="D143" s="530">
        <v>81</v>
      </c>
      <c r="E143" s="531">
        <f t="shared" si="16"/>
        <v>9</v>
      </c>
    </row>
    <row r="144" spans="1:5" s="506" customFormat="1" x14ac:dyDescent="0.2">
      <c r="A144" s="512"/>
      <c r="B144" s="516" t="s">
        <v>775</v>
      </c>
      <c r="C144" s="532">
        <f>SUM(C138+C139+C142)</f>
        <v>3554</v>
      </c>
      <c r="D144" s="532">
        <f>SUM(D138+D139+D142)</f>
        <v>3476</v>
      </c>
      <c r="E144" s="533">
        <f t="shared" si="16"/>
        <v>-78</v>
      </c>
    </row>
    <row r="145" spans="1:5" s="506" customFormat="1" x14ac:dyDescent="0.2">
      <c r="A145" s="512"/>
      <c r="B145" s="516" t="s">
        <v>689</v>
      </c>
      <c r="C145" s="532">
        <f>SUM(C137+C144)</f>
        <v>5573</v>
      </c>
      <c r="D145" s="532">
        <f>SUM(D137+D144)</f>
        <v>5202</v>
      </c>
      <c r="E145" s="533">
        <f t="shared" si="16"/>
        <v>-371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620</v>
      </c>
      <c r="C149" s="534">
        <v>5991</v>
      </c>
      <c r="D149" s="534">
        <v>5637</v>
      </c>
      <c r="E149" s="531">
        <f t="shared" ref="E149:E157" si="17">D149-C149</f>
        <v>-354</v>
      </c>
    </row>
    <row r="150" spans="1:5" s="506" customFormat="1" x14ac:dyDescent="0.2">
      <c r="A150" s="512">
        <v>2</v>
      </c>
      <c r="B150" s="511" t="s">
        <v>599</v>
      </c>
      <c r="C150" s="534">
        <v>10832</v>
      </c>
      <c r="D150" s="534">
        <v>9522</v>
      </c>
      <c r="E150" s="531">
        <f t="shared" si="17"/>
        <v>-1310</v>
      </c>
    </row>
    <row r="151" spans="1:5" s="506" customFormat="1" x14ac:dyDescent="0.2">
      <c r="A151" s="512">
        <v>3</v>
      </c>
      <c r="B151" s="511" t="s">
        <v>745</v>
      </c>
      <c r="C151" s="534">
        <f>C152+C153</f>
        <v>3340</v>
      </c>
      <c r="D151" s="534">
        <f>D152+D153</f>
        <v>3612</v>
      </c>
      <c r="E151" s="531">
        <f t="shared" si="17"/>
        <v>272</v>
      </c>
    </row>
    <row r="152" spans="1:5" s="506" customFormat="1" x14ac:dyDescent="0.2">
      <c r="A152" s="512">
        <v>4</v>
      </c>
      <c r="B152" s="511" t="s">
        <v>114</v>
      </c>
      <c r="C152" s="534">
        <v>2936</v>
      </c>
      <c r="D152" s="534">
        <v>3447</v>
      </c>
      <c r="E152" s="531">
        <f t="shared" si="17"/>
        <v>511</v>
      </c>
    </row>
    <row r="153" spans="1:5" s="506" customFormat="1" x14ac:dyDescent="0.2">
      <c r="A153" s="512">
        <v>5</v>
      </c>
      <c r="B153" s="511" t="s">
        <v>712</v>
      </c>
      <c r="C153" s="535">
        <v>404</v>
      </c>
      <c r="D153" s="534">
        <v>165</v>
      </c>
      <c r="E153" s="531">
        <f t="shared" si="17"/>
        <v>-239</v>
      </c>
    </row>
    <row r="154" spans="1:5" s="506" customFormat="1" x14ac:dyDescent="0.2">
      <c r="A154" s="512">
        <v>6</v>
      </c>
      <c r="B154" s="511" t="s">
        <v>418</v>
      </c>
      <c r="C154" s="534">
        <v>41</v>
      </c>
      <c r="D154" s="534">
        <v>105</v>
      </c>
      <c r="E154" s="531">
        <f t="shared" si="17"/>
        <v>64</v>
      </c>
    </row>
    <row r="155" spans="1:5" s="506" customFormat="1" x14ac:dyDescent="0.2">
      <c r="A155" s="512">
        <v>7</v>
      </c>
      <c r="B155" s="511" t="s">
        <v>727</v>
      </c>
      <c r="C155" s="534">
        <v>204</v>
      </c>
      <c r="D155" s="534">
        <v>348</v>
      </c>
      <c r="E155" s="531">
        <f t="shared" si="17"/>
        <v>144</v>
      </c>
    </row>
    <row r="156" spans="1:5" s="506" customFormat="1" x14ac:dyDescent="0.2">
      <c r="A156" s="512"/>
      <c r="B156" s="516" t="s">
        <v>776</v>
      </c>
      <c r="C156" s="532">
        <f>SUM(C150+C151+C154)</f>
        <v>14213</v>
      </c>
      <c r="D156" s="532">
        <f>SUM(D150+D151+D154)</f>
        <v>13239</v>
      </c>
      <c r="E156" s="533">
        <f t="shared" si="17"/>
        <v>-974</v>
      </c>
    </row>
    <row r="157" spans="1:5" s="506" customFormat="1" x14ac:dyDescent="0.2">
      <c r="A157" s="512"/>
      <c r="B157" s="516" t="s">
        <v>777</v>
      </c>
      <c r="C157" s="532">
        <f>SUM(C149+C156)</f>
        <v>20204</v>
      </c>
      <c r="D157" s="532">
        <f>SUM(D149+D156)</f>
        <v>18876</v>
      </c>
      <c r="E157" s="533">
        <f t="shared" si="17"/>
        <v>-1328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778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620</v>
      </c>
      <c r="C161" s="536">
        <f t="shared" ref="C161:D169" si="18">IF(C137=0,0,C149/C137)</f>
        <v>2.9673105497771175</v>
      </c>
      <c r="D161" s="536">
        <f t="shared" si="18"/>
        <v>3.2659327925840094</v>
      </c>
      <c r="E161" s="537">
        <f t="shared" ref="E161:E169" si="19">D161-C161</f>
        <v>0.29862224280689187</v>
      </c>
    </row>
    <row r="162" spans="1:5" s="506" customFormat="1" x14ac:dyDescent="0.2">
      <c r="A162" s="512">
        <v>2</v>
      </c>
      <c r="B162" s="511" t="s">
        <v>599</v>
      </c>
      <c r="C162" s="536">
        <f t="shared" si="18"/>
        <v>4.2131466355503697</v>
      </c>
      <c r="D162" s="536">
        <f t="shared" si="18"/>
        <v>4.0796915167095111</v>
      </c>
      <c r="E162" s="537">
        <f t="shared" si="19"/>
        <v>-0.13345511884085859</v>
      </c>
    </row>
    <row r="163" spans="1:5" s="506" customFormat="1" x14ac:dyDescent="0.2">
      <c r="A163" s="512">
        <v>3</v>
      </c>
      <c r="B163" s="511" t="s">
        <v>745</v>
      </c>
      <c r="C163" s="536">
        <f t="shared" si="18"/>
        <v>3.4432989690721651</v>
      </c>
      <c r="D163" s="536">
        <f t="shared" si="18"/>
        <v>3.2956204379562042</v>
      </c>
      <c r="E163" s="537">
        <f t="shared" si="19"/>
        <v>-0.14767853111596096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3.3708381171067736</v>
      </c>
      <c r="D164" s="536">
        <f t="shared" si="18"/>
        <v>3.2828571428571429</v>
      </c>
      <c r="E164" s="537">
        <f t="shared" si="19"/>
        <v>-8.7980974249630695E-2</v>
      </c>
    </row>
    <row r="165" spans="1:5" s="506" customFormat="1" x14ac:dyDescent="0.2">
      <c r="A165" s="512">
        <v>5</v>
      </c>
      <c r="B165" s="511" t="s">
        <v>712</v>
      </c>
      <c r="C165" s="536">
        <f t="shared" si="18"/>
        <v>4.0808080808080804</v>
      </c>
      <c r="D165" s="536">
        <f t="shared" si="18"/>
        <v>3.5869565217391304</v>
      </c>
      <c r="E165" s="537">
        <f t="shared" si="19"/>
        <v>-0.49385155906895006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3.1538461538461537</v>
      </c>
      <c r="D166" s="536">
        <f t="shared" si="18"/>
        <v>2.2826086956521738</v>
      </c>
      <c r="E166" s="537">
        <f t="shared" si="19"/>
        <v>-0.87123745819397991</v>
      </c>
    </row>
    <row r="167" spans="1:5" s="506" customFormat="1" x14ac:dyDescent="0.2">
      <c r="A167" s="512">
        <v>7</v>
      </c>
      <c r="B167" s="511" t="s">
        <v>727</v>
      </c>
      <c r="C167" s="536">
        <f t="shared" si="18"/>
        <v>2.8333333333333335</v>
      </c>
      <c r="D167" s="536">
        <f t="shared" si="18"/>
        <v>4.2962962962962967</v>
      </c>
      <c r="E167" s="537">
        <f t="shared" si="19"/>
        <v>1.4629629629629632</v>
      </c>
    </row>
    <row r="168" spans="1:5" s="506" customFormat="1" x14ac:dyDescent="0.2">
      <c r="A168" s="512"/>
      <c r="B168" s="516" t="s">
        <v>779</v>
      </c>
      <c r="C168" s="538">
        <f t="shared" si="18"/>
        <v>3.9991558806978054</v>
      </c>
      <c r="D168" s="538">
        <f t="shared" si="18"/>
        <v>3.8086881472957423</v>
      </c>
      <c r="E168" s="539">
        <f t="shared" si="19"/>
        <v>-0.19046773340206302</v>
      </c>
    </row>
    <row r="169" spans="1:5" s="506" customFormat="1" x14ac:dyDescent="0.2">
      <c r="A169" s="512"/>
      <c r="B169" s="516" t="s">
        <v>713</v>
      </c>
      <c r="C169" s="538">
        <f t="shared" si="18"/>
        <v>3.6253364435671989</v>
      </c>
      <c r="D169" s="538">
        <f t="shared" si="18"/>
        <v>3.6286043829296424</v>
      </c>
      <c r="E169" s="539">
        <f t="shared" si="19"/>
        <v>3.2679393624435171E-3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780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620</v>
      </c>
      <c r="C173" s="541">
        <f t="shared" ref="C173:D181" si="20">IF(C137=0,0,C203/C137)</f>
        <v>0.82840000000000003</v>
      </c>
      <c r="D173" s="541">
        <f t="shared" si="20"/>
        <v>0.82930000000000004</v>
      </c>
      <c r="E173" s="542">
        <f t="shared" ref="E173:E181" si="21">D173-C173</f>
        <v>9.000000000000119E-4</v>
      </c>
    </row>
    <row r="174" spans="1:5" s="506" customFormat="1" x14ac:dyDescent="0.2">
      <c r="A174" s="512">
        <v>2</v>
      </c>
      <c r="B174" s="511" t="s">
        <v>599</v>
      </c>
      <c r="C174" s="541">
        <f t="shared" si="20"/>
        <v>1.1093</v>
      </c>
      <c r="D174" s="541">
        <f t="shared" si="20"/>
        <v>1.0235000000000001</v>
      </c>
      <c r="E174" s="542">
        <f t="shared" si="21"/>
        <v>-8.5799999999999876E-2</v>
      </c>
    </row>
    <row r="175" spans="1:5" s="506" customFormat="1" x14ac:dyDescent="0.2">
      <c r="A175" s="512">
        <v>0</v>
      </c>
      <c r="B175" s="511" t="s">
        <v>745</v>
      </c>
      <c r="C175" s="541">
        <f t="shared" si="20"/>
        <v>0.62160000000000015</v>
      </c>
      <c r="D175" s="541">
        <f t="shared" si="20"/>
        <v>0.82310000000000016</v>
      </c>
      <c r="E175" s="542">
        <f t="shared" si="21"/>
        <v>0.20150000000000001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0.62160000000000015</v>
      </c>
      <c r="D176" s="541">
        <f t="shared" si="20"/>
        <v>0.82310000000000005</v>
      </c>
      <c r="E176" s="542">
        <f t="shared" si="21"/>
        <v>0.2014999999999999</v>
      </c>
    </row>
    <row r="177" spans="1:5" s="506" customFormat="1" x14ac:dyDescent="0.2">
      <c r="A177" s="512">
        <v>5</v>
      </c>
      <c r="B177" s="511" t="s">
        <v>712</v>
      </c>
      <c r="C177" s="541">
        <f t="shared" si="20"/>
        <v>0.62160000000000004</v>
      </c>
      <c r="D177" s="541">
        <f t="shared" si="20"/>
        <v>0.82310000000000005</v>
      </c>
      <c r="E177" s="542">
        <f t="shared" si="21"/>
        <v>0.20150000000000001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0.96909999999999996</v>
      </c>
      <c r="D178" s="541">
        <f t="shared" si="20"/>
        <v>0.66579999999999995</v>
      </c>
      <c r="E178" s="542">
        <f t="shared" si="21"/>
        <v>-0.30330000000000001</v>
      </c>
    </row>
    <row r="179" spans="1:5" s="506" customFormat="1" x14ac:dyDescent="0.2">
      <c r="A179" s="512">
        <v>7</v>
      </c>
      <c r="B179" s="511" t="s">
        <v>727</v>
      </c>
      <c r="C179" s="541">
        <f t="shared" si="20"/>
        <v>0.90949999999999998</v>
      </c>
      <c r="D179" s="541">
        <f t="shared" si="20"/>
        <v>0.85670000000000002</v>
      </c>
      <c r="E179" s="542">
        <f t="shared" si="21"/>
        <v>-5.2799999999999958E-2</v>
      </c>
    </row>
    <row r="180" spans="1:5" s="506" customFormat="1" x14ac:dyDescent="0.2">
      <c r="A180" s="512"/>
      <c r="B180" s="516" t="s">
        <v>781</v>
      </c>
      <c r="C180" s="543">
        <f t="shared" si="20"/>
        <v>0.97567827799662354</v>
      </c>
      <c r="D180" s="543">
        <f t="shared" si="20"/>
        <v>0.95557922899884928</v>
      </c>
      <c r="E180" s="544">
        <f t="shared" si="21"/>
        <v>-2.009904899777426E-2</v>
      </c>
    </row>
    <row r="181" spans="1:5" s="506" customFormat="1" x14ac:dyDescent="0.2">
      <c r="A181" s="512"/>
      <c r="B181" s="516" t="s">
        <v>690</v>
      </c>
      <c r="C181" s="543">
        <f t="shared" si="20"/>
        <v>0.92232194509240994</v>
      </c>
      <c r="D181" s="543">
        <f t="shared" si="20"/>
        <v>0.91368035371011158</v>
      </c>
      <c r="E181" s="544">
        <f t="shared" si="21"/>
        <v>-8.6415913822983637E-3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782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x14ac:dyDescent="0.2">
      <c r="A185" s="512">
        <v>1</v>
      </c>
      <c r="B185" s="511" t="s">
        <v>783</v>
      </c>
      <c r="C185" s="513">
        <v>71884616</v>
      </c>
      <c r="D185" s="513">
        <v>72119402</v>
      </c>
      <c r="E185" s="514">
        <f>D185-C185</f>
        <v>234786</v>
      </c>
    </row>
    <row r="186" spans="1:5" s="506" customFormat="1" ht="25.5" x14ac:dyDescent="0.2">
      <c r="A186" s="512">
        <v>2</v>
      </c>
      <c r="B186" s="511" t="s">
        <v>784</v>
      </c>
      <c r="C186" s="513">
        <v>46755324</v>
      </c>
      <c r="D186" s="513">
        <v>47838937</v>
      </c>
      <c r="E186" s="514">
        <f>D186-C186</f>
        <v>1083613</v>
      </c>
    </row>
    <row r="187" spans="1:5" s="506" customFormat="1" x14ac:dyDescent="0.2">
      <c r="A187" s="512"/>
      <c r="B187" s="511" t="s">
        <v>632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716</v>
      </c>
      <c r="C188" s="546">
        <f>+C185-C186</f>
        <v>25129292</v>
      </c>
      <c r="D188" s="546">
        <f>+D185-D186</f>
        <v>24280465</v>
      </c>
      <c r="E188" s="514">
        <f t="shared" ref="E188:E197" si="22">D188-C188</f>
        <v>-848827</v>
      </c>
    </row>
    <row r="189" spans="1:5" s="506" customFormat="1" x14ac:dyDescent="0.2">
      <c r="A189" s="512">
        <v>4</v>
      </c>
      <c r="B189" s="511" t="s">
        <v>634</v>
      </c>
      <c r="C189" s="547">
        <f>IF(C185=0,0,+C188/C185)</f>
        <v>0.34957816287145499</v>
      </c>
      <c r="D189" s="547">
        <f>IF(D185=0,0,+D188/D185)</f>
        <v>0.33667035952405705</v>
      </c>
      <c r="E189" s="523">
        <f t="shared" si="22"/>
        <v>-1.2907803347397939E-2</v>
      </c>
    </row>
    <row r="190" spans="1:5" s="506" customFormat="1" x14ac:dyDescent="0.2">
      <c r="A190" s="512">
        <v>5</v>
      </c>
      <c r="B190" s="511" t="s">
        <v>731</v>
      </c>
      <c r="C190" s="513">
        <v>73431</v>
      </c>
      <c r="D190" s="513">
        <v>3510423</v>
      </c>
      <c r="E190" s="546">
        <f t="shared" si="22"/>
        <v>3436992</v>
      </c>
    </row>
    <row r="191" spans="1:5" s="506" customFormat="1" x14ac:dyDescent="0.2">
      <c r="A191" s="512">
        <v>6</v>
      </c>
      <c r="B191" s="511" t="s">
        <v>717</v>
      </c>
      <c r="C191" s="513">
        <v>32042</v>
      </c>
      <c r="D191" s="513">
        <v>23831</v>
      </c>
      <c r="E191" s="546">
        <f t="shared" si="22"/>
        <v>-8211</v>
      </c>
    </row>
    <row r="192" spans="1:5" ht="29.25" x14ac:dyDescent="0.2">
      <c r="A192" s="512">
        <v>7</v>
      </c>
      <c r="B192" s="548" t="s">
        <v>785</v>
      </c>
      <c r="C192" s="513">
        <v>597835</v>
      </c>
      <c r="D192" s="513">
        <v>529980</v>
      </c>
      <c r="E192" s="546">
        <f t="shared" si="22"/>
        <v>-67855</v>
      </c>
    </row>
    <row r="193" spans="1:5" s="506" customFormat="1" x14ac:dyDescent="0.2">
      <c r="A193" s="512">
        <v>8</v>
      </c>
      <c r="B193" s="511" t="s">
        <v>786</v>
      </c>
      <c r="C193" s="513">
        <v>1210237</v>
      </c>
      <c r="D193" s="513">
        <v>1391261</v>
      </c>
      <c r="E193" s="546">
        <f t="shared" si="22"/>
        <v>181024</v>
      </c>
    </row>
    <row r="194" spans="1:5" s="506" customFormat="1" x14ac:dyDescent="0.2">
      <c r="A194" s="512">
        <v>9</v>
      </c>
      <c r="B194" s="511" t="s">
        <v>787</v>
      </c>
      <c r="C194" s="513">
        <v>3445323</v>
      </c>
      <c r="D194" s="513">
        <v>3312220</v>
      </c>
      <c r="E194" s="546">
        <f t="shared" si="22"/>
        <v>-133103</v>
      </c>
    </row>
    <row r="195" spans="1:5" s="506" customFormat="1" x14ac:dyDescent="0.2">
      <c r="A195" s="512">
        <v>10</v>
      </c>
      <c r="B195" s="511" t="s">
        <v>788</v>
      </c>
      <c r="C195" s="513">
        <f>+C193+C194</f>
        <v>4655560</v>
      </c>
      <c r="D195" s="513">
        <f>+D193+D194</f>
        <v>4703481</v>
      </c>
      <c r="E195" s="549">
        <f t="shared" si="22"/>
        <v>47921</v>
      </c>
    </row>
    <row r="196" spans="1:5" s="506" customFormat="1" x14ac:dyDescent="0.2">
      <c r="A196" s="512">
        <v>11</v>
      </c>
      <c r="B196" s="511" t="s">
        <v>789</v>
      </c>
      <c r="C196" s="513">
        <v>71884616</v>
      </c>
      <c r="D196" s="513">
        <v>72119402</v>
      </c>
      <c r="E196" s="546">
        <f t="shared" si="22"/>
        <v>234786</v>
      </c>
    </row>
    <row r="197" spans="1:5" s="506" customFormat="1" x14ac:dyDescent="0.2">
      <c r="A197" s="512">
        <v>12</v>
      </c>
      <c r="B197" s="511" t="s">
        <v>674</v>
      </c>
      <c r="C197" s="513">
        <v>96763604</v>
      </c>
      <c r="D197" s="513">
        <v>100411939</v>
      </c>
      <c r="E197" s="546">
        <f t="shared" si="22"/>
        <v>3648335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790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791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620</v>
      </c>
      <c r="C203" s="553">
        <v>1672.5396000000001</v>
      </c>
      <c r="D203" s="553">
        <v>1431.3718000000001</v>
      </c>
      <c r="E203" s="554">
        <f t="shared" ref="E203:E211" si="23">D203-C203</f>
        <v>-241.16779999999994</v>
      </c>
    </row>
    <row r="204" spans="1:5" s="506" customFormat="1" x14ac:dyDescent="0.2">
      <c r="A204" s="512">
        <v>2</v>
      </c>
      <c r="B204" s="511" t="s">
        <v>599</v>
      </c>
      <c r="C204" s="553">
        <v>2852.0102999999999</v>
      </c>
      <c r="D204" s="553">
        <v>2388.8490000000002</v>
      </c>
      <c r="E204" s="554">
        <f t="shared" si="23"/>
        <v>-463.16129999999976</v>
      </c>
    </row>
    <row r="205" spans="1:5" s="506" customFormat="1" x14ac:dyDescent="0.2">
      <c r="A205" s="512">
        <v>3</v>
      </c>
      <c r="B205" s="511" t="s">
        <v>745</v>
      </c>
      <c r="C205" s="553">
        <f>C206+C207</f>
        <v>602.95200000000011</v>
      </c>
      <c r="D205" s="553">
        <f>D206+D207</f>
        <v>902.11760000000015</v>
      </c>
      <c r="E205" s="554">
        <f t="shared" si="23"/>
        <v>299.16560000000004</v>
      </c>
    </row>
    <row r="206" spans="1:5" s="506" customFormat="1" x14ac:dyDescent="0.2">
      <c r="A206" s="512">
        <v>4</v>
      </c>
      <c r="B206" s="511" t="s">
        <v>114</v>
      </c>
      <c r="C206" s="553">
        <v>541.41360000000009</v>
      </c>
      <c r="D206" s="553">
        <v>864.25500000000011</v>
      </c>
      <c r="E206" s="554">
        <f t="shared" si="23"/>
        <v>322.84140000000002</v>
      </c>
    </row>
    <row r="207" spans="1:5" s="506" customFormat="1" x14ac:dyDescent="0.2">
      <c r="A207" s="512">
        <v>5</v>
      </c>
      <c r="B207" s="511" t="s">
        <v>712</v>
      </c>
      <c r="C207" s="553">
        <v>61.538400000000003</v>
      </c>
      <c r="D207" s="553">
        <v>37.8626</v>
      </c>
      <c r="E207" s="554">
        <f t="shared" si="23"/>
        <v>-23.675800000000002</v>
      </c>
    </row>
    <row r="208" spans="1:5" s="506" customFormat="1" x14ac:dyDescent="0.2">
      <c r="A208" s="512">
        <v>6</v>
      </c>
      <c r="B208" s="511" t="s">
        <v>418</v>
      </c>
      <c r="C208" s="553">
        <v>12.5983</v>
      </c>
      <c r="D208" s="553">
        <v>30.626799999999996</v>
      </c>
      <c r="E208" s="554">
        <f t="shared" si="23"/>
        <v>18.028499999999994</v>
      </c>
    </row>
    <row r="209" spans="1:5" s="506" customFormat="1" x14ac:dyDescent="0.2">
      <c r="A209" s="512">
        <v>7</v>
      </c>
      <c r="B209" s="511" t="s">
        <v>727</v>
      </c>
      <c r="C209" s="553">
        <v>65.483999999999995</v>
      </c>
      <c r="D209" s="553">
        <v>69.392700000000005</v>
      </c>
      <c r="E209" s="554">
        <f t="shared" si="23"/>
        <v>3.9087000000000103</v>
      </c>
    </row>
    <row r="210" spans="1:5" s="506" customFormat="1" x14ac:dyDescent="0.2">
      <c r="A210" s="512"/>
      <c r="B210" s="516" t="s">
        <v>792</v>
      </c>
      <c r="C210" s="555">
        <f>C204+C205+C208</f>
        <v>3467.5606000000002</v>
      </c>
      <c r="D210" s="555">
        <f>D204+D205+D208</f>
        <v>3321.5934000000002</v>
      </c>
      <c r="E210" s="556">
        <f t="shared" si="23"/>
        <v>-145.96720000000005</v>
      </c>
    </row>
    <row r="211" spans="1:5" s="506" customFormat="1" x14ac:dyDescent="0.2">
      <c r="A211" s="512"/>
      <c r="B211" s="516" t="s">
        <v>691</v>
      </c>
      <c r="C211" s="555">
        <f>C210+C203</f>
        <v>5140.1002000000008</v>
      </c>
      <c r="D211" s="555">
        <f>D210+D203</f>
        <v>4752.9652000000006</v>
      </c>
      <c r="E211" s="556">
        <f t="shared" si="23"/>
        <v>-387.13500000000022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793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620</v>
      </c>
      <c r="C215" s="557">
        <f>IF(C14*C137=0,0,C25/C14*C137)</f>
        <v>6643.220161245511</v>
      </c>
      <c r="D215" s="557">
        <f>IF(D14*D137=0,0,D25/D14*D137)</f>
        <v>6516.3822968276818</v>
      </c>
      <c r="E215" s="557">
        <f t="shared" ref="E215:E223" si="24">D215-C215</f>
        <v>-126.83786441782922</v>
      </c>
    </row>
    <row r="216" spans="1:5" s="506" customFormat="1" x14ac:dyDescent="0.2">
      <c r="A216" s="512">
        <v>2</v>
      </c>
      <c r="B216" s="511" t="s">
        <v>599</v>
      </c>
      <c r="C216" s="557">
        <f>IF(C15*C138=0,0,C26/C15*C138)</f>
        <v>2830.9479677382828</v>
      </c>
      <c r="D216" s="557">
        <f>IF(D15*D138=0,0,D26/D15*D138)</f>
        <v>2996.2998936418771</v>
      </c>
      <c r="E216" s="557">
        <f t="shared" si="24"/>
        <v>165.35192590359429</v>
      </c>
    </row>
    <row r="217" spans="1:5" s="506" customFormat="1" x14ac:dyDescent="0.2">
      <c r="A217" s="512">
        <v>3</v>
      </c>
      <c r="B217" s="511" t="s">
        <v>745</v>
      </c>
      <c r="C217" s="557">
        <f>C218+C219</f>
        <v>1687.7035194543555</v>
      </c>
      <c r="D217" s="557">
        <f>D218+D219</f>
        <v>2151.1243445984701</v>
      </c>
      <c r="E217" s="557">
        <f t="shared" si="24"/>
        <v>463.42082514411459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1522.218544646978</v>
      </c>
      <c r="D218" s="557">
        <f t="shared" si="25"/>
        <v>2074.5750289377447</v>
      </c>
      <c r="E218" s="557">
        <f t="shared" si="24"/>
        <v>552.35648429076673</v>
      </c>
    </row>
    <row r="219" spans="1:5" s="506" customFormat="1" x14ac:dyDescent="0.2">
      <c r="A219" s="512">
        <v>5</v>
      </c>
      <c r="B219" s="511" t="s">
        <v>712</v>
      </c>
      <c r="C219" s="557">
        <f t="shared" si="25"/>
        <v>165.48497480737751</v>
      </c>
      <c r="D219" s="557">
        <f t="shared" si="25"/>
        <v>76.549315660725327</v>
      </c>
      <c r="E219" s="557">
        <f t="shared" si="24"/>
        <v>-88.935659146652185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77.210489620770076</v>
      </c>
      <c r="D220" s="557">
        <f t="shared" si="25"/>
        <v>162.64111828350408</v>
      </c>
      <c r="E220" s="557">
        <f t="shared" si="24"/>
        <v>85.430628662734009</v>
      </c>
    </row>
    <row r="221" spans="1:5" s="506" customFormat="1" x14ac:dyDescent="0.2">
      <c r="A221" s="512">
        <v>7</v>
      </c>
      <c r="B221" s="511" t="s">
        <v>727</v>
      </c>
      <c r="C221" s="557">
        <f t="shared" si="25"/>
        <v>172.74534721844159</v>
      </c>
      <c r="D221" s="557">
        <f t="shared" si="25"/>
        <v>173.90749069440372</v>
      </c>
      <c r="E221" s="557">
        <f t="shared" si="24"/>
        <v>1.1621434759621252</v>
      </c>
    </row>
    <row r="222" spans="1:5" s="506" customFormat="1" x14ac:dyDescent="0.2">
      <c r="A222" s="512"/>
      <c r="B222" s="516" t="s">
        <v>794</v>
      </c>
      <c r="C222" s="558">
        <f>C216+C218+C219+C220</f>
        <v>4595.8619768134085</v>
      </c>
      <c r="D222" s="558">
        <f>D216+D218+D219+D220</f>
        <v>5310.0653565238517</v>
      </c>
      <c r="E222" s="558">
        <f t="shared" si="24"/>
        <v>714.20337971044319</v>
      </c>
    </row>
    <row r="223" spans="1:5" s="506" customFormat="1" x14ac:dyDescent="0.2">
      <c r="A223" s="512"/>
      <c r="B223" s="516" t="s">
        <v>795</v>
      </c>
      <c r="C223" s="558">
        <f>C215+C222</f>
        <v>11239.082138058919</v>
      </c>
      <c r="D223" s="558">
        <f>D215+D222</f>
        <v>11826.447653351534</v>
      </c>
      <c r="E223" s="558">
        <f t="shared" si="24"/>
        <v>587.36551529261487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796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620</v>
      </c>
      <c r="C227" s="560">
        <f t="shared" ref="C227:D235" si="26">IF(C203=0,0,C47/C203)</f>
        <v>5472.0856833524294</v>
      </c>
      <c r="D227" s="560">
        <f t="shared" si="26"/>
        <v>6135.7531285721843</v>
      </c>
      <c r="E227" s="560">
        <f t="shared" ref="E227:E235" si="27">D227-C227</f>
        <v>663.66744521975488</v>
      </c>
    </row>
    <row r="228" spans="1:5" s="506" customFormat="1" x14ac:dyDescent="0.2">
      <c r="A228" s="512">
        <v>2</v>
      </c>
      <c r="B228" s="511" t="s">
        <v>599</v>
      </c>
      <c r="C228" s="560">
        <f t="shared" si="26"/>
        <v>6345.23549932481</v>
      </c>
      <c r="D228" s="560">
        <f t="shared" si="26"/>
        <v>7821.4998101596202</v>
      </c>
      <c r="E228" s="560">
        <f t="shared" si="27"/>
        <v>1476.2643108348102</v>
      </c>
    </row>
    <row r="229" spans="1:5" s="506" customFormat="1" x14ac:dyDescent="0.2">
      <c r="A229" s="512">
        <v>3</v>
      </c>
      <c r="B229" s="511" t="s">
        <v>745</v>
      </c>
      <c r="C229" s="560">
        <f t="shared" si="26"/>
        <v>7266.5734585837663</v>
      </c>
      <c r="D229" s="560">
        <f t="shared" si="26"/>
        <v>4975.2016810225177</v>
      </c>
      <c r="E229" s="560">
        <f t="shared" si="27"/>
        <v>-2291.3717775612486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7404.8213787019749</v>
      </c>
      <c r="D230" s="560">
        <f t="shared" si="26"/>
        <v>4907.6372135538695</v>
      </c>
      <c r="E230" s="560">
        <f t="shared" si="27"/>
        <v>-2497.1841651481054</v>
      </c>
    </row>
    <row r="231" spans="1:5" s="506" customFormat="1" x14ac:dyDescent="0.2">
      <c r="A231" s="512">
        <v>5</v>
      </c>
      <c r="B231" s="511" t="s">
        <v>712</v>
      </c>
      <c r="C231" s="560">
        <f t="shared" si="26"/>
        <v>6050.2710502710497</v>
      </c>
      <c r="D231" s="560">
        <f t="shared" si="26"/>
        <v>6517.4340906329726</v>
      </c>
      <c r="E231" s="560">
        <f t="shared" si="27"/>
        <v>467.16304036192287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4135.5579721073482</v>
      </c>
      <c r="D232" s="560">
        <f t="shared" si="26"/>
        <v>5870.8712630767832</v>
      </c>
      <c r="E232" s="560">
        <f t="shared" si="27"/>
        <v>1735.313290969435</v>
      </c>
    </row>
    <row r="233" spans="1:5" s="506" customFormat="1" x14ac:dyDescent="0.2">
      <c r="A233" s="512">
        <v>7</v>
      </c>
      <c r="B233" s="511" t="s">
        <v>727</v>
      </c>
      <c r="C233" s="560">
        <f t="shared" si="26"/>
        <v>802.2570398876062</v>
      </c>
      <c r="D233" s="560">
        <f t="shared" si="26"/>
        <v>724.37014268071425</v>
      </c>
      <c r="E233" s="560">
        <f t="shared" si="27"/>
        <v>-77.886897206891945</v>
      </c>
    </row>
    <row r="234" spans="1:5" x14ac:dyDescent="0.2">
      <c r="A234" s="512"/>
      <c r="B234" s="516" t="s">
        <v>797</v>
      </c>
      <c r="C234" s="561">
        <f t="shared" si="26"/>
        <v>6497.4129075062156</v>
      </c>
      <c r="D234" s="561">
        <f t="shared" si="26"/>
        <v>7030.4827195285243</v>
      </c>
      <c r="E234" s="561">
        <f t="shared" si="27"/>
        <v>533.06981202230872</v>
      </c>
    </row>
    <row r="235" spans="1:5" s="506" customFormat="1" x14ac:dyDescent="0.2">
      <c r="A235" s="512"/>
      <c r="B235" s="516" t="s">
        <v>798</v>
      </c>
      <c r="C235" s="561">
        <f t="shared" si="26"/>
        <v>6163.7812041095995</v>
      </c>
      <c r="D235" s="561">
        <f t="shared" si="26"/>
        <v>6761.0318291411004</v>
      </c>
      <c r="E235" s="561">
        <f t="shared" si="27"/>
        <v>597.25062503150093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799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620</v>
      </c>
      <c r="C239" s="560">
        <f t="shared" ref="C239:D247" si="28">IF(C215=0,0,C58/C215)</f>
        <v>5660.3639631521646</v>
      </c>
      <c r="D239" s="560">
        <f t="shared" si="28"/>
        <v>5933.4815299008615</v>
      </c>
      <c r="E239" s="562">
        <f t="shared" ref="E239:E247" si="29">D239-C239</f>
        <v>273.11756674869685</v>
      </c>
    </row>
    <row r="240" spans="1:5" s="506" customFormat="1" x14ac:dyDescent="0.2">
      <c r="A240" s="512">
        <v>2</v>
      </c>
      <c r="B240" s="511" t="s">
        <v>599</v>
      </c>
      <c r="C240" s="560">
        <f t="shared" si="28"/>
        <v>5635.858794235176</v>
      </c>
      <c r="D240" s="560">
        <f t="shared" si="28"/>
        <v>5833.0189301434921</v>
      </c>
      <c r="E240" s="562">
        <f t="shared" si="29"/>
        <v>197.16013590831608</v>
      </c>
    </row>
    <row r="241" spans="1:5" x14ac:dyDescent="0.2">
      <c r="A241" s="512">
        <v>3</v>
      </c>
      <c r="B241" s="511" t="s">
        <v>745</v>
      </c>
      <c r="C241" s="560">
        <f t="shared" si="28"/>
        <v>3786.8760278856848</v>
      </c>
      <c r="D241" s="560">
        <f t="shared" si="28"/>
        <v>3474.899542078901</v>
      </c>
      <c r="E241" s="562">
        <f t="shared" si="29"/>
        <v>-311.97648580678378</v>
      </c>
    </row>
    <row r="242" spans="1:5" x14ac:dyDescent="0.2">
      <c r="A242" s="512">
        <v>4</v>
      </c>
      <c r="B242" s="511" t="s">
        <v>114</v>
      </c>
      <c r="C242" s="560">
        <f t="shared" si="28"/>
        <v>3814.1757111141278</v>
      </c>
      <c r="D242" s="560">
        <f t="shared" si="28"/>
        <v>3449.7412241891807</v>
      </c>
      <c r="E242" s="562">
        <f t="shared" si="29"/>
        <v>-364.43448692494712</v>
      </c>
    </row>
    <row r="243" spans="1:5" x14ac:dyDescent="0.2">
      <c r="A243" s="512">
        <v>5</v>
      </c>
      <c r="B243" s="511" t="s">
        <v>712</v>
      </c>
      <c r="C243" s="560">
        <f t="shared" si="28"/>
        <v>3535.7590662298298</v>
      </c>
      <c r="D243" s="560">
        <f t="shared" si="28"/>
        <v>4156.7190673561281</v>
      </c>
      <c r="E243" s="562">
        <f t="shared" si="29"/>
        <v>620.96000112629827</v>
      </c>
    </row>
    <row r="244" spans="1:5" x14ac:dyDescent="0.2">
      <c r="A244" s="512">
        <v>6</v>
      </c>
      <c r="B244" s="511" t="s">
        <v>418</v>
      </c>
      <c r="C244" s="560">
        <f t="shared" si="28"/>
        <v>4690.3860055639425</v>
      </c>
      <c r="D244" s="560">
        <f t="shared" si="28"/>
        <v>3337.3356364523497</v>
      </c>
      <c r="E244" s="562">
        <f t="shared" si="29"/>
        <v>-1353.0503691115928</v>
      </c>
    </row>
    <row r="245" spans="1:5" x14ac:dyDescent="0.2">
      <c r="A245" s="512">
        <v>7</v>
      </c>
      <c r="B245" s="511" t="s">
        <v>727</v>
      </c>
      <c r="C245" s="560">
        <f t="shared" si="28"/>
        <v>920.86416544027065</v>
      </c>
      <c r="D245" s="560">
        <f t="shared" si="28"/>
        <v>721.01552094923647</v>
      </c>
      <c r="E245" s="562">
        <f t="shared" si="29"/>
        <v>-199.84864449103418</v>
      </c>
    </row>
    <row r="246" spans="1:5" ht="25.5" x14ac:dyDescent="0.2">
      <c r="A246" s="512"/>
      <c r="B246" s="516" t="s">
        <v>800</v>
      </c>
      <c r="C246" s="561">
        <f t="shared" si="28"/>
        <v>4940.9869388081379</v>
      </c>
      <c r="D246" s="561">
        <f t="shared" si="28"/>
        <v>4801.2974018628693</v>
      </c>
      <c r="E246" s="563">
        <f t="shared" si="29"/>
        <v>-139.68953694526863</v>
      </c>
    </row>
    <row r="247" spans="1:5" x14ac:dyDescent="0.2">
      <c r="A247" s="512"/>
      <c r="B247" s="516" t="s">
        <v>801</v>
      </c>
      <c r="C247" s="561">
        <f t="shared" si="28"/>
        <v>5366.1978139449939</v>
      </c>
      <c r="D247" s="561">
        <f t="shared" si="28"/>
        <v>5425.1317792640366</v>
      </c>
      <c r="E247" s="563">
        <f t="shared" si="29"/>
        <v>58.933965319042727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729</v>
      </c>
      <c r="B249" s="550" t="s">
        <v>726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2772999.7715965416</v>
      </c>
      <c r="D251" s="546">
        <f>((IF((IF(D15=0,0,D26/D15)*D138)=0,0,D59/(IF(D15=0,0,D26/D15)*D138)))-(IF((IF(D17=0,0,D28/D17)*D140)=0,0,D61/(IF(D17=0,0,D28/D17)*D140))))*(IF(D17=0,0,D28/D17)*D140)</f>
        <v>4944288.4157968471</v>
      </c>
      <c r="E251" s="546">
        <f>D251-C251</f>
        <v>2171288.6442003055</v>
      </c>
    </row>
    <row r="252" spans="1:5" x14ac:dyDescent="0.2">
      <c r="A252" s="512">
        <v>2</v>
      </c>
      <c r="B252" s="511" t="s">
        <v>712</v>
      </c>
      <c r="C252" s="546">
        <f>IF(C231=0,0,(C228-C231)*C207)+IF(C243=0,0,(C240-C243)*C219)</f>
        <v>365686.59083359502</v>
      </c>
      <c r="D252" s="546">
        <f>IF(D231=0,0,(D228-D231)*D207)+IF(D243=0,0,(D240-D243)*D219)</f>
        <v>177694.92605069012</v>
      </c>
      <c r="E252" s="546">
        <f>D252-C252</f>
        <v>-187991.6647829049</v>
      </c>
    </row>
    <row r="253" spans="1:5" x14ac:dyDescent="0.2">
      <c r="A253" s="512">
        <v>3</v>
      </c>
      <c r="B253" s="511" t="s">
        <v>727</v>
      </c>
      <c r="C253" s="546">
        <f>IF(C233=0,0,(C228-C233)*C209+IF(C221=0,0,(C240-C245)*C221))</f>
        <v>1177469.785722049</v>
      </c>
      <c r="D253" s="546">
        <f>IF(D233=0,0,(D228-D233)*D209+IF(D221=0,0,(D240-D245)*D221))</f>
        <v>1381504.6751906737</v>
      </c>
      <c r="E253" s="546">
        <f>D253-C253</f>
        <v>204034.88946862472</v>
      </c>
    </row>
    <row r="254" spans="1:5" ht="15" customHeight="1" x14ac:dyDescent="0.2">
      <c r="A254" s="512"/>
      <c r="B254" s="516" t="s">
        <v>728</v>
      </c>
      <c r="C254" s="564">
        <f>+C251+C252+C253</f>
        <v>4316156.1481521856</v>
      </c>
      <c r="D254" s="564">
        <f>+D251+D252+D253</f>
        <v>6503488.0170382112</v>
      </c>
      <c r="E254" s="564">
        <f>D254-C254</f>
        <v>2187331.8688860256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802</v>
      </c>
      <c r="B256" s="550" t="s">
        <v>803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694</v>
      </c>
      <c r="C258" s="546">
        <f>+C44</f>
        <v>165561001</v>
      </c>
      <c r="D258" s="549">
        <f>+D44</f>
        <v>168847092</v>
      </c>
      <c r="E258" s="546">
        <f t="shared" ref="E258:E271" si="30">D258-C258</f>
        <v>3286091</v>
      </c>
    </row>
    <row r="259" spans="1:5" x14ac:dyDescent="0.2">
      <c r="A259" s="512">
        <v>2</v>
      </c>
      <c r="B259" s="511" t="s">
        <v>711</v>
      </c>
      <c r="C259" s="546">
        <f>+(C43-C76)</f>
        <v>48438118</v>
      </c>
      <c r="D259" s="549">
        <f>+(D43-D76)</f>
        <v>47616917</v>
      </c>
      <c r="E259" s="546">
        <f t="shared" si="30"/>
        <v>-821201</v>
      </c>
    </row>
    <row r="260" spans="1:5" x14ac:dyDescent="0.2">
      <c r="A260" s="512">
        <v>3</v>
      </c>
      <c r="B260" s="511" t="s">
        <v>715</v>
      </c>
      <c r="C260" s="546">
        <f>C195</f>
        <v>4655560</v>
      </c>
      <c r="D260" s="546">
        <f>D195</f>
        <v>4703481</v>
      </c>
      <c r="E260" s="546">
        <f t="shared" si="30"/>
        <v>47921</v>
      </c>
    </row>
    <row r="261" spans="1:5" x14ac:dyDescent="0.2">
      <c r="A261" s="512">
        <v>4</v>
      </c>
      <c r="B261" s="511" t="s">
        <v>716</v>
      </c>
      <c r="C261" s="546">
        <f>C188</f>
        <v>25129292</v>
      </c>
      <c r="D261" s="546">
        <f>D188</f>
        <v>24280465</v>
      </c>
      <c r="E261" s="546">
        <f t="shared" si="30"/>
        <v>-848827</v>
      </c>
    </row>
    <row r="262" spans="1:5" x14ac:dyDescent="0.2">
      <c r="A262" s="512">
        <v>5</v>
      </c>
      <c r="B262" s="511" t="s">
        <v>717</v>
      </c>
      <c r="C262" s="546">
        <f>C191</f>
        <v>32042</v>
      </c>
      <c r="D262" s="546">
        <f>D191</f>
        <v>23831</v>
      </c>
      <c r="E262" s="546">
        <f t="shared" si="30"/>
        <v>-8211</v>
      </c>
    </row>
    <row r="263" spans="1:5" x14ac:dyDescent="0.2">
      <c r="A263" s="512">
        <v>6</v>
      </c>
      <c r="B263" s="511" t="s">
        <v>718</v>
      </c>
      <c r="C263" s="546">
        <f>+C259+C260+C261+C262</f>
        <v>78255012</v>
      </c>
      <c r="D263" s="546">
        <f>+D259+D260+D261+D262</f>
        <v>76624694</v>
      </c>
      <c r="E263" s="546">
        <f t="shared" si="30"/>
        <v>-1630318</v>
      </c>
    </row>
    <row r="264" spans="1:5" x14ac:dyDescent="0.2">
      <c r="A264" s="512">
        <v>7</v>
      </c>
      <c r="B264" s="511" t="s">
        <v>618</v>
      </c>
      <c r="C264" s="546">
        <f>+C258-C263</f>
        <v>87305989</v>
      </c>
      <c r="D264" s="546">
        <f>+D258-D263</f>
        <v>92222398</v>
      </c>
      <c r="E264" s="546">
        <f t="shared" si="30"/>
        <v>4916409</v>
      </c>
    </row>
    <row r="265" spans="1:5" x14ac:dyDescent="0.2">
      <c r="A265" s="512">
        <v>8</v>
      </c>
      <c r="B265" s="511" t="s">
        <v>804</v>
      </c>
      <c r="C265" s="565">
        <f>C192</f>
        <v>597835</v>
      </c>
      <c r="D265" s="565">
        <f>D192</f>
        <v>529980</v>
      </c>
      <c r="E265" s="546">
        <f t="shared" si="30"/>
        <v>-67855</v>
      </c>
    </row>
    <row r="266" spans="1:5" x14ac:dyDescent="0.2">
      <c r="A266" s="512">
        <v>9</v>
      </c>
      <c r="B266" s="511" t="s">
        <v>805</v>
      </c>
      <c r="C266" s="546">
        <f>+C264+C265</f>
        <v>87903824</v>
      </c>
      <c r="D266" s="546">
        <f>+D264+D265</f>
        <v>92752378</v>
      </c>
      <c r="E266" s="565">
        <f t="shared" si="30"/>
        <v>4848554</v>
      </c>
    </row>
    <row r="267" spans="1:5" x14ac:dyDescent="0.2">
      <c r="A267" s="512">
        <v>10</v>
      </c>
      <c r="B267" s="511" t="s">
        <v>806</v>
      </c>
      <c r="C267" s="566">
        <f>IF(C258=0,0,C266/C258)</f>
        <v>0.53094523147996675</v>
      </c>
      <c r="D267" s="566">
        <f>IF(D258=0,0,D266/D258)</f>
        <v>0.54932766031884039</v>
      </c>
      <c r="E267" s="567">
        <f t="shared" si="30"/>
        <v>1.8382428838873643E-2</v>
      </c>
    </row>
    <row r="268" spans="1:5" x14ac:dyDescent="0.2">
      <c r="A268" s="512">
        <v>11</v>
      </c>
      <c r="B268" s="511" t="s">
        <v>680</v>
      </c>
      <c r="C268" s="546">
        <f>+C260*C267</f>
        <v>2471847.3818688742</v>
      </c>
      <c r="D268" s="568">
        <f>+D260*D267</f>
        <v>2583752.2130841198</v>
      </c>
      <c r="E268" s="546">
        <f t="shared" si="30"/>
        <v>111904.83121524565</v>
      </c>
    </row>
    <row r="269" spans="1:5" x14ac:dyDescent="0.2">
      <c r="A269" s="512">
        <v>12</v>
      </c>
      <c r="B269" s="511" t="s">
        <v>807</v>
      </c>
      <c r="C269" s="546">
        <f>((C17+C18+C28+C29)*C267)-(C50+C51+C61+C62)</f>
        <v>3463467.5402492471</v>
      </c>
      <c r="D269" s="568">
        <f>((D17+D18+D28+D29)*D267)-(D50+D51+D61+D62)</f>
        <v>4702910.3662431091</v>
      </c>
      <c r="E269" s="546">
        <f t="shared" si="30"/>
        <v>1239442.825993862</v>
      </c>
    </row>
    <row r="270" spans="1:5" s="569" customFormat="1" x14ac:dyDescent="0.2">
      <c r="A270" s="570">
        <v>13</v>
      </c>
      <c r="B270" s="571" t="s">
        <v>808</v>
      </c>
      <c r="C270" s="572">
        <v>0</v>
      </c>
      <c r="D270" s="572">
        <v>0</v>
      </c>
      <c r="E270" s="546">
        <f t="shared" si="30"/>
        <v>0</v>
      </c>
    </row>
    <row r="271" spans="1:5" x14ac:dyDescent="0.2">
      <c r="A271" s="512">
        <v>14</v>
      </c>
      <c r="B271" s="511" t="s">
        <v>809</v>
      </c>
      <c r="C271" s="546">
        <f>+C268+C269+C270</f>
        <v>5935314.9221181218</v>
      </c>
      <c r="D271" s="546">
        <f>+D268+D269+D270</f>
        <v>7286662.5793272294</v>
      </c>
      <c r="E271" s="549">
        <f t="shared" si="30"/>
        <v>1351347.6572091077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810</v>
      </c>
      <c r="B273" s="550" t="s">
        <v>811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812</v>
      </c>
      <c r="C275" s="340"/>
      <c r="D275" s="340"/>
      <c r="E275" s="520"/>
    </row>
    <row r="276" spans="1:5" x14ac:dyDescent="0.2">
      <c r="A276" s="512">
        <v>1</v>
      </c>
      <c r="B276" s="511" t="s">
        <v>620</v>
      </c>
      <c r="C276" s="547">
        <f t="shared" ref="C276:D284" si="31">IF(C14=0,0,+C47/C14)</f>
        <v>0.54624344678619396</v>
      </c>
      <c r="D276" s="547">
        <f t="shared" si="31"/>
        <v>0.57942644952869593</v>
      </c>
      <c r="E276" s="574">
        <f t="shared" ref="E276:E284" si="32">D276-C276</f>
        <v>3.3183002742501966E-2</v>
      </c>
    </row>
    <row r="277" spans="1:5" x14ac:dyDescent="0.2">
      <c r="A277" s="512">
        <v>2</v>
      </c>
      <c r="B277" s="511" t="s">
        <v>599</v>
      </c>
      <c r="C277" s="547">
        <f t="shared" si="31"/>
        <v>0.57586451066680999</v>
      </c>
      <c r="D277" s="547">
        <f t="shared" si="31"/>
        <v>0.65913821380794357</v>
      </c>
      <c r="E277" s="574">
        <f t="shared" si="32"/>
        <v>8.3273703141133582E-2</v>
      </c>
    </row>
    <row r="278" spans="1:5" x14ac:dyDescent="0.2">
      <c r="A278" s="512">
        <v>3</v>
      </c>
      <c r="B278" s="511" t="s">
        <v>745</v>
      </c>
      <c r="C278" s="547">
        <f t="shared" si="31"/>
        <v>0.44671253902137481</v>
      </c>
      <c r="D278" s="547">
        <f t="shared" si="31"/>
        <v>0.43532104490233925</v>
      </c>
      <c r="E278" s="574">
        <f t="shared" si="32"/>
        <v>-1.1391494119035561E-2</v>
      </c>
    </row>
    <row r="279" spans="1:5" x14ac:dyDescent="0.2">
      <c r="A279" s="512">
        <v>4</v>
      </c>
      <c r="B279" s="511" t="s">
        <v>114</v>
      </c>
      <c r="C279" s="547">
        <f t="shared" si="31"/>
        <v>0.50049955437727112</v>
      </c>
      <c r="D279" s="547">
        <f t="shared" si="31"/>
        <v>0.46033941681694035</v>
      </c>
      <c r="E279" s="574">
        <f t="shared" si="32"/>
        <v>-4.0160137560330766E-2</v>
      </c>
    </row>
    <row r="280" spans="1:5" x14ac:dyDescent="0.2">
      <c r="A280" s="512">
        <v>5</v>
      </c>
      <c r="B280" s="511" t="s">
        <v>712</v>
      </c>
      <c r="C280" s="547">
        <f t="shared" si="31"/>
        <v>0.20708285616873023</v>
      </c>
      <c r="D280" s="547">
        <f t="shared" si="31"/>
        <v>0.22507310381562698</v>
      </c>
      <c r="E280" s="574">
        <f t="shared" si="32"/>
        <v>1.7990247646896745E-2</v>
      </c>
    </row>
    <row r="281" spans="1:5" x14ac:dyDescent="0.2">
      <c r="A281" s="512">
        <v>6</v>
      </c>
      <c r="B281" s="511" t="s">
        <v>418</v>
      </c>
      <c r="C281" s="547">
        <f t="shared" si="31"/>
        <v>0.43244162980054945</v>
      </c>
      <c r="D281" s="547">
        <f t="shared" si="31"/>
        <v>0.58738631611959025</v>
      </c>
      <c r="E281" s="574">
        <f t="shared" si="32"/>
        <v>0.15494468631904079</v>
      </c>
    </row>
    <row r="282" spans="1:5" x14ac:dyDescent="0.2">
      <c r="A282" s="512">
        <v>7</v>
      </c>
      <c r="B282" s="511" t="s">
        <v>727</v>
      </c>
      <c r="C282" s="547">
        <f t="shared" si="31"/>
        <v>5.1072686830664418E-2</v>
      </c>
      <c r="D282" s="547">
        <f t="shared" si="31"/>
        <v>4.1633742994919398E-2</v>
      </c>
      <c r="E282" s="574">
        <f t="shared" si="32"/>
        <v>-9.4389438357450201E-3</v>
      </c>
    </row>
    <row r="283" spans="1:5" ht="29.25" customHeight="1" x14ac:dyDescent="0.2">
      <c r="A283" s="512"/>
      <c r="B283" s="516" t="s">
        <v>813</v>
      </c>
      <c r="C283" s="575">
        <f t="shared" si="31"/>
        <v>0.54481504614291687</v>
      </c>
      <c r="D283" s="575">
        <f t="shared" si="31"/>
        <v>0.59934936611280165</v>
      </c>
      <c r="E283" s="576">
        <f t="shared" si="32"/>
        <v>5.4534319969884781E-2</v>
      </c>
    </row>
    <row r="284" spans="1:5" x14ac:dyDescent="0.2">
      <c r="A284" s="512"/>
      <c r="B284" s="516" t="s">
        <v>814</v>
      </c>
      <c r="C284" s="575">
        <f t="shared" si="31"/>
        <v>0.54522690800359352</v>
      </c>
      <c r="D284" s="575">
        <f t="shared" si="31"/>
        <v>0.59376960911771404</v>
      </c>
      <c r="E284" s="576">
        <f t="shared" si="32"/>
        <v>4.8542701114120512E-2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815</v>
      </c>
      <c r="C286" s="520"/>
      <c r="D286" s="520"/>
      <c r="E286" s="520"/>
    </row>
    <row r="287" spans="1:5" x14ac:dyDescent="0.2">
      <c r="A287" s="512">
        <v>1</v>
      </c>
      <c r="B287" s="511" t="s">
        <v>620</v>
      </c>
      <c r="C287" s="547">
        <f t="shared" ref="C287:D295" si="33">IF(C25=0,0,+C58/C25)</f>
        <v>0.6820836163554691</v>
      </c>
      <c r="D287" s="547">
        <f t="shared" si="33"/>
        <v>0.67566024731630314</v>
      </c>
      <c r="E287" s="574">
        <f t="shared" ref="E287:E295" si="34">D287-C287</f>
        <v>-6.4233690391659604E-3</v>
      </c>
    </row>
    <row r="288" spans="1:5" x14ac:dyDescent="0.2">
      <c r="A288" s="512">
        <v>2</v>
      </c>
      <c r="B288" s="511" t="s">
        <v>599</v>
      </c>
      <c r="C288" s="547">
        <f t="shared" si="33"/>
        <v>0.46108783024427552</v>
      </c>
      <c r="D288" s="547">
        <f t="shared" si="33"/>
        <v>0.48027722266322698</v>
      </c>
      <c r="E288" s="574">
        <f t="shared" si="34"/>
        <v>1.9189392418951456E-2</v>
      </c>
    </row>
    <row r="289" spans="1:5" x14ac:dyDescent="0.2">
      <c r="A289" s="512">
        <v>3</v>
      </c>
      <c r="B289" s="511" t="s">
        <v>745</v>
      </c>
      <c r="C289" s="547">
        <f t="shared" si="33"/>
        <v>0.37585015261007898</v>
      </c>
      <c r="D289" s="547">
        <f t="shared" si="33"/>
        <v>0.37320778341335686</v>
      </c>
      <c r="E289" s="574">
        <f t="shared" si="34"/>
        <v>-2.6423691967221163E-3</v>
      </c>
    </row>
    <row r="290" spans="1:5" x14ac:dyDescent="0.2">
      <c r="A290" s="512">
        <v>4</v>
      </c>
      <c r="B290" s="511" t="s">
        <v>114</v>
      </c>
      <c r="C290" s="547">
        <f t="shared" si="33"/>
        <v>0.41474274595988975</v>
      </c>
      <c r="D290" s="547">
        <f t="shared" si="33"/>
        <v>0.39313311638195325</v>
      </c>
      <c r="E290" s="574">
        <f t="shared" si="34"/>
        <v>-2.1609629577936496E-2</v>
      </c>
    </row>
    <row r="291" spans="1:5" x14ac:dyDescent="0.2">
      <c r="A291" s="512">
        <v>5</v>
      </c>
      <c r="B291" s="511" t="s">
        <v>712</v>
      </c>
      <c r="C291" s="547">
        <f t="shared" si="33"/>
        <v>0.19468880203740885</v>
      </c>
      <c r="D291" s="547">
        <f t="shared" si="33"/>
        <v>0.17439941507679035</v>
      </c>
      <c r="E291" s="574">
        <f t="shared" si="34"/>
        <v>-2.0289386960618494E-2</v>
      </c>
    </row>
    <row r="292" spans="1:5" x14ac:dyDescent="0.2">
      <c r="A292" s="512">
        <v>6</v>
      </c>
      <c r="B292" s="511" t="s">
        <v>418</v>
      </c>
      <c r="C292" s="547">
        <f t="shared" si="33"/>
        <v>0.50609654694376083</v>
      </c>
      <c r="D292" s="547">
        <f t="shared" si="33"/>
        <v>0.50150741975750079</v>
      </c>
      <c r="E292" s="574">
        <f t="shared" si="34"/>
        <v>-4.5891271862600336E-3</v>
      </c>
    </row>
    <row r="293" spans="1:5" x14ac:dyDescent="0.2">
      <c r="A293" s="512">
        <v>7</v>
      </c>
      <c r="B293" s="511" t="s">
        <v>727</v>
      </c>
      <c r="C293" s="547">
        <f t="shared" si="33"/>
        <v>6.4456695797621977E-2</v>
      </c>
      <c r="D293" s="547">
        <f t="shared" si="33"/>
        <v>4.8372748308169011E-2</v>
      </c>
      <c r="E293" s="574">
        <f t="shared" si="34"/>
        <v>-1.6083947489452965E-2</v>
      </c>
    </row>
    <row r="294" spans="1:5" ht="29.25" customHeight="1" x14ac:dyDescent="0.2">
      <c r="A294" s="512"/>
      <c r="B294" s="516" t="s">
        <v>816</v>
      </c>
      <c r="C294" s="575">
        <f t="shared" si="33"/>
        <v>0.43400176871998525</v>
      </c>
      <c r="D294" s="575">
        <f t="shared" si="33"/>
        <v>0.44338250489347264</v>
      </c>
      <c r="E294" s="576">
        <f t="shared" si="34"/>
        <v>9.3807361734873917E-3</v>
      </c>
    </row>
    <row r="295" spans="1:5" x14ac:dyDescent="0.2">
      <c r="A295" s="512"/>
      <c r="B295" s="516" t="s">
        <v>817</v>
      </c>
      <c r="C295" s="575">
        <f t="shared" si="33"/>
        <v>0.56128314033582893</v>
      </c>
      <c r="D295" s="575">
        <f t="shared" si="33"/>
        <v>0.55924163704994623</v>
      </c>
      <c r="E295" s="576">
        <f t="shared" si="34"/>
        <v>-2.0415032858827065E-3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818</v>
      </c>
      <c r="B297" s="501" t="s">
        <v>819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820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618</v>
      </c>
      <c r="C301" s="514">
        <f>+C48+C47+C50+C51+C52+C59+C58+C61+C62+C63</f>
        <v>91993591</v>
      </c>
      <c r="D301" s="514">
        <f>+D48+D47+D50+D51+D52+D59+D58+D61+D62+D63</f>
        <v>96294986</v>
      </c>
      <c r="E301" s="514">
        <f>D301-C301</f>
        <v>4301395</v>
      </c>
    </row>
    <row r="302" spans="1:5" ht="25.5" x14ac:dyDescent="0.2">
      <c r="A302" s="512">
        <v>2</v>
      </c>
      <c r="B302" s="511" t="s">
        <v>821</v>
      </c>
      <c r="C302" s="546">
        <f>C265</f>
        <v>597835</v>
      </c>
      <c r="D302" s="546">
        <f>D265</f>
        <v>529980</v>
      </c>
      <c r="E302" s="514">
        <f>D302-C302</f>
        <v>-67855</v>
      </c>
    </row>
    <row r="303" spans="1:5" x14ac:dyDescent="0.2">
      <c r="A303" s="512"/>
      <c r="B303" s="516" t="s">
        <v>822</v>
      </c>
      <c r="C303" s="517">
        <f>+C301+C302</f>
        <v>92591426</v>
      </c>
      <c r="D303" s="517">
        <f>+D301+D302</f>
        <v>96824966</v>
      </c>
      <c r="E303" s="517">
        <f>D303-C303</f>
        <v>4233540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823</v>
      </c>
      <c r="C305" s="513">
        <v>3403934</v>
      </c>
      <c r="D305" s="578">
        <v>3826990</v>
      </c>
      <c r="E305" s="579">
        <f>D305-C305</f>
        <v>423056</v>
      </c>
    </row>
    <row r="306" spans="1:5" x14ac:dyDescent="0.2">
      <c r="A306" s="512">
        <v>4</v>
      </c>
      <c r="B306" s="516" t="s">
        <v>824</v>
      </c>
      <c r="C306" s="580">
        <f>+C303+C305</f>
        <v>95995360</v>
      </c>
      <c r="D306" s="580">
        <f>+D303+D305</f>
        <v>100651956</v>
      </c>
      <c r="E306" s="580">
        <f>D306-C306</f>
        <v>4656596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825</v>
      </c>
      <c r="C308" s="513">
        <v>95995284</v>
      </c>
      <c r="D308" s="513">
        <v>100651954</v>
      </c>
      <c r="E308" s="514">
        <f>D308-C308</f>
        <v>4656670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826</v>
      </c>
      <c r="C310" s="581">
        <f>C306-C308</f>
        <v>76</v>
      </c>
      <c r="D310" s="582">
        <f>D306-D308</f>
        <v>2</v>
      </c>
      <c r="E310" s="580">
        <f>D310-C310</f>
        <v>-74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827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828</v>
      </c>
      <c r="C314" s="514">
        <f>+C14+C15+C16+C19+C25+C26+C27+C30</f>
        <v>165561001</v>
      </c>
      <c r="D314" s="514">
        <f>+D14+D15+D16+D19+D25+D26+D27+D30</f>
        <v>168847092</v>
      </c>
      <c r="E314" s="514">
        <f>D314-C314</f>
        <v>3286091</v>
      </c>
    </row>
    <row r="315" spans="1:5" x14ac:dyDescent="0.2">
      <c r="A315" s="512">
        <v>2</v>
      </c>
      <c r="B315" s="583" t="s">
        <v>829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830</v>
      </c>
      <c r="C316" s="581">
        <f>C314+C315</f>
        <v>165561001</v>
      </c>
      <c r="D316" s="581">
        <f>D314+D315</f>
        <v>168847092</v>
      </c>
      <c r="E316" s="517">
        <f>D316-C316</f>
        <v>3286091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831</v>
      </c>
      <c r="C318" s="513">
        <v>165561002</v>
      </c>
      <c r="D318" s="513">
        <v>168847093</v>
      </c>
      <c r="E318" s="514">
        <f>D318-C318</f>
        <v>3286091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826</v>
      </c>
      <c r="C320" s="581">
        <f>C316-C318</f>
        <v>-1</v>
      </c>
      <c r="D320" s="581">
        <f>D316-D318</f>
        <v>-1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832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833</v>
      </c>
      <c r="C324" s="513">
        <f>+C193+C194</f>
        <v>4655560</v>
      </c>
      <c r="D324" s="513">
        <f>+D193+D194</f>
        <v>4703481</v>
      </c>
      <c r="E324" s="514">
        <f>D324-C324</f>
        <v>47921</v>
      </c>
    </row>
    <row r="325" spans="1:5" x14ac:dyDescent="0.2">
      <c r="A325" s="512">
        <v>2</v>
      </c>
      <c r="B325" s="511" t="s">
        <v>834</v>
      </c>
      <c r="C325" s="513">
        <v>93029</v>
      </c>
      <c r="D325" s="513">
        <v>64679</v>
      </c>
      <c r="E325" s="514">
        <f>D325-C325</f>
        <v>-28350</v>
      </c>
    </row>
    <row r="326" spans="1:5" x14ac:dyDescent="0.2">
      <c r="A326" s="512"/>
      <c r="B326" s="516" t="s">
        <v>835</v>
      </c>
      <c r="C326" s="581">
        <f>C324+C325</f>
        <v>4748589</v>
      </c>
      <c r="D326" s="581">
        <f>D324+D325</f>
        <v>4768160</v>
      </c>
      <c r="E326" s="517">
        <f>D326-C326</f>
        <v>19571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836</v>
      </c>
      <c r="C328" s="513">
        <v>4748589</v>
      </c>
      <c r="D328" s="513">
        <v>4768160</v>
      </c>
      <c r="E328" s="514">
        <f>D328-C328</f>
        <v>19571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837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r:id="rId1"/>
  <headerFooter>
    <oddHeader>&amp;LOFFICE OF HEALTH CARE ACCESS&amp;CTWELVE MONTHS ACTUAL FILING&amp;RDAY KIMBALL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590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838</v>
      </c>
      <c r="B5" s="696"/>
      <c r="C5" s="697"/>
      <c r="D5" s="585"/>
    </row>
    <row r="6" spans="1:58" s="338" customFormat="1" ht="15.75" customHeight="1" x14ac:dyDescent="0.25">
      <c r="A6" s="695" t="s">
        <v>839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840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841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744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620</v>
      </c>
      <c r="C14" s="513">
        <v>15157306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599</v>
      </c>
      <c r="C15" s="515">
        <v>28346683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745</v>
      </c>
      <c r="C16" s="515">
        <v>10310131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9213745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712</v>
      </c>
      <c r="C18" s="515">
        <v>1096386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306112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727</v>
      </c>
      <c r="C20" s="515">
        <v>1207338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746</v>
      </c>
      <c r="C21" s="517">
        <f>SUM(C15+C16+C19)</f>
        <v>38962926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686</v>
      </c>
      <c r="C22" s="517">
        <f>SUM(C14+C21)</f>
        <v>54120232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747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620</v>
      </c>
      <c r="C25" s="513">
        <v>57225261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599</v>
      </c>
      <c r="C26" s="515">
        <v>36390387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745</v>
      </c>
      <c r="C27" s="515">
        <v>20028899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18204386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712</v>
      </c>
      <c r="C29" s="515">
        <v>1824513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1082313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727</v>
      </c>
      <c r="C31" s="518">
        <v>2592162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748</v>
      </c>
      <c r="C32" s="517">
        <f>SUM(C26+C27+C30)</f>
        <v>57501599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692</v>
      </c>
      <c r="C33" s="517">
        <f>SUM(C25+C32)</f>
        <v>114726860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617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842</v>
      </c>
      <c r="C36" s="514">
        <f>SUM(C14+C25)</f>
        <v>72382567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843</v>
      </c>
      <c r="C37" s="518">
        <f>SUM(C21+C32)</f>
        <v>96464525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617</v>
      </c>
      <c r="C38" s="517">
        <f>SUM(+C36+C37)</f>
        <v>168847092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757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620</v>
      </c>
      <c r="C41" s="513">
        <v>8782544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599</v>
      </c>
      <c r="C42" s="515">
        <v>18684382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745</v>
      </c>
      <c r="C43" s="515">
        <v>4488217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4241450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712</v>
      </c>
      <c r="C45" s="515">
        <v>246767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179806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727</v>
      </c>
      <c r="C47" s="515">
        <v>50266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758</v>
      </c>
      <c r="C48" s="517">
        <f>SUM(C42+C43+C46)</f>
        <v>23352405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687</v>
      </c>
      <c r="C49" s="517">
        <f>SUM(C41+C48)</f>
        <v>32134949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759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620</v>
      </c>
      <c r="C52" s="513">
        <v>38664834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599</v>
      </c>
      <c r="C53" s="515">
        <v>17477474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745</v>
      </c>
      <c r="C54" s="515">
        <v>7474941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7156747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712</v>
      </c>
      <c r="C56" s="515">
        <v>318194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542788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727</v>
      </c>
      <c r="C58" s="515">
        <v>125390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760</v>
      </c>
      <c r="C59" s="517">
        <f>SUM(C53+C54+C57)</f>
        <v>25495203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693</v>
      </c>
      <c r="C60" s="517">
        <f>SUM(C52+C59)</f>
        <v>64160037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618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844</v>
      </c>
      <c r="C63" s="514">
        <f>SUM(C41+C52)</f>
        <v>47447378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845</v>
      </c>
      <c r="C64" s="518">
        <f>SUM(C48+C59)</f>
        <v>48847608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618</v>
      </c>
      <c r="C65" s="517">
        <f>SUM(+C63+C64)</f>
        <v>96294986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846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847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620</v>
      </c>
      <c r="C70" s="530">
        <v>1726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599</v>
      </c>
      <c r="C71" s="530">
        <v>2334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745</v>
      </c>
      <c r="C72" s="530">
        <v>1096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1050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712</v>
      </c>
      <c r="C74" s="530">
        <v>46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46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727</v>
      </c>
      <c r="C76" s="545">
        <v>81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775</v>
      </c>
      <c r="C77" s="532">
        <f>SUM(C71+C72+C75)</f>
        <v>3476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689</v>
      </c>
      <c r="C78" s="596">
        <f>SUM(C70+C77)</f>
        <v>5202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780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620</v>
      </c>
      <c r="C81" s="541">
        <v>0.82930000000000004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599</v>
      </c>
      <c r="C82" s="541">
        <v>1.0235000000000001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745</v>
      </c>
      <c r="C83" s="541">
        <f>((C73*C84)+(C74*C85))/(C73+C74)</f>
        <v>0.82310000000000016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0.82310000000000005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712</v>
      </c>
      <c r="C85" s="541">
        <v>0.82310000000000005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0.66579999999999995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727</v>
      </c>
      <c r="C87" s="541">
        <v>0.85670000000000002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781</v>
      </c>
      <c r="C88" s="543">
        <f>((C71*C82)+(C73*C84)+(C74*C85)+(C75*C86))/(C71+C73+C74+C75)</f>
        <v>0.95557922899884928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690</v>
      </c>
      <c r="C89" s="543">
        <f>((C70*C81)+(C71*C82)+(C73*C84)+(C74*C85)+(C75*C86))/(C70+C71+C73+C74+C75)</f>
        <v>0.91368035371011158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782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783</v>
      </c>
      <c r="C92" s="513">
        <v>72119402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784</v>
      </c>
      <c r="C93" s="546">
        <v>47838937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632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716</v>
      </c>
      <c r="C95" s="513">
        <f>+C92-C93</f>
        <v>24280465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634</v>
      </c>
      <c r="C96" s="597">
        <f>(+C92-C93)/C92</f>
        <v>0.33667035952405705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731</v>
      </c>
      <c r="C98" s="513">
        <v>3510423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717</v>
      </c>
      <c r="C99" s="513">
        <v>23831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848</v>
      </c>
      <c r="C101" s="513">
        <v>529980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786</v>
      </c>
      <c r="C103" s="513">
        <v>1391261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787</v>
      </c>
      <c r="C104" s="513">
        <v>3312220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788</v>
      </c>
      <c r="C105" s="578">
        <f>+C103+C104</f>
        <v>4703481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789</v>
      </c>
      <c r="C107" s="513">
        <v>2972027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674</v>
      </c>
      <c r="C108" s="513">
        <v>100411939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819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820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618</v>
      </c>
      <c r="C114" s="514">
        <f>+C65</f>
        <v>96294986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821</v>
      </c>
      <c r="C115" s="546">
        <f>+C101</f>
        <v>529980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822</v>
      </c>
      <c r="C116" s="517">
        <f>+C114+C115</f>
        <v>96824966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823</v>
      </c>
      <c r="C118" s="578">
        <v>3826990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824</v>
      </c>
      <c r="C119" s="580">
        <f>+C116+C118</f>
        <v>100651956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825</v>
      </c>
      <c r="C121" s="513">
        <v>100651954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826</v>
      </c>
      <c r="C123" s="582">
        <f>C119-C121</f>
        <v>2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827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828</v>
      </c>
      <c r="C127" s="514">
        <f>+C38</f>
        <v>168847092</v>
      </c>
      <c r="D127" s="588"/>
      <c r="AR127" s="507"/>
    </row>
    <row r="128" spans="1:58" s="506" customFormat="1" x14ac:dyDescent="0.2">
      <c r="A128" s="512">
        <v>2</v>
      </c>
      <c r="B128" s="583" t="s">
        <v>829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830</v>
      </c>
      <c r="C129" s="581">
        <f>C127+C128</f>
        <v>168847092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831</v>
      </c>
      <c r="C131" s="513">
        <v>168847093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826</v>
      </c>
      <c r="C133" s="581">
        <f>C129-C131</f>
        <v>-1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832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833</v>
      </c>
      <c r="C137" s="513">
        <f>C105</f>
        <v>4703481</v>
      </c>
      <c r="D137" s="588"/>
      <c r="AR137" s="507"/>
    </row>
    <row r="138" spans="1:44" s="506" customFormat="1" x14ac:dyDescent="0.2">
      <c r="A138" s="512">
        <v>2</v>
      </c>
      <c r="B138" s="511" t="s">
        <v>849</v>
      </c>
      <c r="C138" s="513">
        <v>64679</v>
      </c>
      <c r="D138" s="588"/>
      <c r="AR138" s="507"/>
    </row>
    <row r="139" spans="1:44" s="506" customFormat="1" x14ac:dyDescent="0.2">
      <c r="A139" s="512"/>
      <c r="B139" s="516" t="s">
        <v>835</v>
      </c>
      <c r="C139" s="581">
        <f>C137+C138</f>
        <v>4768160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850</v>
      </c>
      <c r="C141" s="513">
        <v>4768160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837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r:id="rId1"/>
  <headerFooter>
    <oddHeader>&amp;LOFFICE OF HEALTH CARE ACCESS&amp;CTWELVE MONTHS ACTUAL FILING&amp;RDAY KIMBALL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590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591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851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594</v>
      </c>
      <c r="D8" s="35" t="s">
        <v>594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596</v>
      </c>
      <c r="D9" s="607" t="s">
        <v>597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852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853</v>
      </c>
      <c r="C12" s="49">
        <v>605</v>
      </c>
      <c r="D12" s="49">
        <v>646</v>
      </c>
      <c r="E12" s="49">
        <f>+D12-C12</f>
        <v>41</v>
      </c>
      <c r="F12" s="70">
        <f>IF(C12=0,0,+E12/C12)</f>
        <v>6.7768595041322308E-2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854</v>
      </c>
      <c r="C13" s="49">
        <v>577</v>
      </c>
      <c r="D13" s="49">
        <v>597</v>
      </c>
      <c r="E13" s="49">
        <f>+D13-C13</f>
        <v>20</v>
      </c>
      <c r="F13" s="70">
        <f>IF(C13=0,0,+E13/C13)</f>
        <v>3.4662045060658578E-2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855</v>
      </c>
      <c r="C15" s="51">
        <v>1210237</v>
      </c>
      <c r="D15" s="51">
        <v>1391261</v>
      </c>
      <c r="E15" s="51">
        <f>+D15-C15</f>
        <v>181024</v>
      </c>
      <c r="F15" s="70">
        <f>IF(C15=0,0,+E15/C15)</f>
        <v>0.14957731419548403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856</v>
      </c>
      <c r="C16" s="27">
        <f>IF(C13=0,0,+C15/+C13)</f>
        <v>2097.4644714038127</v>
      </c>
      <c r="D16" s="27">
        <f>IF(D13=0,0,+D15/+D13)</f>
        <v>2330.4204355108877</v>
      </c>
      <c r="E16" s="27">
        <f>+D16-C16</f>
        <v>232.95596410707503</v>
      </c>
      <c r="F16" s="28">
        <f>IF(C16=0,0,+E16/C16)</f>
        <v>0.11106551137486484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857</v>
      </c>
      <c r="C18" s="210">
        <v>0.61026599999999998</v>
      </c>
      <c r="D18" s="210">
        <v>0.57477699999999998</v>
      </c>
      <c r="E18" s="210">
        <f>+D18-C18</f>
        <v>-3.5488999999999993E-2</v>
      </c>
      <c r="F18" s="70">
        <f>IF(C18=0,0,+E18/C18)</f>
        <v>-5.8153329859438337E-2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858</v>
      </c>
      <c r="C19" s="27">
        <f>+C15*C18</f>
        <v>738566.49304199999</v>
      </c>
      <c r="D19" s="27">
        <f>+D15*D18</f>
        <v>799664.82379699999</v>
      </c>
      <c r="E19" s="27">
        <f>+D19-C19</f>
        <v>61098.330755000003</v>
      </c>
      <c r="F19" s="28">
        <f>IF(C19=0,0,+E19/C19)</f>
        <v>8.2725565444146859E-2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859</v>
      </c>
      <c r="C20" s="27">
        <f>IF(C13=0,0,+C19/C13)</f>
        <v>1280.0112531057191</v>
      </c>
      <c r="D20" s="27">
        <f>IF(D13=0,0,+D19/D13)</f>
        <v>1339.4720666616415</v>
      </c>
      <c r="E20" s="27">
        <f>+D20-C20</f>
        <v>59.460813555922414</v>
      </c>
      <c r="F20" s="28">
        <f>IF(C20=0,0,+E20/C20)</f>
        <v>4.6453352196436828E-2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860</v>
      </c>
      <c r="C22" s="51">
        <v>470300</v>
      </c>
      <c r="D22" s="51">
        <v>512232</v>
      </c>
      <c r="E22" s="51">
        <f>+D22-C22</f>
        <v>41932</v>
      </c>
      <c r="F22" s="70">
        <f>IF(C22=0,0,+E22/C22)</f>
        <v>8.9160110567722731E-2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861</v>
      </c>
      <c r="C23" s="49">
        <v>393036</v>
      </c>
      <c r="D23" s="49">
        <v>451883</v>
      </c>
      <c r="E23" s="49">
        <f>+D23-C23</f>
        <v>58847</v>
      </c>
      <c r="F23" s="70">
        <f>IF(C23=0,0,+E23/C23)</f>
        <v>0.14972419829226838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862</v>
      </c>
      <c r="C24" s="49">
        <v>346901</v>
      </c>
      <c r="D24" s="49">
        <v>427146</v>
      </c>
      <c r="E24" s="49">
        <f>+D24-C24</f>
        <v>80245</v>
      </c>
      <c r="F24" s="70">
        <f>IF(C24=0,0,+E24/C24)</f>
        <v>0.23131959838685964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855</v>
      </c>
      <c r="C25" s="27">
        <f>+C22+C23+C24</f>
        <v>1210237</v>
      </c>
      <c r="D25" s="27">
        <f>+D22+D23+D24</f>
        <v>1391261</v>
      </c>
      <c r="E25" s="27">
        <f>+E22+E23+E24</f>
        <v>181024</v>
      </c>
      <c r="F25" s="28">
        <f>IF(C25=0,0,+E25/C25)</f>
        <v>0.14957731419548403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863</v>
      </c>
      <c r="C27" s="49">
        <v>153</v>
      </c>
      <c r="D27" s="49">
        <v>269</v>
      </c>
      <c r="E27" s="49">
        <f>+D27-C27</f>
        <v>116</v>
      </c>
      <c r="F27" s="70">
        <f>IF(C27=0,0,+E27/C27)</f>
        <v>0.75816993464052285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864</v>
      </c>
      <c r="C28" s="49">
        <v>42</v>
      </c>
      <c r="D28" s="49">
        <v>74</v>
      </c>
      <c r="E28" s="49">
        <f>+D28-C28</f>
        <v>32</v>
      </c>
      <c r="F28" s="70">
        <f>IF(C28=0,0,+E28/C28)</f>
        <v>0.76190476190476186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865</v>
      </c>
      <c r="C29" s="49">
        <v>555</v>
      </c>
      <c r="D29" s="49">
        <v>651</v>
      </c>
      <c r="E29" s="49">
        <f>+D29-C29</f>
        <v>96</v>
      </c>
      <c r="F29" s="70">
        <f>IF(C29=0,0,+E29/C29)</f>
        <v>0.17297297297297298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866</v>
      </c>
      <c r="C30" s="49">
        <v>804</v>
      </c>
      <c r="D30" s="49">
        <v>1041</v>
      </c>
      <c r="E30" s="49">
        <f>+D30-C30</f>
        <v>237</v>
      </c>
      <c r="F30" s="70">
        <f>IF(C30=0,0,+E30/C30)</f>
        <v>0.29477611940298509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867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868</v>
      </c>
      <c r="C33" s="51">
        <v>736736</v>
      </c>
      <c r="D33" s="51">
        <v>784445</v>
      </c>
      <c r="E33" s="51">
        <f>+D33-C33</f>
        <v>47709</v>
      </c>
      <c r="F33" s="70">
        <f>IF(C33=0,0,+E33/C33)</f>
        <v>6.4757253615949265E-2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869</v>
      </c>
      <c r="C34" s="49">
        <v>745364</v>
      </c>
      <c r="D34" s="49">
        <v>629082</v>
      </c>
      <c r="E34" s="49">
        <f>+D34-C34</f>
        <v>-116282</v>
      </c>
      <c r="F34" s="70">
        <f>IF(C34=0,0,+E34/C34)</f>
        <v>-0.15600699792316236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870</v>
      </c>
      <c r="C35" s="49">
        <v>1963223</v>
      </c>
      <c r="D35" s="49">
        <v>1898693</v>
      </c>
      <c r="E35" s="49">
        <f>+D35-C35</f>
        <v>-64530</v>
      </c>
      <c r="F35" s="70">
        <f>IF(C35=0,0,+E35/C35)</f>
        <v>-3.2869419317112729E-2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871</v>
      </c>
      <c r="C36" s="27">
        <f>+C33+C34+C35</f>
        <v>3445323</v>
      </c>
      <c r="D36" s="27">
        <f>+D33+D34+D35</f>
        <v>3312220</v>
      </c>
      <c r="E36" s="27">
        <f>+E33+E34+E35</f>
        <v>-133103</v>
      </c>
      <c r="F36" s="28">
        <f>IF(C36=0,0,+E36/C36)</f>
        <v>-3.8632952556262506E-2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872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873</v>
      </c>
      <c r="C39" s="51">
        <f>+C25</f>
        <v>1210237</v>
      </c>
      <c r="D39" s="51">
        <f>+D25</f>
        <v>1391261</v>
      </c>
      <c r="E39" s="51">
        <f>+D39-C39</f>
        <v>181024</v>
      </c>
      <c r="F39" s="70">
        <f>IF(C39=0,0,+E39/C39)</f>
        <v>0.14957731419548403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874</v>
      </c>
      <c r="C40" s="49">
        <f>+C36</f>
        <v>3445323</v>
      </c>
      <c r="D40" s="49">
        <f>+D36</f>
        <v>3312220</v>
      </c>
      <c r="E40" s="49">
        <f>+D40-C40</f>
        <v>-133103</v>
      </c>
      <c r="F40" s="70">
        <f>IF(C40=0,0,+E40/C40)</f>
        <v>-3.8632952556262506E-2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875</v>
      </c>
      <c r="C41" s="27">
        <f>+C39+C40</f>
        <v>4655560</v>
      </c>
      <c r="D41" s="27">
        <f>+D39+D40</f>
        <v>4703481</v>
      </c>
      <c r="E41" s="27">
        <f>+E39+E40</f>
        <v>47921</v>
      </c>
      <c r="F41" s="28">
        <f>IF(C41=0,0,+E41/C41)</f>
        <v>1.0293283729562073E-2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876</v>
      </c>
      <c r="C43" s="51">
        <f t="shared" ref="C43:D45" si="0">+C22+C33</f>
        <v>1207036</v>
      </c>
      <c r="D43" s="51">
        <f t="shared" si="0"/>
        <v>1296677</v>
      </c>
      <c r="E43" s="51">
        <f>+D43-C43</f>
        <v>89641</v>
      </c>
      <c r="F43" s="70">
        <f>IF(C43=0,0,+E43/C43)</f>
        <v>7.426539059315547E-2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877</v>
      </c>
      <c r="C44" s="49">
        <f t="shared" si="0"/>
        <v>1138400</v>
      </c>
      <c r="D44" s="49">
        <f t="shared" si="0"/>
        <v>1080965</v>
      </c>
      <c r="E44" s="49">
        <f>+D44-C44</f>
        <v>-57435</v>
      </c>
      <c r="F44" s="70">
        <f>IF(C44=0,0,+E44/C44)</f>
        <v>-5.0452389318341534E-2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878</v>
      </c>
      <c r="C45" s="49">
        <f t="shared" si="0"/>
        <v>2310124</v>
      </c>
      <c r="D45" s="49">
        <f t="shared" si="0"/>
        <v>2325839</v>
      </c>
      <c r="E45" s="49">
        <f>+D45-C45</f>
        <v>15715</v>
      </c>
      <c r="F45" s="70">
        <f>IF(C45=0,0,+E45/C45)</f>
        <v>6.8026651383215793E-3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875</v>
      </c>
      <c r="C46" s="27">
        <f>+C43+C44+C45</f>
        <v>4655560</v>
      </c>
      <c r="D46" s="27">
        <f>+D43+D44+D45</f>
        <v>4703481</v>
      </c>
      <c r="E46" s="27">
        <f>+E43+E44+E45</f>
        <v>47921</v>
      </c>
      <c r="F46" s="28">
        <f>IF(C46=0,0,+E46/C46)</f>
        <v>1.0293283729562073E-2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879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r:id="rId1"/>
  <headerFooter>
    <oddHeader>&amp;LOFFICE OF HEALTH CARE ACCESS&amp;CTWELVE MONTHS ACTUAL FILING&amp;RDAY KIMBALL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Normal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590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591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880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881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596</v>
      </c>
      <c r="D9" s="35" t="s">
        <v>597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882</v>
      </c>
      <c r="D10" s="35" t="s">
        <v>882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883</v>
      </c>
      <c r="D11" s="605" t="s">
        <v>883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884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71884616</v>
      </c>
      <c r="D15" s="51">
        <v>72119402</v>
      </c>
      <c r="E15" s="51">
        <f>+D15-C15</f>
        <v>234786</v>
      </c>
      <c r="F15" s="70">
        <f>+E15/C15</f>
        <v>3.2661508548644121E-3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503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885</v>
      </c>
      <c r="C17" s="51">
        <v>25129292</v>
      </c>
      <c r="D17" s="51">
        <v>24280465</v>
      </c>
      <c r="E17" s="51">
        <f>+D17-C17</f>
        <v>-848827</v>
      </c>
      <c r="F17" s="70">
        <f>+E17/C17</f>
        <v>-3.3778388981273326E-2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886</v>
      </c>
      <c r="C19" s="27">
        <f>+C15-C17</f>
        <v>46755324</v>
      </c>
      <c r="D19" s="27">
        <f>+D15-D17</f>
        <v>47838937</v>
      </c>
      <c r="E19" s="27">
        <f>+D19-C19</f>
        <v>1083613</v>
      </c>
      <c r="F19" s="28">
        <f>+E19/C19</f>
        <v>2.317624833484204E-2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887</v>
      </c>
      <c r="C21" s="628">
        <f>+C17/C15</f>
        <v>0.34957816287145499</v>
      </c>
      <c r="D21" s="628">
        <f>+D17/D15</f>
        <v>0.33667035952405705</v>
      </c>
      <c r="E21" s="628">
        <f>+D21-C21</f>
        <v>-1.2907803347397939E-2</v>
      </c>
      <c r="F21" s="28">
        <f>+E21/C21</f>
        <v>-3.6923940675734734E-2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503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503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503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503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888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r:id="rId1"/>
  <headerFooter>
    <oddHeader>&amp;L&amp;12OFFICE OF HEALTH CARE ACCESS&amp;C&amp;12TWELVE MONTHS ACTUAL FILING&amp;R&amp;12DAY KIMBALL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zoomScaleNormal="75" workbookViewId="0"/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889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890</v>
      </c>
      <c r="B6" s="632" t="s">
        <v>891</v>
      </c>
      <c r="C6" s="632" t="s">
        <v>892</v>
      </c>
      <c r="D6" s="632" t="s">
        <v>893</v>
      </c>
      <c r="E6" s="632" t="s">
        <v>894</v>
      </c>
    </row>
    <row r="7" spans="1:6" ht="37.5" customHeight="1" x14ac:dyDescent="0.25">
      <c r="A7" s="633" t="s">
        <v>8</v>
      </c>
      <c r="B7" s="634" t="s">
        <v>895</v>
      </c>
      <c r="C7" s="631" t="s">
        <v>896</v>
      </c>
      <c r="D7" s="631" t="s">
        <v>897</v>
      </c>
      <c r="E7" s="631" t="s">
        <v>898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899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900</v>
      </c>
      <c r="C10" s="641">
        <v>53977458</v>
      </c>
      <c r="D10" s="641">
        <v>58108748</v>
      </c>
      <c r="E10" s="641">
        <v>54120232</v>
      </c>
    </row>
    <row r="11" spans="1:6" ht="26.1" customHeight="1" x14ac:dyDescent="0.25">
      <c r="A11" s="639">
        <v>2</v>
      </c>
      <c r="B11" s="640" t="s">
        <v>901</v>
      </c>
      <c r="C11" s="641">
        <v>100064214</v>
      </c>
      <c r="D11" s="641">
        <v>107452253</v>
      </c>
      <c r="E11" s="641">
        <v>114726860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154041672</v>
      </c>
      <c r="D12" s="641">
        <f>+D11+D10</f>
        <v>165561001</v>
      </c>
      <c r="E12" s="641">
        <f>+E11+E10</f>
        <v>168847092</v>
      </c>
    </row>
    <row r="13" spans="1:6" ht="26.1" customHeight="1" x14ac:dyDescent="0.25">
      <c r="A13" s="639">
        <v>4</v>
      </c>
      <c r="B13" s="640" t="s">
        <v>483</v>
      </c>
      <c r="C13" s="641">
        <v>88983220</v>
      </c>
      <c r="D13" s="641">
        <v>95995284</v>
      </c>
      <c r="E13" s="641">
        <v>100651954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902</v>
      </c>
      <c r="C16" s="641">
        <v>95714493</v>
      </c>
      <c r="D16" s="641">
        <v>96763604</v>
      </c>
      <c r="E16" s="641">
        <v>100411939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903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20465</v>
      </c>
      <c r="D19" s="644">
        <v>20204</v>
      </c>
      <c r="E19" s="644">
        <v>18876</v>
      </c>
    </row>
    <row r="20" spans="1:5" ht="26.1" customHeight="1" x14ac:dyDescent="0.25">
      <c r="A20" s="639">
        <v>2</v>
      </c>
      <c r="B20" s="640" t="s">
        <v>373</v>
      </c>
      <c r="C20" s="645">
        <v>5387</v>
      </c>
      <c r="D20" s="645">
        <v>5573</v>
      </c>
      <c r="E20" s="645">
        <v>5202</v>
      </c>
    </row>
    <row r="21" spans="1:5" ht="26.1" customHeight="1" x14ac:dyDescent="0.25">
      <c r="A21" s="639">
        <v>3</v>
      </c>
      <c r="B21" s="640" t="s">
        <v>904</v>
      </c>
      <c r="C21" s="646">
        <f>IF(C20=0,0,+C19/C20)</f>
        <v>3.7989604603675513</v>
      </c>
      <c r="D21" s="646">
        <f>IF(D20=0,0,+D19/D20)</f>
        <v>3.6253364435671989</v>
      </c>
      <c r="E21" s="646">
        <f>IF(E20=0,0,+E19/E20)</f>
        <v>3.6286043829296424</v>
      </c>
    </row>
    <row r="22" spans="1:5" ht="26.1" customHeight="1" x14ac:dyDescent="0.25">
      <c r="A22" s="639">
        <v>4</v>
      </c>
      <c r="B22" s="640" t="s">
        <v>905</v>
      </c>
      <c r="C22" s="645">
        <f>IF(C10=0,0,C19*(C12/C10))</f>
        <v>58403.321206419168</v>
      </c>
      <c r="D22" s="645">
        <f>IF(D10=0,0,D19*(D12/D10))</f>
        <v>57564.387107497139</v>
      </c>
      <c r="E22" s="645">
        <f>IF(E10=0,0,E19*(E12/E10))</f>
        <v>58890.318662935519</v>
      </c>
    </row>
    <row r="23" spans="1:5" ht="26.1" customHeight="1" x14ac:dyDescent="0.25">
      <c r="A23" s="639">
        <v>0</v>
      </c>
      <c r="B23" s="640" t="s">
        <v>906</v>
      </c>
      <c r="C23" s="645">
        <f>IF(C10=0,0,C20*(C12/C10))</f>
        <v>15373.500676226731</v>
      </c>
      <c r="D23" s="645">
        <f>IF(D10=0,0,D20*(D12/D10))</f>
        <v>15878.357223821102</v>
      </c>
      <c r="E23" s="645">
        <f>IF(E10=0,0,E20*(E12/E10))</f>
        <v>16229.467984985726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907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0.88409576758863928</v>
      </c>
      <c r="D26" s="647">
        <v>0.92232194509240983</v>
      </c>
      <c r="E26" s="647">
        <v>0.91368035371011158</v>
      </c>
    </row>
    <row r="27" spans="1:5" ht="26.1" customHeight="1" x14ac:dyDescent="0.25">
      <c r="A27" s="639">
        <v>2</v>
      </c>
      <c r="B27" s="640" t="s">
        <v>908</v>
      </c>
      <c r="C27" s="645">
        <f>C19*C26</f>
        <v>18093.019883701501</v>
      </c>
      <c r="D27" s="645">
        <f>D19*D26</f>
        <v>18634.592578647047</v>
      </c>
      <c r="E27" s="645">
        <f>E19*E26</f>
        <v>17246.630356632068</v>
      </c>
    </row>
    <row r="28" spans="1:5" ht="26.1" customHeight="1" x14ac:dyDescent="0.25">
      <c r="A28" s="639">
        <v>3</v>
      </c>
      <c r="B28" s="640" t="s">
        <v>909</v>
      </c>
      <c r="C28" s="645">
        <f>C20*C26</f>
        <v>4762.6238999999996</v>
      </c>
      <c r="D28" s="645">
        <f>D20*D26</f>
        <v>5140.1001999999999</v>
      </c>
      <c r="E28" s="645">
        <f>E20*E26</f>
        <v>4752.9652000000006</v>
      </c>
    </row>
    <row r="29" spans="1:5" ht="26.1" customHeight="1" x14ac:dyDescent="0.25">
      <c r="A29" s="639">
        <v>4</v>
      </c>
      <c r="B29" s="640" t="s">
        <v>910</v>
      </c>
      <c r="C29" s="645">
        <f>C22*C26</f>
        <v>51634.129091715011</v>
      </c>
      <c r="D29" s="645">
        <f>D22*D26</f>
        <v>53092.897485039204</v>
      </c>
      <c r="E29" s="645">
        <f>E22*E26</f>
        <v>53806.927186052111</v>
      </c>
    </row>
    <row r="30" spans="1:5" ht="26.1" customHeight="1" x14ac:dyDescent="0.25">
      <c r="A30" s="639">
        <v>5</v>
      </c>
      <c r="B30" s="640" t="s">
        <v>911</v>
      </c>
      <c r="C30" s="645">
        <f>C23*C26</f>
        <v>13591.646880873137</v>
      </c>
      <c r="D30" s="645">
        <f>D23*D26</f>
        <v>14644.957319546795</v>
      </c>
      <c r="E30" s="645">
        <f>E23*E26</f>
        <v>14828.546049048689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912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913</v>
      </c>
      <c r="C33" s="641">
        <f>IF(C19=0,0,C12/C19)</f>
        <v>7527.0790129489369</v>
      </c>
      <c r="D33" s="641">
        <f>IF(D19=0,0,D12/D19)</f>
        <v>8194.4664917838054</v>
      </c>
      <c r="E33" s="641">
        <f>IF(E19=0,0,E12/E19)</f>
        <v>8945.0673871582967</v>
      </c>
    </row>
    <row r="34" spans="1:5" ht="26.1" customHeight="1" x14ac:dyDescent="0.25">
      <c r="A34" s="639">
        <v>2</v>
      </c>
      <c r="B34" s="640" t="s">
        <v>914</v>
      </c>
      <c r="C34" s="641">
        <f>IF(C20=0,0,C12/C20)</f>
        <v>28595.075552255428</v>
      </c>
      <c r="D34" s="641">
        <f>IF(D20=0,0,D12/D20)</f>
        <v>29707.698008254083</v>
      </c>
      <c r="E34" s="641">
        <f>IF(E20=0,0,E12/E20)</f>
        <v>32458.110726643597</v>
      </c>
    </row>
    <row r="35" spans="1:5" ht="26.1" customHeight="1" x14ac:dyDescent="0.25">
      <c r="A35" s="639">
        <v>3</v>
      </c>
      <c r="B35" s="640" t="s">
        <v>915</v>
      </c>
      <c r="C35" s="641">
        <f>IF(C22=0,0,C12/C22)</f>
        <v>2637.5498656242366</v>
      </c>
      <c r="D35" s="641">
        <f>IF(D22=0,0,D12/D22)</f>
        <v>2876.1011680855277</v>
      </c>
      <c r="E35" s="641">
        <f>IF(E22=0,0,E12/E22)</f>
        <v>2867.1451578724304</v>
      </c>
    </row>
    <row r="36" spans="1:5" ht="26.1" customHeight="1" x14ac:dyDescent="0.25">
      <c r="A36" s="639">
        <v>4</v>
      </c>
      <c r="B36" s="640" t="s">
        <v>916</v>
      </c>
      <c r="C36" s="641">
        <f>IF(C23=0,0,C12/C23)</f>
        <v>10019.947651754223</v>
      </c>
      <c r="D36" s="641">
        <f>IF(D23=0,0,D12/D23)</f>
        <v>10426.834380046654</v>
      </c>
      <c r="E36" s="641">
        <f>IF(E23=0,0,E12/E23)</f>
        <v>10403.735486351403</v>
      </c>
    </row>
    <row r="37" spans="1:5" ht="26.1" customHeight="1" x14ac:dyDescent="0.25">
      <c r="A37" s="639">
        <v>5</v>
      </c>
      <c r="B37" s="640" t="s">
        <v>917</v>
      </c>
      <c r="C37" s="641">
        <f>IF(C29=0,0,C12/C29)</f>
        <v>2983.3304968964194</v>
      </c>
      <c r="D37" s="641">
        <f>IF(D29=0,0,D12/D29)</f>
        <v>3118.3267224519559</v>
      </c>
      <c r="E37" s="641">
        <f>IF(E29=0,0,E12/E29)</f>
        <v>3138.017739168884</v>
      </c>
    </row>
    <row r="38" spans="1:5" ht="26.1" customHeight="1" x14ac:dyDescent="0.25">
      <c r="A38" s="639">
        <v>6</v>
      </c>
      <c r="B38" s="640" t="s">
        <v>918</v>
      </c>
      <c r="C38" s="641">
        <f>IF(C30=0,0,C12/C30)</f>
        <v>11333.554597918177</v>
      </c>
      <c r="D38" s="641">
        <f>IF(D30=0,0,D12/D30)</f>
        <v>11304.983509854535</v>
      </c>
      <c r="E38" s="641">
        <f>IF(E30=0,0,E12/E30)</f>
        <v>11386.62492205918</v>
      </c>
    </row>
    <row r="39" spans="1:5" ht="26.1" customHeight="1" x14ac:dyDescent="0.25">
      <c r="A39" s="639">
        <v>7</v>
      </c>
      <c r="B39" s="640" t="s">
        <v>919</v>
      </c>
      <c r="C39" s="641">
        <f>IF(C22=0,0,C10/C22)</f>
        <v>924.21898078747074</v>
      </c>
      <c r="D39" s="641">
        <f>IF(D22=0,0,D10/D22)</f>
        <v>1009.4565567333551</v>
      </c>
      <c r="E39" s="641">
        <f>IF(E22=0,0,E10/E22)</f>
        <v>919.00049496696431</v>
      </c>
    </row>
    <row r="40" spans="1:5" ht="26.1" customHeight="1" x14ac:dyDescent="0.25">
      <c r="A40" s="639">
        <v>8</v>
      </c>
      <c r="B40" s="640" t="s">
        <v>920</v>
      </c>
      <c r="C40" s="641">
        <f>IF(C23=0,0,C10/C23)</f>
        <v>3511.0713647327993</v>
      </c>
      <c r="D40" s="641">
        <f>IF(D23=0,0,D10/D23)</f>
        <v>3659.6196433232922</v>
      </c>
      <c r="E40" s="641">
        <f>IF(E23=0,0,E10/E23)</f>
        <v>3334.6892239516378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921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922</v>
      </c>
      <c r="C43" s="641">
        <f>IF(C19=0,0,C13/C19)</f>
        <v>4348.0684094795997</v>
      </c>
      <c r="D43" s="641">
        <f>IF(D19=0,0,D13/D19)</f>
        <v>4751.3009305088099</v>
      </c>
      <c r="E43" s="641">
        <f>IF(E19=0,0,E13/E19)</f>
        <v>5332.2713498622588</v>
      </c>
    </row>
    <row r="44" spans="1:5" ht="26.1" customHeight="1" x14ac:dyDescent="0.25">
      <c r="A44" s="639">
        <v>2</v>
      </c>
      <c r="B44" s="640" t="s">
        <v>923</v>
      </c>
      <c r="C44" s="641">
        <f>IF(C20=0,0,C13/C20)</f>
        <v>16518.139966586226</v>
      </c>
      <c r="D44" s="641">
        <f>IF(D20=0,0,D13/D20)</f>
        <v>17225.064417728332</v>
      </c>
      <c r="E44" s="641">
        <f>IF(E20=0,0,E13/E20)</f>
        <v>19348.703191080353</v>
      </c>
    </row>
    <row r="45" spans="1:5" ht="26.1" customHeight="1" x14ac:dyDescent="0.25">
      <c r="A45" s="639">
        <v>3</v>
      </c>
      <c r="B45" s="640" t="s">
        <v>924</v>
      </c>
      <c r="C45" s="641">
        <f>IF(C22=0,0,C13/C22)</f>
        <v>1523.5986269599298</v>
      </c>
      <c r="D45" s="641">
        <f>IF(D22=0,0,D13/D22)</f>
        <v>1667.6158441630946</v>
      </c>
      <c r="E45" s="641">
        <f>IF(E22=0,0,E13/E22)</f>
        <v>1709.1426279435041</v>
      </c>
    </row>
    <row r="46" spans="1:5" ht="26.1" customHeight="1" x14ac:dyDescent="0.25">
      <c r="A46" s="639">
        <v>4</v>
      </c>
      <c r="B46" s="640" t="s">
        <v>925</v>
      </c>
      <c r="C46" s="641">
        <f>IF(C23=0,0,C13/C23)</f>
        <v>5788.0909412910651</v>
      </c>
      <c r="D46" s="641">
        <f>IF(D23=0,0,D13/D23)</f>
        <v>6045.6684937145455</v>
      </c>
      <c r="E46" s="641">
        <f>IF(E23=0,0,E13/E23)</f>
        <v>6201.8024308076865</v>
      </c>
    </row>
    <row r="47" spans="1:5" ht="26.1" customHeight="1" x14ac:dyDescent="0.25">
      <c r="A47" s="639">
        <v>5</v>
      </c>
      <c r="B47" s="640" t="s">
        <v>926</v>
      </c>
      <c r="C47" s="641">
        <f>IF(C29=0,0,C13/C29)</f>
        <v>1723.341161462097</v>
      </c>
      <c r="D47" s="641">
        <f>IF(D29=0,0,D13/D29)</f>
        <v>1808.0626326157856</v>
      </c>
      <c r="E47" s="641">
        <f>IF(E29=0,0,E13/E29)</f>
        <v>1870.6133069440752</v>
      </c>
    </row>
    <row r="48" spans="1:5" ht="26.1" customHeight="1" x14ac:dyDescent="0.25">
      <c r="A48" s="639">
        <v>6</v>
      </c>
      <c r="B48" s="640" t="s">
        <v>927</v>
      </c>
      <c r="C48" s="641">
        <f>IF(C30=0,0,C13/C30)</f>
        <v>6546.9049321183993</v>
      </c>
      <c r="D48" s="641">
        <f>IF(D30=0,0,D13/D30)</f>
        <v>6554.8353542740597</v>
      </c>
      <c r="E48" s="641">
        <f>IF(E30=0,0,E13/E30)</f>
        <v>6787.7156443437843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928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929</v>
      </c>
      <c r="C51" s="641">
        <f>IF(C19=0,0,C16/C19)</f>
        <v>4676.984754458832</v>
      </c>
      <c r="D51" s="641">
        <f>IF(D19=0,0,D16/D19)</f>
        <v>4789.3290437537125</v>
      </c>
      <c r="E51" s="641">
        <f>IF(E19=0,0,E16/E19)</f>
        <v>5319.5559970332697</v>
      </c>
    </row>
    <row r="52" spans="1:6" ht="26.1" customHeight="1" x14ac:dyDescent="0.25">
      <c r="A52" s="639">
        <v>2</v>
      </c>
      <c r="B52" s="640" t="s">
        <v>930</v>
      </c>
      <c r="C52" s="641">
        <f>IF(C20=0,0,C16/C20)</f>
        <v>17767.680155930946</v>
      </c>
      <c r="D52" s="641">
        <f>IF(D20=0,0,D16/D20)</f>
        <v>17362.929122555175</v>
      </c>
      <c r="E52" s="641">
        <f>IF(E20=0,0,E16/E20)</f>
        <v>19302.564206074585</v>
      </c>
    </row>
    <row r="53" spans="1:6" ht="26.1" customHeight="1" x14ac:dyDescent="0.25">
      <c r="A53" s="639">
        <v>3</v>
      </c>
      <c r="B53" s="640" t="s">
        <v>931</v>
      </c>
      <c r="C53" s="641">
        <f>IF(C22=0,0,C16/C22)</f>
        <v>1638.8535963855413</v>
      </c>
      <c r="D53" s="641">
        <f>IF(D22=0,0,D16/D22)</f>
        <v>1680.9629853141889</v>
      </c>
      <c r="E53" s="641">
        <f>IF(E22=0,0,E16/E22)</f>
        <v>1705.0670004813105</v>
      </c>
    </row>
    <row r="54" spans="1:6" ht="26.1" customHeight="1" x14ac:dyDescent="0.25">
      <c r="A54" s="639">
        <v>4</v>
      </c>
      <c r="B54" s="640" t="s">
        <v>932</v>
      </c>
      <c r="C54" s="641">
        <f>IF(C23=0,0,C16/C23)</f>
        <v>6225.940012999833</v>
      </c>
      <c r="D54" s="641">
        <f>IF(D23=0,0,D16/D23)</f>
        <v>6094.0563709470434</v>
      </c>
      <c r="E54" s="641">
        <f>IF(E23=0,0,E16/E23)</f>
        <v>6187.0135911351817</v>
      </c>
    </row>
    <row r="55" spans="1:6" ht="26.1" customHeight="1" x14ac:dyDescent="0.25">
      <c r="A55" s="639">
        <v>5</v>
      </c>
      <c r="B55" s="640" t="s">
        <v>933</v>
      </c>
      <c r="C55" s="641">
        <f>IF(C29=0,0,C16/C29)</f>
        <v>1853.7059631622203</v>
      </c>
      <c r="D55" s="641">
        <f>IF(D29=0,0,D16/D29)</f>
        <v>1822.5338714517616</v>
      </c>
      <c r="E55" s="641">
        <f>IF(E29=0,0,E16/E29)</f>
        <v>1866.1526359384613</v>
      </c>
    </row>
    <row r="56" spans="1:6" ht="26.1" customHeight="1" x14ac:dyDescent="0.25">
      <c r="A56" s="639">
        <v>6</v>
      </c>
      <c r="B56" s="640" t="s">
        <v>934</v>
      </c>
      <c r="C56" s="641">
        <f>IF(C30=0,0,C16/C30)</f>
        <v>7042.1556592008246</v>
      </c>
      <c r="D56" s="641">
        <f>IF(D30=0,0,D16/D30)</f>
        <v>6607.2984638096896</v>
      </c>
      <c r="E56" s="641">
        <f>IF(E30=0,0,E16/E30)</f>
        <v>6771.5296339820061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935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936</v>
      </c>
      <c r="C59" s="649">
        <v>14428705</v>
      </c>
      <c r="D59" s="649">
        <v>14709080</v>
      </c>
      <c r="E59" s="649">
        <v>15382127</v>
      </c>
    </row>
    <row r="60" spans="1:6" ht="26.1" customHeight="1" x14ac:dyDescent="0.25">
      <c r="A60" s="639">
        <v>2</v>
      </c>
      <c r="B60" s="640" t="s">
        <v>937</v>
      </c>
      <c r="C60" s="649">
        <v>4412297</v>
      </c>
      <c r="D60" s="649">
        <v>4040000</v>
      </c>
      <c r="E60" s="649">
        <v>4566728</v>
      </c>
    </row>
    <row r="61" spans="1:6" ht="26.1" customHeight="1" x14ac:dyDescent="0.25">
      <c r="A61" s="650">
        <v>3</v>
      </c>
      <c r="B61" s="651" t="s">
        <v>938</v>
      </c>
      <c r="C61" s="652">
        <f>C59+C60</f>
        <v>18841002</v>
      </c>
      <c r="D61" s="652">
        <f>D59+D60</f>
        <v>18749080</v>
      </c>
      <c r="E61" s="652">
        <f>E59+E60</f>
        <v>19948855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939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940</v>
      </c>
      <c r="C64" s="641">
        <v>2591124</v>
      </c>
      <c r="D64" s="641">
        <v>3546430</v>
      </c>
      <c r="E64" s="649">
        <v>3398414</v>
      </c>
      <c r="F64" s="653"/>
    </row>
    <row r="65" spans="1:6" ht="26.1" customHeight="1" x14ac:dyDescent="0.25">
      <c r="A65" s="639">
        <v>2</v>
      </c>
      <c r="B65" s="640" t="s">
        <v>941</v>
      </c>
      <c r="C65" s="649">
        <v>792366</v>
      </c>
      <c r="D65" s="649">
        <v>974063</v>
      </c>
      <c r="E65" s="649">
        <v>1008939</v>
      </c>
      <c r="F65" s="653"/>
    </row>
    <row r="66" spans="1:6" ht="26.1" customHeight="1" x14ac:dyDescent="0.25">
      <c r="A66" s="650">
        <v>3</v>
      </c>
      <c r="B66" s="651" t="s">
        <v>942</v>
      </c>
      <c r="C66" s="654">
        <f>C64+C65</f>
        <v>3383490</v>
      </c>
      <c r="D66" s="654">
        <f>D64+D65</f>
        <v>4520493</v>
      </c>
      <c r="E66" s="654">
        <f>E64+E65</f>
        <v>4407353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943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944</v>
      </c>
      <c r="C69" s="649">
        <v>25067937</v>
      </c>
      <c r="D69" s="649">
        <v>25140587</v>
      </c>
      <c r="E69" s="649">
        <v>26861137</v>
      </c>
    </row>
    <row r="70" spans="1:6" ht="26.1" customHeight="1" x14ac:dyDescent="0.25">
      <c r="A70" s="639">
        <v>2</v>
      </c>
      <c r="B70" s="640" t="s">
        <v>945</v>
      </c>
      <c r="C70" s="649">
        <v>7665774</v>
      </c>
      <c r="D70" s="649">
        <v>6905120</v>
      </c>
      <c r="E70" s="649">
        <v>7974678</v>
      </c>
    </row>
    <row r="71" spans="1:6" ht="26.1" customHeight="1" x14ac:dyDescent="0.25">
      <c r="A71" s="650">
        <v>3</v>
      </c>
      <c r="B71" s="651" t="s">
        <v>946</v>
      </c>
      <c r="C71" s="652">
        <f>C69+C70</f>
        <v>32733711</v>
      </c>
      <c r="D71" s="652">
        <f>D69+D70</f>
        <v>32045707</v>
      </c>
      <c r="E71" s="652">
        <f>E69+E70</f>
        <v>34835815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947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948</v>
      </c>
      <c r="C75" s="641">
        <f t="shared" ref="C75:E76" si="0">+C59+C64+C69</f>
        <v>42087766</v>
      </c>
      <c r="D75" s="641">
        <f t="shared" si="0"/>
        <v>43396097</v>
      </c>
      <c r="E75" s="641">
        <f t="shared" si="0"/>
        <v>45641678</v>
      </c>
    </row>
    <row r="76" spans="1:6" ht="26.1" customHeight="1" x14ac:dyDescent="0.25">
      <c r="A76" s="639">
        <v>2</v>
      </c>
      <c r="B76" s="640" t="s">
        <v>949</v>
      </c>
      <c r="C76" s="641">
        <f t="shared" si="0"/>
        <v>12870437</v>
      </c>
      <c r="D76" s="641">
        <f t="shared" si="0"/>
        <v>11919183</v>
      </c>
      <c r="E76" s="641">
        <f t="shared" si="0"/>
        <v>13550345</v>
      </c>
    </row>
    <row r="77" spans="1:6" ht="26.1" customHeight="1" x14ac:dyDescent="0.25">
      <c r="A77" s="650">
        <v>3</v>
      </c>
      <c r="B77" s="651" t="s">
        <v>947</v>
      </c>
      <c r="C77" s="654">
        <f>C75+C76</f>
        <v>54958203</v>
      </c>
      <c r="D77" s="654">
        <f>D75+D76</f>
        <v>55315280</v>
      </c>
      <c r="E77" s="654">
        <f>E75+E76</f>
        <v>59192023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950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577</v>
      </c>
      <c r="C80" s="646">
        <v>223.8</v>
      </c>
      <c r="D80" s="646">
        <v>234.9</v>
      </c>
      <c r="E80" s="646">
        <v>248</v>
      </c>
    </row>
    <row r="81" spans="1:5" ht="26.1" customHeight="1" x14ac:dyDescent="0.25">
      <c r="A81" s="639">
        <v>2</v>
      </c>
      <c r="B81" s="640" t="s">
        <v>578</v>
      </c>
      <c r="C81" s="646">
        <v>12.9</v>
      </c>
      <c r="D81" s="646">
        <v>16.3</v>
      </c>
      <c r="E81" s="646">
        <v>15.4</v>
      </c>
    </row>
    <row r="82" spans="1:5" ht="26.1" customHeight="1" x14ac:dyDescent="0.25">
      <c r="A82" s="639">
        <v>3</v>
      </c>
      <c r="B82" s="640" t="s">
        <v>951</v>
      </c>
      <c r="C82" s="646">
        <v>477.7</v>
      </c>
      <c r="D82" s="646">
        <v>486.7</v>
      </c>
      <c r="E82" s="646">
        <v>511.4</v>
      </c>
    </row>
    <row r="83" spans="1:5" ht="26.1" customHeight="1" x14ac:dyDescent="0.25">
      <c r="A83" s="650">
        <v>4</v>
      </c>
      <c r="B83" s="651" t="s">
        <v>950</v>
      </c>
      <c r="C83" s="656">
        <f>C80+C81+C82</f>
        <v>714.4</v>
      </c>
      <c r="D83" s="656">
        <f>D80+D81+D82</f>
        <v>737.9</v>
      </c>
      <c r="E83" s="656">
        <f>E80+E81+E82</f>
        <v>774.8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952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953</v>
      </c>
      <c r="C86" s="649">
        <f>IF(C80=0,0,C59/C80)</f>
        <v>64471.42537980339</v>
      </c>
      <c r="D86" s="649">
        <f>IF(D80=0,0,D59/D80)</f>
        <v>62618.475947211577</v>
      </c>
      <c r="E86" s="649">
        <f>IF(E80=0,0,E59/E80)</f>
        <v>62024.705645161288</v>
      </c>
    </row>
    <row r="87" spans="1:5" ht="26.1" customHeight="1" x14ac:dyDescent="0.25">
      <c r="A87" s="639">
        <v>2</v>
      </c>
      <c r="B87" s="640" t="s">
        <v>954</v>
      </c>
      <c r="C87" s="649">
        <f>IF(C80=0,0,C60/C80)</f>
        <v>19715.35746201966</v>
      </c>
      <c r="D87" s="649">
        <f>IF(D80=0,0,D60/D80)</f>
        <v>17198.808003405706</v>
      </c>
      <c r="E87" s="649">
        <f>IF(E80=0,0,E60/E80)</f>
        <v>18414.225806451614</v>
      </c>
    </row>
    <row r="88" spans="1:5" ht="26.1" customHeight="1" x14ac:dyDescent="0.25">
      <c r="A88" s="650">
        <v>3</v>
      </c>
      <c r="B88" s="651" t="s">
        <v>955</v>
      </c>
      <c r="C88" s="652">
        <f>+C86+C87</f>
        <v>84186.782841823049</v>
      </c>
      <c r="D88" s="652">
        <f>+D86+D87</f>
        <v>79817.283950617275</v>
      </c>
      <c r="E88" s="652">
        <f>+E86+E87</f>
        <v>80438.931451612909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575</v>
      </c>
      <c r="B90" s="642" t="s">
        <v>956</v>
      </c>
    </row>
    <row r="91" spans="1:5" ht="26.1" customHeight="1" x14ac:dyDescent="0.25">
      <c r="A91" s="639">
        <v>1</v>
      </c>
      <c r="B91" s="640" t="s">
        <v>957</v>
      </c>
      <c r="C91" s="641">
        <f>IF(C81=0,0,C64/C81)</f>
        <v>200862.32558139533</v>
      </c>
      <c r="D91" s="641">
        <f>IF(D81=0,0,D64/D81)</f>
        <v>217572.39263803681</v>
      </c>
      <c r="E91" s="641">
        <f>IF(E81=0,0,E64/E81)</f>
        <v>220676.23376623375</v>
      </c>
    </row>
    <row r="92" spans="1:5" ht="26.1" customHeight="1" x14ac:dyDescent="0.25">
      <c r="A92" s="639">
        <v>2</v>
      </c>
      <c r="B92" s="640" t="s">
        <v>958</v>
      </c>
      <c r="C92" s="641">
        <f>IF(C81=0,0,C65/C81)</f>
        <v>61423.720930232557</v>
      </c>
      <c r="D92" s="641">
        <f>IF(D81=0,0,D65/D81)</f>
        <v>59758.466257668711</v>
      </c>
      <c r="E92" s="641">
        <f>IF(E81=0,0,E65/E81)</f>
        <v>65515.519480519477</v>
      </c>
    </row>
    <row r="93" spans="1:5" ht="26.1" customHeight="1" x14ac:dyDescent="0.25">
      <c r="A93" s="650">
        <v>3</v>
      </c>
      <c r="B93" s="651" t="s">
        <v>959</v>
      </c>
      <c r="C93" s="654">
        <f>+C91+C92</f>
        <v>262286.04651162791</v>
      </c>
      <c r="D93" s="654">
        <f>+D91+D92</f>
        <v>277330.85889570555</v>
      </c>
      <c r="E93" s="654">
        <f>+E91+E92</f>
        <v>286191.75324675324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960</v>
      </c>
      <c r="B95" s="642" t="s">
        <v>961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962</v>
      </c>
      <c r="C96" s="649">
        <f>IF(C82=0,0,C69/C82)</f>
        <v>52476.317772660666</v>
      </c>
      <c r="D96" s="649">
        <f>IF(D82=0,0,D69/D82)</f>
        <v>51655.202383398399</v>
      </c>
      <c r="E96" s="649">
        <f>IF(E82=0,0,E69/E82)</f>
        <v>52524.710598357451</v>
      </c>
    </row>
    <row r="97" spans="1:5" ht="26.1" customHeight="1" x14ac:dyDescent="0.25">
      <c r="A97" s="639">
        <v>2</v>
      </c>
      <c r="B97" s="640" t="s">
        <v>963</v>
      </c>
      <c r="C97" s="649">
        <f>IF(C82=0,0,C70/C82)</f>
        <v>16047.255599748796</v>
      </c>
      <c r="D97" s="649">
        <f>IF(D82=0,0,D70/D82)</f>
        <v>14187.630984179166</v>
      </c>
      <c r="E97" s="649">
        <f>IF(E82=0,0,E70/E82)</f>
        <v>15593.816973015253</v>
      </c>
    </row>
    <row r="98" spans="1:5" ht="26.1" customHeight="1" x14ac:dyDescent="0.25">
      <c r="A98" s="650">
        <v>3</v>
      </c>
      <c r="B98" s="651" t="s">
        <v>964</v>
      </c>
      <c r="C98" s="654">
        <f>+C96+C97</f>
        <v>68523.573372409461</v>
      </c>
      <c r="D98" s="654">
        <f>+D96+D97</f>
        <v>65842.833367577565</v>
      </c>
      <c r="E98" s="654">
        <f>+E96+E97</f>
        <v>68118.527571372702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965</v>
      </c>
      <c r="B100" s="642" t="s">
        <v>966</v>
      </c>
    </row>
    <row r="101" spans="1:5" ht="26.1" customHeight="1" x14ac:dyDescent="0.25">
      <c r="A101" s="639">
        <v>1</v>
      </c>
      <c r="B101" s="640" t="s">
        <v>967</v>
      </c>
      <c r="C101" s="641">
        <f>IF(C83=0,0,C75/C83)</f>
        <v>58913.446248600223</v>
      </c>
      <c r="D101" s="641">
        <f>IF(D83=0,0,D75/D83)</f>
        <v>58810.268329041879</v>
      </c>
      <c r="E101" s="641">
        <f>IF(E83=0,0,E75/E83)</f>
        <v>58907.689726381002</v>
      </c>
    </row>
    <row r="102" spans="1:5" ht="26.1" customHeight="1" x14ac:dyDescent="0.25">
      <c r="A102" s="639">
        <v>2</v>
      </c>
      <c r="B102" s="640" t="s">
        <v>968</v>
      </c>
      <c r="C102" s="658">
        <f>IF(C83=0,0,C76/C83)</f>
        <v>18015.729283314671</v>
      </c>
      <c r="D102" s="658">
        <f>IF(D83=0,0,D76/D83)</f>
        <v>16152.843203686138</v>
      </c>
      <c r="E102" s="658">
        <f>IF(E83=0,0,E76/E83)</f>
        <v>17488.829375322664</v>
      </c>
    </row>
    <row r="103" spans="1:5" ht="26.1" customHeight="1" x14ac:dyDescent="0.25">
      <c r="A103" s="650">
        <v>3</v>
      </c>
      <c r="B103" s="651" t="s">
        <v>966</v>
      </c>
      <c r="C103" s="654">
        <f>+C101+C102</f>
        <v>76929.175531914894</v>
      </c>
      <c r="D103" s="654">
        <f>+D101+D102</f>
        <v>74963.111532728013</v>
      </c>
      <c r="E103" s="654">
        <f>+E101+E102</f>
        <v>76396.51910170367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969</v>
      </c>
      <c r="B107" s="634" t="s">
        <v>970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971</v>
      </c>
      <c r="C108" s="641">
        <f>IF(C19=0,0,C77/C19)</f>
        <v>2685.4729049596872</v>
      </c>
      <c r="D108" s="641">
        <f>IF(D19=0,0,D77/D19)</f>
        <v>2737.8380518709168</v>
      </c>
      <c r="E108" s="641">
        <f>IF(E19=0,0,E77/E19)</f>
        <v>3135.8350815850818</v>
      </c>
    </row>
    <row r="109" spans="1:5" ht="26.1" customHeight="1" x14ac:dyDescent="0.25">
      <c r="A109" s="639">
        <v>2</v>
      </c>
      <c r="B109" s="640" t="s">
        <v>972</v>
      </c>
      <c r="C109" s="641">
        <f>IF(C20=0,0,C77/C20)</f>
        <v>10202.005383330239</v>
      </c>
      <c r="D109" s="641">
        <f>IF(D20=0,0,D77/D20)</f>
        <v>9925.5840660326576</v>
      </c>
      <c r="E109" s="641">
        <f>IF(E20=0,0,E77/E20)</f>
        <v>11378.70492118416</v>
      </c>
    </row>
    <row r="110" spans="1:5" ht="26.1" customHeight="1" x14ac:dyDescent="0.25">
      <c r="A110" s="639">
        <v>3</v>
      </c>
      <c r="B110" s="640" t="s">
        <v>973</v>
      </c>
      <c r="C110" s="641">
        <f>IF(C22=0,0,C77/C22)</f>
        <v>941.01160455853471</v>
      </c>
      <c r="D110" s="641">
        <f>IF(D22=0,0,D77/D22)</f>
        <v>960.92884471614195</v>
      </c>
      <c r="E110" s="641">
        <f>IF(E22=0,0,E77/E22)</f>
        <v>1005.1231568093784</v>
      </c>
    </row>
    <row r="111" spans="1:5" ht="26.1" customHeight="1" x14ac:dyDescent="0.25">
      <c r="A111" s="639">
        <v>4</v>
      </c>
      <c r="B111" s="640" t="s">
        <v>974</v>
      </c>
      <c r="C111" s="641">
        <f>IF(C23=0,0,C77/C23)</f>
        <v>3574.8658784648997</v>
      </c>
      <c r="D111" s="641">
        <f>IF(D23=0,0,D77/D23)</f>
        <v>3483.6903604243553</v>
      </c>
      <c r="E111" s="641">
        <f>IF(E23=0,0,E77/E23)</f>
        <v>3647.1942921825889</v>
      </c>
    </row>
    <row r="112" spans="1:5" ht="26.1" customHeight="1" x14ac:dyDescent="0.25">
      <c r="A112" s="639">
        <v>5</v>
      </c>
      <c r="B112" s="640" t="s">
        <v>975</v>
      </c>
      <c r="C112" s="641">
        <f>IF(C29=0,0,C77/C29)</f>
        <v>1064.3774566698048</v>
      </c>
      <c r="D112" s="641">
        <f>IF(D29=0,0,D77/D29)</f>
        <v>1041.8583769248426</v>
      </c>
      <c r="E112" s="641">
        <f>IF(E29=0,0,E77/E29)</f>
        <v>1100.0818313844136</v>
      </c>
    </row>
    <row r="113" spans="1:7" ht="25.5" customHeight="1" x14ac:dyDescent="0.25">
      <c r="A113" s="639">
        <v>6</v>
      </c>
      <c r="B113" s="640" t="s">
        <v>976</v>
      </c>
      <c r="C113" s="641">
        <f>IF(C30=0,0,C77/C30)</f>
        <v>4043.5278727951654</v>
      </c>
      <c r="D113" s="641">
        <f>IF(D30=0,0,D77/D30)</f>
        <v>3777.0871429014037</v>
      </c>
      <c r="E113" s="641">
        <f>IF(E30=0,0,E77/E30)</f>
        <v>3991.7617549427514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r:id="rId1"/>
  <headerFooter>
    <oddHeader>&amp;L&amp;12OFFICE OF HEALTH CARE ACCESS&amp;C&amp;12TWELVE MONTHS ACTUAL FILING&amp;R&amp;12DAY KIMBALL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165561002</v>
      </c>
      <c r="D12" s="51">
        <v>168847093</v>
      </c>
      <c r="E12" s="51">
        <f t="shared" ref="E12:E19" si="0">D12-C12</f>
        <v>3286091</v>
      </c>
      <c r="F12" s="70">
        <f t="shared" ref="F12:F19" si="1">IF(C12=0,0,E12/C12)</f>
        <v>1.9848218845643372E-2</v>
      </c>
    </row>
    <row r="13" spans="1:8" ht="23.1" customHeight="1" x14ac:dyDescent="0.2">
      <c r="A13" s="25">
        <v>2</v>
      </c>
      <c r="B13" s="48" t="s">
        <v>72</v>
      </c>
      <c r="C13" s="51">
        <v>68355481</v>
      </c>
      <c r="D13" s="51">
        <v>66803878</v>
      </c>
      <c r="E13" s="51">
        <f t="shared" si="0"/>
        <v>-1551603</v>
      </c>
      <c r="F13" s="70">
        <f t="shared" si="1"/>
        <v>-2.2699028333953205E-2</v>
      </c>
    </row>
    <row r="14" spans="1:8" ht="23.1" customHeight="1" x14ac:dyDescent="0.2">
      <c r="A14" s="25">
        <v>3</v>
      </c>
      <c r="B14" s="48" t="s">
        <v>73</v>
      </c>
      <c r="C14" s="51">
        <v>1210237</v>
      </c>
      <c r="D14" s="51">
        <v>1391261</v>
      </c>
      <c r="E14" s="51">
        <f t="shared" si="0"/>
        <v>181024</v>
      </c>
      <c r="F14" s="70">
        <f t="shared" si="1"/>
        <v>0.14957731419548403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95995284</v>
      </c>
      <c r="D16" s="27">
        <f>D12-D13-D14-D15</f>
        <v>100651954</v>
      </c>
      <c r="E16" s="27">
        <f t="shared" si="0"/>
        <v>4656670</v>
      </c>
      <c r="F16" s="28">
        <f t="shared" si="1"/>
        <v>4.8509362189084207E-2</v>
      </c>
    </row>
    <row r="17" spans="1:7" ht="23.1" customHeight="1" x14ac:dyDescent="0.2">
      <c r="A17" s="25">
        <v>5</v>
      </c>
      <c r="B17" s="48" t="s">
        <v>76</v>
      </c>
      <c r="C17" s="51">
        <v>2788759</v>
      </c>
      <c r="D17" s="51">
        <v>2972027</v>
      </c>
      <c r="E17" s="51">
        <f t="shared" si="0"/>
        <v>183268</v>
      </c>
      <c r="F17" s="70">
        <f t="shared" si="1"/>
        <v>6.5716686167574895E-2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197268</v>
      </c>
      <c r="D18" s="51">
        <v>307931</v>
      </c>
      <c r="E18" s="51">
        <f t="shared" si="0"/>
        <v>110663</v>
      </c>
      <c r="F18" s="70">
        <f t="shared" si="1"/>
        <v>0.56097795891883129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98981311</v>
      </c>
      <c r="D19" s="27">
        <f>SUM(D16:D18)</f>
        <v>103931912</v>
      </c>
      <c r="E19" s="27">
        <f t="shared" si="0"/>
        <v>4950601</v>
      </c>
      <c r="F19" s="28">
        <f t="shared" si="1"/>
        <v>5.0015512524379475E-2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43396097</v>
      </c>
      <c r="D22" s="51">
        <v>45641678</v>
      </c>
      <c r="E22" s="51">
        <f t="shared" ref="E22:E31" si="2">D22-C22</f>
        <v>2245581</v>
      </c>
      <c r="F22" s="70">
        <f t="shared" ref="F22:F31" si="3">IF(C22=0,0,E22/C22)</f>
        <v>5.1746151272544165E-2</v>
      </c>
    </row>
    <row r="23" spans="1:7" ht="23.1" customHeight="1" x14ac:dyDescent="0.2">
      <c r="A23" s="25">
        <v>2</v>
      </c>
      <c r="B23" s="48" t="s">
        <v>81</v>
      </c>
      <c r="C23" s="51">
        <v>11919183</v>
      </c>
      <c r="D23" s="51">
        <v>13550345</v>
      </c>
      <c r="E23" s="51">
        <f t="shared" si="2"/>
        <v>1631162</v>
      </c>
      <c r="F23" s="70">
        <f t="shared" si="3"/>
        <v>0.13685182952556396</v>
      </c>
    </row>
    <row r="24" spans="1:7" ht="23.1" customHeight="1" x14ac:dyDescent="0.2">
      <c r="A24" s="25">
        <v>3</v>
      </c>
      <c r="B24" s="48" t="s">
        <v>82</v>
      </c>
      <c r="C24" s="51">
        <v>2143583</v>
      </c>
      <c r="D24" s="51">
        <v>2019693</v>
      </c>
      <c r="E24" s="51">
        <f t="shared" si="2"/>
        <v>-123890</v>
      </c>
      <c r="F24" s="70">
        <f t="shared" si="3"/>
        <v>-5.7795755984256264E-2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13853178</v>
      </c>
      <c r="D25" s="51">
        <v>13591807</v>
      </c>
      <c r="E25" s="51">
        <f t="shared" si="2"/>
        <v>-261371</v>
      </c>
      <c r="F25" s="70">
        <f t="shared" si="3"/>
        <v>-1.8867223102164717E-2</v>
      </c>
    </row>
    <row r="26" spans="1:7" ht="23.1" customHeight="1" x14ac:dyDescent="0.2">
      <c r="A26" s="25">
        <v>5</v>
      </c>
      <c r="B26" s="48" t="s">
        <v>84</v>
      </c>
      <c r="C26" s="51">
        <v>4490815</v>
      </c>
      <c r="D26" s="51">
        <v>4508893</v>
      </c>
      <c r="E26" s="51">
        <f t="shared" si="2"/>
        <v>18078</v>
      </c>
      <c r="F26" s="70">
        <f t="shared" si="3"/>
        <v>4.0255499280197468E-3</v>
      </c>
    </row>
    <row r="27" spans="1:7" ht="23.1" customHeight="1" x14ac:dyDescent="0.2">
      <c r="A27" s="25">
        <v>6</v>
      </c>
      <c r="B27" s="48" t="s">
        <v>85</v>
      </c>
      <c r="C27" s="51">
        <v>3538352</v>
      </c>
      <c r="D27" s="51">
        <v>3376899</v>
      </c>
      <c r="E27" s="51">
        <f t="shared" si="2"/>
        <v>-161453</v>
      </c>
      <c r="F27" s="70">
        <f t="shared" si="3"/>
        <v>-4.5629434267704286E-2</v>
      </c>
    </row>
    <row r="28" spans="1:7" ht="23.1" customHeight="1" x14ac:dyDescent="0.2">
      <c r="A28" s="25">
        <v>7</v>
      </c>
      <c r="B28" s="48" t="s">
        <v>86</v>
      </c>
      <c r="C28" s="51">
        <v>712804</v>
      </c>
      <c r="D28" s="51">
        <v>759641</v>
      </c>
      <c r="E28" s="51">
        <f t="shared" si="2"/>
        <v>46837</v>
      </c>
      <c r="F28" s="70">
        <f t="shared" si="3"/>
        <v>6.5708104892789609E-2</v>
      </c>
    </row>
    <row r="29" spans="1:7" ht="23.1" customHeight="1" x14ac:dyDescent="0.2">
      <c r="A29" s="25">
        <v>8</v>
      </c>
      <c r="B29" s="48" t="s">
        <v>87</v>
      </c>
      <c r="C29" s="51">
        <v>1253684</v>
      </c>
      <c r="D29" s="51">
        <v>1269030</v>
      </c>
      <c r="E29" s="51">
        <f t="shared" si="2"/>
        <v>15346</v>
      </c>
      <c r="F29" s="70">
        <f t="shared" si="3"/>
        <v>1.2240724137821015E-2</v>
      </c>
    </row>
    <row r="30" spans="1:7" ht="23.1" customHeight="1" x14ac:dyDescent="0.2">
      <c r="A30" s="25">
        <v>9</v>
      </c>
      <c r="B30" s="48" t="s">
        <v>88</v>
      </c>
      <c r="C30" s="51">
        <v>15455908</v>
      </c>
      <c r="D30" s="51">
        <v>15693953</v>
      </c>
      <c r="E30" s="51">
        <f t="shared" si="2"/>
        <v>238045</v>
      </c>
      <c r="F30" s="70">
        <f t="shared" si="3"/>
        <v>1.540155389123693E-2</v>
      </c>
    </row>
    <row r="31" spans="1:7" ht="23.1" customHeight="1" x14ac:dyDescent="0.25">
      <c r="A31" s="29"/>
      <c r="B31" s="71" t="s">
        <v>89</v>
      </c>
      <c r="C31" s="27">
        <f>SUM(C22:C30)</f>
        <v>96763604</v>
      </c>
      <c r="D31" s="27">
        <f>SUM(D22:D30)</f>
        <v>100411939</v>
      </c>
      <c r="E31" s="27">
        <f t="shared" si="2"/>
        <v>3648335</v>
      </c>
      <c r="F31" s="28">
        <f t="shared" si="3"/>
        <v>3.770358739428515E-2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2217707</v>
      </c>
      <c r="D33" s="27">
        <f>+D19-D31</f>
        <v>3519973</v>
      </c>
      <c r="E33" s="27">
        <f>D33-C33</f>
        <v>1302266</v>
      </c>
      <c r="F33" s="28">
        <f>IF(C33=0,0,E33/C33)</f>
        <v>0.58721282838535482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93880</v>
      </c>
      <c r="D36" s="51">
        <v>90377</v>
      </c>
      <c r="E36" s="51">
        <f>D36-C36</f>
        <v>-3503</v>
      </c>
      <c r="F36" s="70">
        <f>IF(C36=0,0,E36/C36)</f>
        <v>-3.7313591819343843E-2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-751585</v>
      </c>
      <c r="D38" s="51">
        <v>516895</v>
      </c>
      <c r="E38" s="51">
        <f>D38-C38</f>
        <v>1268480</v>
      </c>
      <c r="F38" s="70">
        <f>IF(C38=0,0,E38/C38)</f>
        <v>-1.6877399096575902</v>
      </c>
    </row>
    <row r="39" spans="1:6" ht="23.1" customHeight="1" x14ac:dyDescent="0.25">
      <c r="A39" s="20"/>
      <c r="B39" s="71" t="s">
        <v>95</v>
      </c>
      <c r="C39" s="27">
        <f>SUM(C36:C38)</f>
        <v>-657705</v>
      </c>
      <c r="D39" s="27">
        <f>SUM(D36:D38)</f>
        <v>607272</v>
      </c>
      <c r="E39" s="27">
        <f>D39-C39</f>
        <v>1264977</v>
      </c>
      <c r="F39" s="28">
        <f>IF(C39=0,0,E39/C39)</f>
        <v>-1.9233197254088079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1560002</v>
      </c>
      <c r="D41" s="27">
        <f>D33+D39</f>
        <v>4127245</v>
      </c>
      <c r="E41" s="27">
        <f>D41-C41</f>
        <v>2567243</v>
      </c>
      <c r="F41" s="28">
        <f>IF(C41=0,0,E41/C41)</f>
        <v>1.6456664799147693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1560002</v>
      </c>
      <c r="D48" s="27">
        <f>D41+D46</f>
        <v>4127245</v>
      </c>
      <c r="E48" s="27">
        <f>D48-C48</f>
        <v>2567243</v>
      </c>
      <c r="F48" s="28">
        <f>IF(C48=0,0,E48/C48)</f>
        <v>1.6456664799147693</v>
      </c>
    </row>
    <row r="49" spans="1:6" ht="23.1" customHeight="1" x14ac:dyDescent="0.2">
      <c r="A49" s="44"/>
      <c r="B49" s="48" t="s">
        <v>102</v>
      </c>
      <c r="C49" s="51">
        <v>500000</v>
      </c>
      <c r="D49" s="51">
        <v>530000</v>
      </c>
      <c r="E49" s="51">
        <f>D49-C49</f>
        <v>30000</v>
      </c>
      <c r="F49" s="70">
        <f>IF(C49=0,0,E49/C49)</f>
        <v>0.06</v>
      </c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FILING&amp;RDAY KIMBALL HOSPITAL</oddHeader>
    <oddFooter>&amp;LREPORT 150&amp;CPAGE &amp;P of &amp;N&amp;R&amp;D,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zoomScaleNormal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28092654</v>
      </c>
      <c r="D14" s="97">
        <v>24321791</v>
      </c>
      <c r="E14" s="97">
        <f t="shared" ref="E14:E25" si="0">D14-C14</f>
        <v>-3770863</v>
      </c>
      <c r="F14" s="98">
        <f t="shared" ref="F14:F25" si="1">IF(C14=0,0,E14/C14)</f>
        <v>-0.13422950355633897</v>
      </c>
    </row>
    <row r="15" spans="1:6" ht="18" customHeight="1" x14ac:dyDescent="0.25">
      <c r="A15" s="99">
        <v>2</v>
      </c>
      <c r="B15" s="100" t="s">
        <v>113</v>
      </c>
      <c r="C15" s="97">
        <v>3332580</v>
      </c>
      <c r="D15" s="97">
        <v>4024892</v>
      </c>
      <c r="E15" s="97">
        <f t="shared" si="0"/>
        <v>692312</v>
      </c>
      <c r="F15" s="98">
        <f t="shared" si="1"/>
        <v>0.20774054936415631</v>
      </c>
    </row>
    <row r="16" spans="1:6" ht="18" customHeight="1" x14ac:dyDescent="0.25">
      <c r="A16" s="99">
        <v>3</v>
      </c>
      <c r="B16" s="100" t="s">
        <v>114</v>
      </c>
      <c r="C16" s="97">
        <v>4676223</v>
      </c>
      <c r="D16" s="97">
        <v>5393111</v>
      </c>
      <c r="E16" s="97">
        <f t="shared" si="0"/>
        <v>716888</v>
      </c>
      <c r="F16" s="98">
        <f t="shared" si="1"/>
        <v>0.15330492151464975</v>
      </c>
    </row>
    <row r="17" spans="1:6" ht="18" customHeight="1" x14ac:dyDescent="0.25">
      <c r="A17" s="99">
        <v>4</v>
      </c>
      <c r="B17" s="100" t="s">
        <v>115</v>
      </c>
      <c r="C17" s="97">
        <v>3333916</v>
      </c>
      <c r="D17" s="97">
        <v>3820634</v>
      </c>
      <c r="E17" s="97">
        <f t="shared" si="0"/>
        <v>486718</v>
      </c>
      <c r="F17" s="98">
        <f t="shared" si="1"/>
        <v>0.14598988096880666</v>
      </c>
    </row>
    <row r="18" spans="1:6" ht="18" customHeight="1" x14ac:dyDescent="0.25">
      <c r="A18" s="99">
        <v>5</v>
      </c>
      <c r="B18" s="100" t="s">
        <v>116</v>
      </c>
      <c r="C18" s="97">
        <v>120481</v>
      </c>
      <c r="D18" s="97">
        <v>306112</v>
      </c>
      <c r="E18" s="97">
        <f t="shared" si="0"/>
        <v>185631</v>
      </c>
      <c r="F18" s="98">
        <f t="shared" si="1"/>
        <v>1.5407491637685611</v>
      </c>
    </row>
    <row r="19" spans="1:6" ht="18" customHeight="1" x14ac:dyDescent="0.25">
      <c r="A19" s="99">
        <v>6</v>
      </c>
      <c r="B19" s="100" t="s">
        <v>117</v>
      </c>
      <c r="C19" s="97">
        <v>15500907</v>
      </c>
      <c r="D19" s="97">
        <v>13754085</v>
      </c>
      <c r="E19" s="97">
        <f t="shared" si="0"/>
        <v>-1746822</v>
      </c>
      <c r="F19" s="98">
        <f t="shared" si="1"/>
        <v>-0.11269159927222323</v>
      </c>
    </row>
    <row r="20" spans="1:6" ht="18" customHeight="1" x14ac:dyDescent="0.25">
      <c r="A20" s="99">
        <v>7</v>
      </c>
      <c r="B20" s="100" t="s">
        <v>118</v>
      </c>
      <c r="C20" s="97">
        <v>0</v>
      </c>
      <c r="D20" s="97">
        <v>0</v>
      </c>
      <c r="E20" s="97">
        <f t="shared" si="0"/>
        <v>0</v>
      </c>
      <c r="F20" s="98">
        <f t="shared" si="1"/>
        <v>0</v>
      </c>
    </row>
    <row r="21" spans="1:6" ht="18" customHeight="1" x14ac:dyDescent="0.25">
      <c r="A21" s="99">
        <v>8</v>
      </c>
      <c r="B21" s="100" t="s">
        <v>119</v>
      </c>
      <c r="C21" s="97">
        <v>225408</v>
      </c>
      <c r="D21" s="97">
        <v>195883</v>
      </c>
      <c r="E21" s="97">
        <f t="shared" si="0"/>
        <v>-29525</v>
      </c>
      <c r="F21" s="98">
        <f t="shared" si="1"/>
        <v>-0.13098470329358319</v>
      </c>
    </row>
    <row r="22" spans="1:6" ht="18" customHeight="1" x14ac:dyDescent="0.25">
      <c r="A22" s="99">
        <v>9</v>
      </c>
      <c r="B22" s="100" t="s">
        <v>120</v>
      </c>
      <c r="C22" s="97">
        <v>1028632</v>
      </c>
      <c r="D22" s="97">
        <v>1207338</v>
      </c>
      <c r="E22" s="97">
        <f t="shared" si="0"/>
        <v>178706</v>
      </c>
      <c r="F22" s="98">
        <f t="shared" si="1"/>
        <v>0.17373171357686715</v>
      </c>
    </row>
    <row r="23" spans="1:6" ht="18" customHeight="1" x14ac:dyDescent="0.25">
      <c r="A23" s="99">
        <v>10</v>
      </c>
      <c r="B23" s="100" t="s">
        <v>121</v>
      </c>
      <c r="C23" s="97">
        <v>1797947</v>
      </c>
      <c r="D23" s="97">
        <v>1096386</v>
      </c>
      <c r="E23" s="97">
        <f t="shared" si="0"/>
        <v>-701561</v>
      </c>
      <c r="F23" s="98">
        <f t="shared" si="1"/>
        <v>-0.39020115720874976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58108748</v>
      </c>
      <c r="D25" s="103">
        <f>SUM(D14:D24)</f>
        <v>54120232</v>
      </c>
      <c r="E25" s="103">
        <f t="shared" si="0"/>
        <v>-3988516</v>
      </c>
      <c r="F25" s="104">
        <f t="shared" si="1"/>
        <v>-6.863882181732775E-2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30050023</v>
      </c>
      <c r="D27" s="97">
        <v>31202303</v>
      </c>
      <c r="E27" s="97">
        <f t="shared" ref="E27:E38" si="2">D27-C27</f>
        <v>1152280</v>
      </c>
      <c r="F27" s="98">
        <f t="shared" ref="F27:F38" si="3">IF(C27=0,0,E27/C27)</f>
        <v>3.8345394943624503E-2</v>
      </c>
    </row>
    <row r="28" spans="1:6" ht="18" customHeight="1" x14ac:dyDescent="0.25">
      <c r="A28" s="99">
        <v>2</v>
      </c>
      <c r="B28" s="100" t="s">
        <v>113</v>
      </c>
      <c r="C28" s="97">
        <v>4552545</v>
      </c>
      <c r="D28" s="97">
        <v>5188084</v>
      </c>
      <c r="E28" s="97">
        <f t="shared" si="2"/>
        <v>635539</v>
      </c>
      <c r="F28" s="98">
        <f t="shared" si="3"/>
        <v>0.13960081668605143</v>
      </c>
    </row>
    <row r="29" spans="1:6" ht="18" customHeight="1" x14ac:dyDescent="0.25">
      <c r="A29" s="99">
        <v>3</v>
      </c>
      <c r="B29" s="100" t="s">
        <v>114</v>
      </c>
      <c r="C29" s="97">
        <v>5145606</v>
      </c>
      <c r="D29" s="97">
        <v>6886664</v>
      </c>
      <c r="E29" s="97">
        <f t="shared" si="2"/>
        <v>1741058</v>
      </c>
      <c r="F29" s="98">
        <f t="shared" si="3"/>
        <v>0.33835820309600073</v>
      </c>
    </row>
    <row r="30" spans="1:6" ht="18" customHeight="1" x14ac:dyDescent="0.25">
      <c r="A30" s="99">
        <v>4</v>
      </c>
      <c r="B30" s="100" t="s">
        <v>115</v>
      </c>
      <c r="C30" s="97">
        <v>8853455</v>
      </c>
      <c r="D30" s="97">
        <v>11317722</v>
      </c>
      <c r="E30" s="97">
        <f t="shared" si="2"/>
        <v>2464267</v>
      </c>
      <c r="F30" s="98">
        <f t="shared" si="3"/>
        <v>0.27833958607120046</v>
      </c>
    </row>
    <row r="31" spans="1:6" ht="18" customHeight="1" x14ac:dyDescent="0.25">
      <c r="A31" s="99">
        <v>5</v>
      </c>
      <c r="B31" s="100" t="s">
        <v>116</v>
      </c>
      <c r="C31" s="97">
        <v>715569</v>
      </c>
      <c r="D31" s="97">
        <v>1082313</v>
      </c>
      <c r="E31" s="97">
        <f t="shared" si="2"/>
        <v>366744</v>
      </c>
      <c r="F31" s="98">
        <f t="shared" si="3"/>
        <v>0.51252080512151865</v>
      </c>
    </row>
    <row r="32" spans="1:6" ht="18" customHeight="1" x14ac:dyDescent="0.25">
      <c r="A32" s="99">
        <v>6</v>
      </c>
      <c r="B32" s="100" t="s">
        <v>117</v>
      </c>
      <c r="C32" s="97">
        <v>51030764</v>
      </c>
      <c r="D32" s="97">
        <v>53118263</v>
      </c>
      <c r="E32" s="97">
        <f t="shared" si="2"/>
        <v>2087499</v>
      </c>
      <c r="F32" s="98">
        <f t="shared" si="3"/>
        <v>4.0906677391700424E-2</v>
      </c>
    </row>
    <row r="33" spans="1:6" ht="18" customHeight="1" x14ac:dyDescent="0.25">
      <c r="A33" s="99">
        <v>7</v>
      </c>
      <c r="B33" s="100" t="s">
        <v>118</v>
      </c>
      <c r="C33" s="97">
        <v>0</v>
      </c>
      <c r="D33" s="97">
        <v>0</v>
      </c>
      <c r="E33" s="97">
        <f t="shared" si="2"/>
        <v>0</v>
      </c>
      <c r="F33" s="98">
        <f t="shared" si="3"/>
        <v>0</v>
      </c>
    </row>
    <row r="34" spans="1:6" ht="18" customHeight="1" x14ac:dyDescent="0.25">
      <c r="A34" s="99">
        <v>8</v>
      </c>
      <c r="B34" s="100" t="s">
        <v>119</v>
      </c>
      <c r="C34" s="97">
        <v>1630969</v>
      </c>
      <c r="D34" s="97">
        <v>1514836</v>
      </c>
      <c r="E34" s="97">
        <f t="shared" si="2"/>
        <v>-116133</v>
      </c>
      <c r="F34" s="98">
        <f t="shared" si="3"/>
        <v>-7.120490947406112E-2</v>
      </c>
    </row>
    <row r="35" spans="1:6" ht="18" customHeight="1" x14ac:dyDescent="0.25">
      <c r="A35" s="99">
        <v>9</v>
      </c>
      <c r="B35" s="100" t="s">
        <v>120</v>
      </c>
      <c r="C35" s="97">
        <v>2467936</v>
      </c>
      <c r="D35" s="97">
        <v>2592162</v>
      </c>
      <c r="E35" s="97">
        <f t="shared" si="2"/>
        <v>124226</v>
      </c>
      <c r="F35" s="98">
        <f t="shared" si="3"/>
        <v>5.0335989263903119E-2</v>
      </c>
    </row>
    <row r="36" spans="1:6" ht="18" customHeight="1" x14ac:dyDescent="0.25">
      <c r="A36" s="99">
        <v>10</v>
      </c>
      <c r="B36" s="100" t="s">
        <v>121</v>
      </c>
      <c r="C36" s="97">
        <v>3005386</v>
      </c>
      <c r="D36" s="97">
        <v>1824513</v>
      </c>
      <c r="E36" s="97">
        <f t="shared" si="2"/>
        <v>-1180873</v>
      </c>
      <c r="F36" s="98">
        <f t="shared" si="3"/>
        <v>-0.3929189129116859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107452253</v>
      </c>
      <c r="D38" s="103">
        <f>SUM(D27:D37)</f>
        <v>114726860</v>
      </c>
      <c r="E38" s="103">
        <f t="shared" si="2"/>
        <v>7274607</v>
      </c>
      <c r="F38" s="104">
        <f t="shared" si="3"/>
        <v>6.7700832666579822E-2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58142677</v>
      </c>
      <c r="D41" s="103">
        <f t="shared" si="4"/>
        <v>55524094</v>
      </c>
      <c r="E41" s="107">
        <f t="shared" ref="E41:E52" si="5">D41-C41</f>
        <v>-2618583</v>
      </c>
      <c r="F41" s="108">
        <f t="shared" ref="F41:F52" si="6">IF(C41=0,0,E41/C41)</f>
        <v>-4.5037193591894641E-2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7885125</v>
      </c>
      <c r="D42" s="103">
        <f t="shared" si="4"/>
        <v>9212976</v>
      </c>
      <c r="E42" s="107">
        <f t="shared" si="5"/>
        <v>1327851</v>
      </c>
      <c r="F42" s="108">
        <f t="shared" si="6"/>
        <v>0.16839948637466115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9821829</v>
      </c>
      <c r="D43" s="103">
        <f t="shared" si="4"/>
        <v>12279775</v>
      </c>
      <c r="E43" s="107">
        <f t="shared" si="5"/>
        <v>2457946</v>
      </c>
      <c r="F43" s="108">
        <f t="shared" si="6"/>
        <v>0.25025338966907285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12187371</v>
      </c>
      <c r="D44" s="103">
        <f t="shared" si="4"/>
        <v>15138356</v>
      </c>
      <c r="E44" s="107">
        <f t="shared" si="5"/>
        <v>2950985</v>
      </c>
      <c r="F44" s="108">
        <f t="shared" si="6"/>
        <v>0.2421346654664078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836050</v>
      </c>
      <c r="D45" s="103">
        <f t="shared" si="4"/>
        <v>1388425</v>
      </c>
      <c r="E45" s="107">
        <f t="shared" si="5"/>
        <v>552375</v>
      </c>
      <c r="F45" s="108">
        <f t="shared" si="6"/>
        <v>0.66069613061419774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66531671</v>
      </c>
      <c r="D46" s="103">
        <f t="shared" si="4"/>
        <v>66872348</v>
      </c>
      <c r="E46" s="107">
        <f t="shared" si="5"/>
        <v>340677</v>
      </c>
      <c r="F46" s="108">
        <f t="shared" si="6"/>
        <v>5.1205237277145797E-3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0</v>
      </c>
      <c r="D47" s="103">
        <f t="shared" si="4"/>
        <v>0</v>
      </c>
      <c r="E47" s="107">
        <f t="shared" si="5"/>
        <v>0</v>
      </c>
      <c r="F47" s="108">
        <f t="shared" si="6"/>
        <v>0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1856377</v>
      </c>
      <c r="D48" s="103">
        <f t="shared" si="4"/>
        <v>1710719</v>
      </c>
      <c r="E48" s="107">
        <f t="shared" si="5"/>
        <v>-145658</v>
      </c>
      <c r="F48" s="108">
        <f t="shared" si="6"/>
        <v>-7.846358794576748E-2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3496568</v>
      </c>
      <c r="D49" s="103">
        <f t="shared" si="4"/>
        <v>3799500</v>
      </c>
      <c r="E49" s="107">
        <f t="shared" si="5"/>
        <v>302932</v>
      </c>
      <c r="F49" s="108">
        <f t="shared" si="6"/>
        <v>8.6636953721477741E-2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4803333</v>
      </c>
      <c r="D50" s="103">
        <f t="shared" si="4"/>
        <v>2920899</v>
      </c>
      <c r="E50" s="107">
        <f t="shared" si="5"/>
        <v>-1882434</v>
      </c>
      <c r="F50" s="108">
        <f t="shared" si="6"/>
        <v>-0.39190162331031392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165561001</v>
      </c>
      <c r="D52" s="112">
        <f>SUM(D41:D51)</f>
        <v>168847092</v>
      </c>
      <c r="E52" s="111">
        <f t="shared" si="5"/>
        <v>3286091</v>
      </c>
      <c r="F52" s="113">
        <f t="shared" si="6"/>
        <v>1.9848218965527999E-2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16220731</v>
      </c>
      <c r="D57" s="97">
        <v>16459156</v>
      </c>
      <c r="E57" s="97">
        <f t="shared" ref="E57:E68" si="7">D57-C57</f>
        <v>238425</v>
      </c>
      <c r="F57" s="98">
        <f t="shared" ref="F57:F68" si="8">IF(C57=0,0,E57/C57)</f>
        <v>1.4698782687414026E-2</v>
      </c>
    </row>
    <row r="58" spans="1:6" ht="18" customHeight="1" x14ac:dyDescent="0.25">
      <c r="A58" s="99">
        <v>2</v>
      </c>
      <c r="B58" s="100" t="s">
        <v>113</v>
      </c>
      <c r="C58" s="97">
        <v>1875946</v>
      </c>
      <c r="D58" s="97">
        <v>2225226</v>
      </c>
      <c r="E58" s="97">
        <f t="shared" si="7"/>
        <v>349280</v>
      </c>
      <c r="F58" s="98">
        <f t="shared" si="8"/>
        <v>0.18618872824697513</v>
      </c>
    </row>
    <row r="59" spans="1:6" ht="18" customHeight="1" x14ac:dyDescent="0.25">
      <c r="A59" s="99">
        <v>3</v>
      </c>
      <c r="B59" s="100" t="s">
        <v>114</v>
      </c>
      <c r="C59" s="97">
        <v>2401323</v>
      </c>
      <c r="D59" s="97">
        <v>2412528</v>
      </c>
      <c r="E59" s="97">
        <f t="shared" si="7"/>
        <v>11205</v>
      </c>
      <c r="F59" s="98">
        <f t="shared" si="8"/>
        <v>4.6661777695045604E-3</v>
      </c>
    </row>
    <row r="60" spans="1:6" ht="18" customHeight="1" x14ac:dyDescent="0.25">
      <c r="A60" s="99">
        <v>4</v>
      </c>
      <c r="B60" s="100" t="s">
        <v>115</v>
      </c>
      <c r="C60" s="97">
        <v>1607748</v>
      </c>
      <c r="D60" s="97">
        <v>1828922</v>
      </c>
      <c r="E60" s="97">
        <f t="shared" si="7"/>
        <v>221174</v>
      </c>
      <c r="F60" s="98">
        <f t="shared" si="8"/>
        <v>0.13756757899869881</v>
      </c>
    </row>
    <row r="61" spans="1:6" ht="18" customHeight="1" x14ac:dyDescent="0.25">
      <c r="A61" s="99">
        <v>5</v>
      </c>
      <c r="B61" s="100" t="s">
        <v>116</v>
      </c>
      <c r="C61" s="97">
        <v>52101</v>
      </c>
      <c r="D61" s="97">
        <v>179806</v>
      </c>
      <c r="E61" s="97">
        <f t="shared" si="7"/>
        <v>127705</v>
      </c>
      <c r="F61" s="98">
        <f t="shared" si="8"/>
        <v>2.451104585324658</v>
      </c>
    </row>
    <row r="62" spans="1:6" ht="18" customHeight="1" x14ac:dyDescent="0.25">
      <c r="A62" s="99">
        <v>6</v>
      </c>
      <c r="B62" s="100" t="s">
        <v>117</v>
      </c>
      <c r="C62" s="97">
        <v>8902555</v>
      </c>
      <c r="D62" s="97">
        <v>8596511</v>
      </c>
      <c r="E62" s="97">
        <f t="shared" si="7"/>
        <v>-306044</v>
      </c>
      <c r="F62" s="98">
        <f t="shared" si="8"/>
        <v>-3.4377097361375474E-2</v>
      </c>
    </row>
    <row r="63" spans="1:6" ht="18" customHeight="1" x14ac:dyDescent="0.25">
      <c r="A63" s="99">
        <v>7</v>
      </c>
      <c r="B63" s="100" t="s">
        <v>118</v>
      </c>
      <c r="C63" s="97">
        <v>0</v>
      </c>
      <c r="D63" s="97">
        <v>0</v>
      </c>
      <c r="E63" s="97">
        <f t="shared" si="7"/>
        <v>0</v>
      </c>
      <c r="F63" s="98">
        <f t="shared" si="8"/>
        <v>0</v>
      </c>
    </row>
    <row r="64" spans="1:6" ht="18" customHeight="1" x14ac:dyDescent="0.25">
      <c r="A64" s="99">
        <v>8</v>
      </c>
      <c r="B64" s="100" t="s">
        <v>119</v>
      </c>
      <c r="C64" s="97">
        <v>197190</v>
      </c>
      <c r="D64" s="97">
        <v>135767</v>
      </c>
      <c r="E64" s="97">
        <f t="shared" si="7"/>
        <v>-61423</v>
      </c>
      <c r="F64" s="98">
        <f t="shared" si="8"/>
        <v>-0.3114914549419342</v>
      </c>
    </row>
    <row r="65" spans="1:6" ht="18" customHeight="1" x14ac:dyDescent="0.25">
      <c r="A65" s="99">
        <v>9</v>
      </c>
      <c r="B65" s="100" t="s">
        <v>120</v>
      </c>
      <c r="C65" s="97">
        <v>52535</v>
      </c>
      <c r="D65" s="97">
        <v>50266</v>
      </c>
      <c r="E65" s="97">
        <f t="shared" si="7"/>
        <v>-2269</v>
      </c>
      <c r="F65" s="98">
        <f t="shared" si="8"/>
        <v>-4.3190254116303416E-2</v>
      </c>
    </row>
    <row r="66" spans="1:6" ht="18" customHeight="1" x14ac:dyDescent="0.25">
      <c r="A66" s="99">
        <v>10</v>
      </c>
      <c r="B66" s="100" t="s">
        <v>121</v>
      </c>
      <c r="C66" s="97">
        <v>372324</v>
      </c>
      <c r="D66" s="97">
        <v>246767</v>
      </c>
      <c r="E66" s="97">
        <f t="shared" si="7"/>
        <v>-125557</v>
      </c>
      <c r="F66" s="98">
        <f t="shared" si="8"/>
        <v>-0.33722510501606129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31682453</v>
      </c>
      <c r="D68" s="103">
        <f>SUM(D57:D67)</f>
        <v>32134949</v>
      </c>
      <c r="E68" s="103">
        <f t="shared" si="7"/>
        <v>452496</v>
      </c>
      <c r="F68" s="104">
        <f t="shared" si="8"/>
        <v>1.4282227452527113E-2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13913347</v>
      </c>
      <c r="D70" s="97">
        <v>15623156</v>
      </c>
      <c r="E70" s="97">
        <f t="shared" ref="E70:E81" si="9">D70-C70</f>
        <v>1709809</v>
      </c>
      <c r="F70" s="98">
        <f t="shared" ref="F70:F81" si="10">IF(C70=0,0,E70/C70)</f>
        <v>0.12288984095631339</v>
      </c>
    </row>
    <row r="71" spans="1:6" ht="18" customHeight="1" x14ac:dyDescent="0.25">
      <c r="A71" s="99">
        <v>2</v>
      </c>
      <c r="B71" s="100" t="s">
        <v>113</v>
      </c>
      <c r="C71" s="97">
        <v>2041476</v>
      </c>
      <c r="D71" s="97">
        <v>1854318</v>
      </c>
      <c r="E71" s="97">
        <f t="shared" si="9"/>
        <v>-187158</v>
      </c>
      <c r="F71" s="98">
        <f t="shared" si="10"/>
        <v>-9.1677786072429948E-2</v>
      </c>
    </row>
    <row r="72" spans="1:6" ht="18" customHeight="1" x14ac:dyDescent="0.25">
      <c r="A72" s="99">
        <v>3</v>
      </c>
      <c r="B72" s="100" t="s">
        <v>114</v>
      </c>
      <c r="C72" s="97">
        <v>1941901</v>
      </c>
      <c r="D72" s="97">
        <v>2285112</v>
      </c>
      <c r="E72" s="97">
        <f t="shared" si="9"/>
        <v>343211</v>
      </c>
      <c r="F72" s="98">
        <f t="shared" si="10"/>
        <v>0.1767396999126114</v>
      </c>
    </row>
    <row r="73" spans="1:6" ht="18" customHeight="1" x14ac:dyDescent="0.25">
      <c r="A73" s="99">
        <v>4</v>
      </c>
      <c r="B73" s="100" t="s">
        <v>115</v>
      </c>
      <c r="C73" s="97">
        <v>3864108</v>
      </c>
      <c r="D73" s="97">
        <v>4871635</v>
      </c>
      <c r="E73" s="97">
        <f t="shared" si="9"/>
        <v>1007527</v>
      </c>
      <c r="F73" s="98">
        <f t="shared" si="10"/>
        <v>0.26073986544889532</v>
      </c>
    </row>
    <row r="74" spans="1:6" ht="18" customHeight="1" x14ac:dyDescent="0.25">
      <c r="A74" s="99">
        <v>5</v>
      </c>
      <c r="B74" s="100" t="s">
        <v>116</v>
      </c>
      <c r="C74" s="97">
        <v>362147</v>
      </c>
      <c r="D74" s="97">
        <v>542788</v>
      </c>
      <c r="E74" s="97">
        <f t="shared" si="9"/>
        <v>180641</v>
      </c>
      <c r="F74" s="98">
        <f t="shared" si="10"/>
        <v>0.49880573358332392</v>
      </c>
    </row>
    <row r="75" spans="1:6" ht="18" customHeight="1" x14ac:dyDescent="0.25">
      <c r="A75" s="99">
        <v>6</v>
      </c>
      <c r="B75" s="100" t="s">
        <v>117</v>
      </c>
      <c r="C75" s="97">
        <v>36181237</v>
      </c>
      <c r="D75" s="97">
        <v>37307187</v>
      </c>
      <c r="E75" s="97">
        <f t="shared" si="9"/>
        <v>1125950</v>
      </c>
      <c r="F75" s="98">
        <f t="shared" si="10"/>
        <v>3.1119720975819595E-2</v>
      </c>
    </row>
    <row r="76" spans="1:6" ht="18" customHeight="1" x14ac:dyDescent="0.25">
      <c r="A76" s="99">
        <v>7</v>
      </c>
      <c r="B76" s="100" t="s">
        <v>118</v>
      </c>
      <c r="C76" s="97">
        <v>0</v>
      </c>
      <c r="D76" s="97">
        <v>0</v>
      </c>
      <c r="E76" s="97">
        <f t="shared" si="9"/>
        <v>0</v>
      </c>
      <c r="F76" s="98">
        <f t="shared" si="10"/>
        <v>0</v>
      </c>
    </row>
    <row r="77" spans="1:6" ht="18" customHeight="1" x14ac:dyDescent="0.25">
      <c r="A77" s="99">
        <v>8</v>
      </c>
      <c r="B77" s="100" t="s">
        <v>119</v>
      </c>
      <c r="C77" s="97">
        <v>1262732</v>
      </c>
      <c r="D77" s="97">
        <v>1232257</v>
      </c>
      <c r="E77" s="97">
        <f t="shared" si="9"/>
        <v>-30475</v>
      </c>
      <c r="F77" s="98">
        <f t="shared" si="10"/>
        <v>-2.4134178907321585E-2</v>
      </c>
    </row>
    <row r="78" spans="1:6" ht="18" customHeight="1" x14ac:dyDescent="0.25">
      <c r="A78" s="99">
        <v>9</v>
      </c>
      <c r="B78" s="100" t="s">
        <v>120</v>
      </c>
      <c r="C78" s="97">
        <v>159075</v>
      </c>
      <c r="D78" s="97">
        <v>125390</v>
      </c>
      <c r="E78" s="97">
        <f t="shared" si="9"/>
        <v>-33685</v>
      </c>
      <c r="F78" s="98">
        <f t="shared" si="10"/>
        <v>-0.21175546126041175</v>
      </c>
    </row>
    <row r="79" spans="1:6" ht="18" customHeight="1" x14ac:dyDescent="0.25">
      <c r="A79" s="99">
        <v>10</v>
      </c>
      <c r="B79" s="100" t="s">
        <v>121</v>
      </c>
      <c r="C79" s="97">
        <v>585115</v>
      </c>
      <c r="D79" s="97">
        <v>318194</v>
      </c>
      <c r="E79" s="97">
        <f t="shared" si="9"/>
        <v>-266921</v>
      </c>
      <c r="F79" s="98">
        <f t="shared" si="10"/>
        <v>-0.45618553617664903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60311138</v>
      </c>
      <c r="D81" s="103">
        <f>SUM(D70:D80)</f>
        <v>64160037</v>
      </c>
      <c r="E81" s="103">
        <f t="shared" si="9"/>
        <v>3848899</v>
      </c>
      <c r="F81" s="104">
        <f t="shared" si="10"/>
        <v>6.3817383117526313E-2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30134078</v>
      </c>
      <c r="D84" s="103">
        <f t="shared" si="11"/>
        <v>32082312</v>
      </c>
      <c r="E84" s="103">
        <f t="shared" ref="E84:E95" si="12">D84-C84</f>
        <v>1948234</v>
      </c>
      <c r="F84" s="104">
        <f t="shared" ref="F84:F95" si="13">IF(C84=0,0,E84/C84)</f>
        <v>6.4652185475858923E-2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3917422</v>
      </c>
      <c r="D85" s="103">
        <f t="shared" si="11"/>
        <v>4079544</v>
      </c>
      <c r="E85" s="103">
        <f t="shared" si="12"/>
        <v>162122</v>
      </c>
      <c r="F85" s="104">
        <f t="shared" si="13"/>
        <v>4.1384869947633927E-2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4343224</v>
      </c>
      <c r="D86" s="103">
        <f t="shared" si="11"/>
        <v>4697640</v>
      </c>
      <c r="E86" s="103">
        <f t="shared" si="12"/>
        <v>354416</v>
      </c>
      <c r="F86" s="104">
        <f t="shared" si="13"/>
        <v>8.160205414226851E-2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5471856</v>
      </c>
      <c r="D87" s="103">
        <f t="shared" si="11"/>
        <v>6700557</v>
      </c>
      <c r="E87" s="103">
        <f t="shared" si="12"/>
        <v>1228701</v>
      </c>
      <c r="F87" s="104">
        <f t="shared" si="13"/>
        <v>0.22454922059352439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414248</v>
      </c>
      <c r="D88" s="103">
        <f t="shared" si="11"/>
        <v>722594</v>
      </c>
      <c r="E88" s="103">
        <f t="shared" si="12"/>
        <v>308346</v>
      </c>
      <c r="F88" s="104">
        <f t="shared" si="13"/>
        <v>0.74435120990324632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45083792</v>
      </c>
      <c r="D89" s="103">
        <f t="shared" si="11"/>
        <v>45903698</v>
      </c>
      <c r="E89" s="103">
        <f t="shared" si="12"/>
        <v>819906</v>
      </c>
      <c r="F89" s="104">
        <f t="shared" si="13"/>
        <v>1.8186269690890242E-2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0</v>
      </c>
      <c r="D90" s="103">
        <f t="shared" si="11"/>
        <v>0</v>
      </c>
      <c r="E90" s="103">
        <f t="shared" si="12"/>
        <v>0</v>
      </c>
      <c r="F90" s="104">
        <f t="shared" si="13"/>
        <v>0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1459922</v>
      </c>
      <c r="D91" s="103">
        <f t="shared" si="11"/>
        <v>1368024</v>
      </c>
      <c r="E91" s="103">
        <f t="shared" si="12"/>
        <v>-91898</v>
      </c>
      <c r="F91" s="104">
        <f t="shared" si="13"/>
        <v>-6.2947198548963579E-2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211610</v>
      </c>
      <c r="D92" s="103">
        <f t="shared" si="11"/>
        <v>175656</v>
      </c>
      <c r="E92" s="103">
        <f t="shared" si="12"/>
        <v>-35954</v>
      </c>
      <c r="F92" s="104">
        <f t="shared" si="13"/>
        <v>-0.16990690421057605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957439</v>
      </c>
      <c r="D93" s="103">
        <f t="shared" si="11"/>
        <v>564961</v>
      </c>
      <c r="E93" s="103">
        <f t="shared" si="12"/>
        <v>-392478</v>
      </c>
      <c r="F93" s="104">
        <f t="shared" si="13"/>
        <v>-0.40992480983122687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91993591</v>
      </c>
      <c r="D95" s="112">
        <f>SUM(D84:D94)</f>
        <v>96294986</v>
      </c>
      <c r="E95" s="112">
        <f t="shared" si="12"/>
        <v>4301395</v>
      </c>
      <c r="F95" s="113">
        <f t="shared" si="13"/>
        <v>4.6757550751551809E-2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2292</v>
      </c>
      <c r="D100" s="117">
        <v>2019</v>
      </c>
      <c r="E100" s="117">
        <f t="shared" ref="E100:E111" si="14">D100-C100</f>
        <v>-273</v>
      </c>
      <c r="F100" s="98">
        <f t="shared" ref="F100:F111" si="15">IF(C100=0,0,E100/C100)</f>
        <v>-0.11910994764397906</v>
      </c>
    </row>
    <row r="101" spans="1:6" ht="18" customHeight="1" x14ac:dyDescent="0.25">
      <c r="A101" s="99">
        <v>2</v>
      </c>
      <c r="B101" s="100" t="s">
        <v>113</v>
      </c>
      <c r="C101" s="117">
        <v>279</v>
      </c>
      <c r="D101" s="117">
        <v>315</v>
      </c>
      <c r="E101" s="117">
        <f t="shared" si="14"/>
        <v>36</v>
      </c>
      <c r="F101" s="98">
        <f t="shared" si="15"/>
        <v>0.12903225806451613</v>
      </c>
    </row>
    <row r="102" spans="1:6" ht="18" customHeight="1" x14ac:dyDescent="0.25">
      <c r="A102" s="99">
        <v>3</v>
      </c>
      <c r="B102" s="100" t="s">
        <v>114</v>
      </c>
      <c r="C102" s="117">
        <v>340</v>
      </c>
      <c r="D102" s="117">
        <v>453</v>
      </c>
      <c r="E102" s="117">
        <f t="shared" si="14"/>
        <v>113</v>
      </c>
      <c r="F102" s="98">
        <f t="shared" si="15"/>
        <v>0.33235294117647057</v>
      </c>
    </row>
    <row r="103" spans="1:6" ht="18" customHeight="1" x14ac:dyDescent="0.25">
      <c r="A103" s="99">
        <v>4</v>
      </c>
      <c r="B103" s="100" t="s">
        <v>115</v>
      </c>
      <c r="C103" s="117">
        <v>531</v>
      </c>
      <c r="D103" s="117">
        <v>597</v>
      </c>
      <c r="E103" s="117">
        <f t="shared" si="14"/>
        <v>66</v>
      </c>
      <c r="F103" s="98">
        <f t="shared" si="15"/>
        <v>0.12429378531073447</v>
      </c>
    </row>
    <row r="104" spans="1:6" ht="18" customHeight="1" x14ac:dyDescent="0.25">
      <c r="A104" s="99">
        <v>5</v>
      </c>
      <c r="B104" s="100" t="s">
        <v>116</v>
      </c>
      <c r="C104" s="117">
        <v>13</v>
      </c>
      <c r="D104" s="117">
        <v>46</v>
      </c>
      <c r="E104" s="117">
        <f t="shared" si="14"/>
        <v>33</v>
      </c>
      <c r="F104" s="98">
        <f t="shared" si="15"/>
        <v>2.5384615384615383</v>
      </c>
    </row>
    <row r="105" spans="1:6" ht="18" customHeight="1" x14ac:dyDescent="0.25">
      <c r="A105" s="99">
        <v>6</v>
      </c>
      <c r="B105" s="100" t="s">
        <v>117</v>
      </c>
      <c r="C105" s="117">
        <v>1798</v>
      </c>
      <c r="D105" s="117">
        <v>1632</v>
      </c>
      <c r="E105" s="117">
        <f t="shared" si="14"/>
        <v>-166</v>
      </c>
      <c r="F105" s="98">
        <f t="shared" si="15"/>
        <v>-9.2324805339265847E-2</v>
      </c>
    </row>
    <row r="106" spans="1:6" ht="18" customHeight="1" x14ac:dyDescent="0.25">
      <c r="A106" s="99">
        <v>7</v>
      </c>
      <c r="B106" s="100" t="s">
        <v>118</v>
      </c>
      <c r="C106" s="117">
        <v>0</v>
      </c>
      <c r="D106" s="117">
        <v>0</v>
      </c>
      <c r="E106" s="117">
        <f t="shared" si="14"/>
        <v>0</v>
      </c>
      <c r="F106" s="98">
        <f t="shared" si="15"/>
        <v>0</v>
      </c>
    </row>
    <row r="107" spans="1:6" ht="18" customHeight="1" x14ac:dyDescent="0.25">
      <c r="A107" s="99">
        <v>8</v>
      </c>
      <c r="B107" s="100" t="s">
        <v>119</v>
      </c>
      <c r="C107" s="117">
        <v>149</v>
      </c>
      <c r="D107" s="117">
        <v>13</v>
      </c>
      <c r="E107" s="117">
        <f t="shared" si="14"/>
        <v>-136</v>
      </c>
      <c r="F107" s="98">
        <f t="shared" si="15"/>
        <v>-0.91275167785234901</v>
      </c>
    </row>
    <row r="108" spans="1:6" ht="18" customHeight="1" x14ac:dyDescent="0.25">
      <c r="A108" s="99">
        <v>9</v>
      </c>
      <c r="B108" s="100" t="s">
        <v>120</v>
      </c>
      <c r="C108" s="117">
        <v>72</v>
      </c>
      <c r="D108" s="117">
        <v>81</v>
      </c>
      <c r="E108" s="117">
        <f t="shared" si="14"/>
        <v>9</v>
      </c>
      <c r="F108" s="98">
        <f t="shared" si="15"/>
        <v>0.125</v>
      </c>
    </row>
    <row r="109" spans="1:6" ht="18" customHeight="1" x14ac:dyDescent="0.25">
      <c r="A109" s="99">
        <v>10</v>
      </c>
      <c r="B109" s="100" t="s">
        <v>121</v>
      </c>
      <c r="C109" s="117">
        <v>99</v>
      </c>
      <c r="D109" s="117">
        <v>46</v>
      </c>
      <c r="E109" s="117">
        <f t="shared" si="14"/>
        <v>-53</v>
      </c>
      <c r="F109" s="98">
        <f t="shared" si="15"/>
        <v>-0.53535353535353536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5573</v>
      </c>
      <c r="D111" s="118">
        <f>SUM(D100:D110)</f>
        <v>5202</v>
      </c>
      <c r="E111" s="118">
        <f t="shared" si="14"/>
        <v>-371</v>
      </c>
      <c r="F111" s="104">
        <f t="shared" si="15"/>
        <v>-6.6570967163107841E-2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9861</v>
      </c>
      <c r="D113" s="117">
        <v>8308</v>
      </c>
      <c r="E113" s="117">
        <f t="shared" ref="E113:E124" si="16">D113-C113</f>
        <v>-1553</v>
      </c>
      <c r="F113" s="98">
        <f t="shared" ref="F113:F124" si="17">IF(C113=0,0,E113/C113)</f>
        <v>-0.15748909846871514</v>
      </c>
    </row>
    <row r="114" spans="1:6" ht="18" customHeight="1" x14ac:dyDescent="0.25">
      <c r="A114" s="99">
        <v>2</v>
      </c>
      <c r="B114" s="100" t="s">
        <v>113</v>
      </c>
      <c r="C114" s="117">
        <v>971</v>
      </c>
      <c r="D114" s="117">
        <v>1214</v>
      </c>
      <c r="E114" s="117">
        <f t="shared" si="16"/>
        <v>243</v>
      </c>
      <c r="F114" s="98">
        <f t="shared" si="17"/>
        <v>0.25025746652935116</v>
      </c>
    </row>
    <row r="115" spans="1:6" ht="18" customHeight="1" x14ac:dyDescent="0.25">
      <c r="A115" s="99">
        <v>3</v>
      </c>
      <c r="B115" s="100" t="s">
        <v>114</v>
      </c>
      <c r="C115" s="117">
        <v>1685</v>
      </c>
      <c r="D115" s="117">
        <v>2140</v>
      </c>
      <c r="E115" s="117">
        <f t="shared" si="16"/>
        <v>455</v>
      </c>
      <c r="F115" s="98">
        <f t="shared" si="17"/>
        <v>0.27002967359050445</v>
      </c>
    </row>
    <row r="116" spans="1:6" ht="18" customHeight="1" x14ac:dyDescent="0.25">
      <c r="A116" s="99">
        <v>4</v>
      </c>
      <c r="B116" s="100" t="s">
        <v>115</v>
      </c>
      <c r="C116" s="117">
        <v>1251</v>
      </c>
      <c r="D116" s="117">
        <v>1307</v>
      </c>
      <c r="E116" s="117">
        <f t="shared" si="16"/>
        <v>56</v>
      </c>
      <c r="F116" s="98">
        <f t="shared" si="17"/>
        <v>4.4764188649080737E-2</v>
      </c>
    </row>
    <row r="117" spans="1:6" ht="18" customHeight="1" x14ac:dyDescent="0.25">
      <c r="A117" s="99">
        <v>5</v>
      </c>
      <c r="B117" s="100" t="s">
        <v>116</v>
      </c>
      <c r="C117" s="117">
        <v>41</v>
      </c>
      <c r="D117" s="117">
        <v>105</v>
      </c>
      <c r="E117" s="117">
        <f t="shared" si="16"/>
        <v>64</v>
      </c>
      <c r="F117" s="98">
        <f t="shared" si="17"/>
        <v>1.5609756097560976</v>
      </c>
    </row>
    <row r="118" spans="1:6" ht="18" customHeight="1" x14ac:dyDescent="0.25">
      <c r="A118" s="99">
        <v>6</v>
      </c>
      <c r="B118" s="100" t="s">
        <v>117</v>
      </c>
      <c r="C118" s="117">
        <v>5740</v>
      </c>
      <c r="D118" s="117">
        <v>5264</v>
      </c>
      <c r="E118" s="117">
        <f t="shared" si="16"/>
        <v>-476</v>
      </c>
      <c r="F118" s="98">
        <f t="shared" si="17"/>
        <v>-8.2926829268292687E-2</v>
      </c>
    </row>
    <row r="119" spans="1:6" ht="18" customHeight="1" x14ac:dyDescent="0.25">
      <c r="A119" s="99">
        <v>7</v>
      </c>
      <c r="B119" s="100" t="s">
        <v>118</v>
      </c>
      <c r="C119" s="117">
        <v>0</v>
      </c>
      <c r="D119" s="117">
        <v>0</v>
      </c>
      <c r="E119" s="117">
        <f t="shared" si="16"/>
        <v>0</v>
      </c>
      <c r="F119" s="98">
        <f t="shared" si="17"/>
        <v>0</v>
      </c>
    </row>
    <row r="120" spans="1:6" ht="18" customHeight="1" x14ac:dyDescent="0.25">
      <c r="A120" s="99">
        <v>8</v>
      </c>
      <c r="B120" s="100" t="s">
        <v>119</v>
      </c>
      <c r="C120" s="117">
        <v>47</v>
      </c>
      <c r="D120" s="117">
        <v>25</v>
      </c>
      <c r="E120" s="117">
        <f t="shared" si="16"/>
        <v>-22</v>
      </c>
      <c r="F120" s="98">
        <f t="shared" si="17"/>
        <v>-0.46808510638297873</v>
      </c>
    </row>
    <row r="121" spans="1:6" ht="18" customHeight="1" x14ac:dyDescent="0.25">
      <c r="A121" s="99">
        <v>9</v>
      </c>
      <c r="B121" s="100" t="s">
        <v>120</v>
      </c>
      <c r="C121" s="117">
        <v>204</v>
      </c>
      <c r="D121" s="117">
        <v>348</v>
      </c>
      <c r="E121" s="117">
        <f t="shared" si="16"/>
        <v>144</v>
      </c>
      <c r="F121" s="98">
        <f t="shared" si="17"/>
        <v>0.70588235294117652</v>
      </c>
    </row>
    <row r="122" spans="1:6" ht="18" customHeight="1" x14ac:dyDescent="0.25">
      <c r="A122" s="99">
        <v>10</v>
      </c>
      <c r="B122" s="100" t="s">
        <v>121</v>
      </c>
      <c r="C122" s="117">
        <v>404</v>
      </c>
      <c r="D122" s="117">
        <v>165</v>
      </c>
      <c r="E122" s="117">
        <f t="shared" si="16"/>
        <v>-239</v>
      </c>
      <c r="F122" s="98">
        <f t="shared" si="17"/>
        <v>-0.59158415841584155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20204</v>
      </c>
      <c r="D124" s="118">
        <f>SUM(D113:D123)</f>
        <v>18876</v>
      </c>
      <c r="E124" s="118">
        <f t="shared" si="16"/>
        <v>-1328</v>
      </c>
      <c r="F124" s="104">
        <f t="shared" si="17"/>
        <v>-6.5729558503266686E-2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101973</v>
      </c>
      <c r="D126" s="117">
        <v>91197</v>
      </c>
      <c r="E126" s="117">
        <f t="shared" ref="E126:E137" si="18">D126-C126</f>
        <v>-10776</v>
      </c>
      <c r="F126" s="98">
        <f t="shared" ref="F126:F137" si="19">IF(C126=0,0,E126/C126)</f>
        <v>-0.10567503162601866</v>
      </c>
    </row>
    <row r="127" spans="1:6" ht="18" customHeight="1" x14ac:dyDescent="0.25">
      <c r="A127" s="99">
        <v>2</v>
      </c>
      <c r="B127" s="100" t="s">
        <v>113</v>
      </c>
      <c r="C127" s="117">
        <v>10157</v>
      </c>
      <c r="D127" s="117">
        <v>11845</v>
      </c>
      <c r="E127" s="117">
        <f t="shared" si="18"/>
        <v>1688</v>
      </c>
      <c r="F127" s="98">
        <f t="shared" si="19"/>
        <v>0.16619080437136949</v>
      </c>
    </row>
    <row r="128" spans="1:6" ht="18" customHeight="1" x14ac:dyDescent="0.25">
      <c r="A128" s="99">
        <v>3</v>
      </c>
      <c r="B128" s="100" t="s">
        <v>114</v>
      </c>
      <c r="C128" s="117">
        <v>28605</v>
      </c>
      <c r="D128" s="117">
        <v>23266</v>
      </c>
      <c r="E128" s="117">
        <f t="shared" si="18"/>
        <v>-5339</v>
      </c>
      <c r="F128" s="98">
        <f t="shared" si="19"/>
        <v>-0.18664569131270756</v>
      </c>
    </row>
    <row r="129" spans="1:6" ht="18" customHeight="1" x14ac:dyDescent="0.25">
      <c r="A129" s="99">
        <v>4</v>
      </c>
      <c r="B129" s="100" t="s">
        <v>115</v>
      </c>
      <c r="C129" s="117">
        <v>30084</v>
      </c>
      <c r="D129" s="117">
        <v>35891</v>
      </c>
      <c r="E129" s="117">
        <f t="shared" si="18"/>
        <v>5807</v>
      </c>
      <c r="F129" s="98">
        <f t="shared" si="19"/>
        <v>0.19302619332535567</v>
      </c>
    </row>
    <row r="130" spans="1:6" ht="18" customHeight="1" x14ac:dyDescent="0.25">
      <c r="A130" s="99">
        <v>5</v>
      </c>
      <c r="B130" s="100" t="s">
        <v>116</v>
      </c>
      <c r="C130" s="117">
        <v>2665</v>
      </c>
      <c r="D130" s="117">
        <v>3359</v>
      </c>
      <c r="E130" s="117">
        <f t="shared" si="18"/>
        <v>694</v>
      </c>
      <c r="F130" s="98">
        <f t="shared" si="19"/>
        <v>0.26041275797373359</v>
      </c>
    </row>
    <row r="131" spans="1:6" ht="18" customHeight="1" x14ac:dyDescent="0.25">
      <c r="A131" s="99">
        <v>6</v>
      </c>
      <c r="B131" s="100" t="s">
        <v>117</v>
      </c>
      <c r="C131" s="117">
        <v>150980</v>
      </c>
      <c r="D131" s="117">
        <v>139672</v>
      </c>
      <c r="E131" s="117">
        <f t="shared" si="18"/>
        <v>-11308</v>
      </c>
      <c r="F131" s="98">
        <f t="shared" si="19"/>
        <v>-7.4897337395681551E-2</v>
      </c>
    </row>
    <row r="132" spans="1:6" ht="18" customHeight="1" x14ac:dyDescent="0.25">
      <c r="A132" s="99">
        <v>7</v>
      </c>
      <c r="B132" s="100" t="s">
        <v>118</v>
      </c>
      <c r="C132" s="117">
        <v>0</v>
      </c>
      <c r="D132" s="117">
        <v>0</v>
      </c>
      <c r="E132" s="117">
        <f t="shared" si="18"/>
        <v>0</v>
      </c>
      <c r="F132" s="98">
        <f t="shared" si="19"/>
        <v>0</v>
      </c>
    </row>
    <row r="133" spans="1:6" ht="18" customHeight="1" x14ac:dyDescent="0.25">
      <c r="A133" s="99">
        <v>8</v>
      </c>
      <c r="B133" s="100" t="s">
        <v>119</v>
      </c>
      <c r="C133" s="117">
        <v>2251</v>
      </c>
      <c r="D133" s="117">
        <v>1992</v>
      </c>
      <c r="E133" s="117">
        <f t="shared" si="18"/>
        <v>-259</v>
      </c>
      <c r="F133" s="98">
        <f t="shared" si="19"/>
        <v>-0.11505997334517992</v>
      </c>
    </row>
    <row r="134" spans="1:6" ht="18" customHeight="1" x14ac:dyDescent="0.25">
      <c r="A134" s="99">
        <v>9</v>
      </c>
      <c r="B134" s="100" t="s">
        <v>120</v>
      </c>
      <c r="C134" s="117">
        <v>6925</v>
      </c>
      <c r="D134" s="117">
        <v>6511</v>
      </c>
      <c r="E134" s="117">
        <f t="shared" si="18"/>
        <v>-414</v>
      </c>
      <c r="F134" s="98">
        <f t="shared" si="19"/>
        <v>-5.9783393501805053E-2</v>
      </c>
    </row>
    <row r="135" spans="1:6" ht="18" customHeight="1" x14ac:dyDescent="0.25">
      <c r="A135" s="99">
        <v>10</v>
      </c>
      <c r="B135" s="100" t="s">
        <v>121</v>
      </c>
      <c r="C135" s="117">
        <v>5191</v>
      </c>
      <c r="D135" s="117">
        <v>3160</v>
      </c>
      <c r="E135" s="117">
        <f t="shared" si="18"/>
        <v>-2031</v>
      </c>
      <c r="F135" s="98">
        <f t="shared" si="19"/>
        <v>-0.39125409362357927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338831</v>
      </c>
      <c r="D137" s="118">
        <f>SUM(D126:D136)</f>
        <v>316893</v>
      </c>
      <c r="E137" s="118">
        <f t="shared" si="18"/>
        <v>-21938</v>
      </c>
      <c r="F137" s="104">
        <f t="shared" si="19"/>
        <v>-6.4746141881941138E-2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4331270</v>
      </c>
      <c r="D142" s="97">
        <v>4560717</v>
      </c>
      <c r="E142" s="97">
        <f t="shared" ref="E142:E153" si="20">D142-C142</f>
        <v>229447</v>
      </c>
      <c r="F142" s="98">
        <f t="shared" ref="F142:F153" si="21">IF(C142=0,0,E142/C142)</f>
        <v>5.2974531719334049E-2</v>
      </c>
    </row>
    <row r="143" spans="1:6" ht="18" customHeight="1" x14ac:dyDescent="0.25">
      <c r="A143" s="99">
        <v>2</v>
      </c>
      <c r="B143" s="100" t="s">
        <v>113</v>
      </c>
      <c r="C143" s="97">
        <v>584597</v>
      </c>
      <c r="D143" s="97">
        <v>723010</v>
      </c>
      <c r="E143" s="97">
        <f t="shared" si="20"/>
        <v>138413</v>
      </c>
      <c r="F143" s="98">
        <f t="shared" si="21"/>
        <v>0.23676652463149828</v>
      </c>
    </row>
    <row r="144" spans="1:6" ht="18" customHeight="1" x14ac:dyDescent="0.25">
      <c r="A144" s="99">
        <v>3</v>
      </c>
      <c r="B144" s="100" t="s">
        <v>114</v>
      </c>
      <c r="C144" s="97">
        <v>1393810</v>
      </c>
      <c r="D144" s="97">
        <v>1891963</v>
      </c>
      <c r="E144" s="97">
        <f t="shared" si="20"/>
        <v>498153</v>
      </c>
      <c r="F144" s="98">
        <f t="shared" si="21"/>
        <v>0.35740380683163414</v>
      </c>
    </row>
    <row r="145" spans="1:6" ht="18" customHeight="1" x14ac:dyDescent="0.25">
      <c r="A145" s="99">
        <v>4</v>
      </c>
      <c r="B145" s="100" t="s">
        <v>115</v>
      </c>
      <c r="C145" s="97">
        <v>2940616</v>
      </c>
      <c r="D145" s="97">
        <v>3522987</v>
      </c>
      <c r="E145" s="97">
        <f t="shared" si="20"/>
        <v>582371</v>
      </c>
      <c r="F145" s="98">
        <f t="shared" si="21"/>
        <v>0.19804387924162828</v>
      </c>
    </row>
    <row r="146" spans="1:6" ht="18" customHeight="1" x14ac:dyDescent="0.25">
      <c r="A146" s="99">
        <v>5</v>
      </c>
      <c r="B146" s="100" t="s">
        <v>116</v>
      </c>
      <c r="C146" s="97">
        <v>171785</v>
      </c>
      <c r="D146" s="97">
        <v>257241</v>
      </c>
      <c r="E146" s="97">
        <f t="shared" si="20"/>
        <v>85456</v>
      </c>
      <c r="F146" s="98">
        <f t="shared" si="21"/>
        <v>0.49745903309369272</v>
      </c>
    </row>
    <row r="147" spans="1:6" ht="18" customHeight="1" x14ac:dyDescent="0.25">
      <c r="A147" s="99">
        <v>6</v>
      </c>
      <c r="B147" s="100" t="s">
        <v>117</v>
      </c>
      <c r="C147" s="97">
        <v>8291344</v>
      </c>
      <c r="D147" s="97">
        <v>8594501</v>
      </c>
      <c r="E147" s="97">
        <f t="shared" si="20"/>
        <v>303157</v>
      </c>
      <c r="F147" s="98">
        <f t="shared" si="21"/>
        <v>3.656307107749962E-2</v>
      </c>
    </row>
    <row r="148" spans="1:6" ht="18" customHeight="1" x14ac:dyDescent="0.25">
      <c r="A148" s="99">
        <v>7</v>
      </c>
      <c r="B148" s="100" t="s">
        <v>118</v>
      </c>
      <c r="C148" s="97">
        <v>0</v>
      </c>
      <c r="D148" s="97">
        <v>0</v>
      </c>
      <c r="E148" s="97">
        <f t="shared" si="20"/>
        <v>0</v>
      </c>
      <c r="F148" s="98">
        <f t="shared" si="21"/>
        <v>0</v>
      </c>
    </row>
    <row r="149" spans="1:6" ht="18" customHeight="1" x14ac:dyDescent="0.25">
      <c r="A149" s="99">
        <v>8</v>
      </c>
      <c r="B149" s="100" t="s">
        <v>119</v>
      </c>
      <c r="C149" s="97">
        <v>463236</v>
      </c>
      <c r="D149" s="97">
        <v>456256</v>
      </c>
      <c r="E149" s="97">
        <f t="shared" si="20"/>
        <v>-6980</v>
      </c>
      <c r="F149" s="98">
        <f t="shared" si="21"/>
        <v>-1.5067913547306341E-2</v>
      </c>
    </row>
    <row r="150" spans="1:6" ht="18" customHeight="1" x14ac:dyDescent="0.25">
      <c r="A150" s="99">
        <v>9</v>
      </c>
      <c r="B150" s="100" t="s">
        <v>120</v>
      </c>
      <c r="C150" s="97">
        <v>1650449</v>
      </c>
      <c r="D150" s="97">
        <v>1694553</v>
      </c>
      <c r="E150" s="97">
        <f t="shared" si="20"/>
        <v>44104</v>
      </c>
      <c r="F150" s="98">
        <f t="shared" si="21"/>
        <v>2.6722425230952303E-2</v>
      </c>
    </row>
    <row r="151" spans="1:6" ht="18" customHeight="1" x14ac:dyDescent="0.25">
      <c r="A151" s="99">
        <v>10</v>
      </c>
      <c r="B151" s="100" t="s">
        <v>121</v>
      </c>
      <c r="C151" s="97">
        <v>1281080</v>
      </c>
      <c r="D151" s="97">
        <v>763095</v>
      </c>
      <c r="E151" s="97">
        <f t="shared" si="20"/>
        <v>-517985</v>
      </c>
      <c r="F151" s="98">
        <f t="shared" si="21"/>
        <v>-0.40433462391107505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21108187</v>
      </c>
      <c r="D153" s="103">
        <f>SUM(D142:D152)</f>
        <v>22464323</v>
      </c>
      <c r="E153" s="103">
        <f t="shared" si="20"/>
        <v>1356136</v>
      </c>
      <c r="F153" s="104">
        <f t="shared" si="21"/>
        <v>6.4246919927324883E-2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1695687</v>
      </c>
      <c r="D155" s="97">
        <v>1756003</v>
      </c>
      <c r="E155" s="97">
        <f t="shared" ref="E155:E166" si="22">D155-C155</f>
        <v>60316</v>
      </c>
      <c r="F155" s="98">
        <f t="shared" ref="F155:F166" si="23">IF(C155=0,0,E155/C155)</f>
        <v>3.557024380089014E-2</v>
      </c>
    </row>
    <row r="156" spans="1:6" ht="18" customHeight="1" x14ac:dyDescent="0.25">
      <c r="A156" s="99">
        <v>2</v>
      </c>
      <c r="B156" s="100" t="s">
        <v>113</v>
      </c>
      <c r="C156" s="97">
        <v>225861</v>
      </c>
      <c r="D156" s="97">
        <v>253625</v>
      </c>
      <c r="E156" s="97">
        <f t="shared" si="22"/>
        <v>27764</v>
      </c>
      <c r="F156" s="98">
        <f t="shared" si="23"/>
        <v>0.12292516193588092</v>
      </c>
    </row>
    <row r="157" spans="1:6" ht="18" customHeight="1" x14ac:dyDescent="0.25">
      <c r="A157" s="99">
        <v>3</v>
      </c>
      <c r="B157" s="100" t="s">
        <v>114</v>
      </c>
      <c r="C157" s="97">
        <v>386072</v>
      </c>
      <c r="D157" s="97">
        <v>570276</v>
      </c>
      <c r="E157" s="97">
        <f t="shared" si="22"/>
        <v>184204</v>
      </c>
      <c r="F157" s="98">
        <f t="shared" si="23"/>
        <v>0.47712343811517022</v>
      </c>
    </row>
    <row r="158" spans="1:6" ht="18" customHeight="1" x14ac:dyDescent="0.25">
      <c r="A158" s="99">
        <v>4</v>
      </c>
      <c r="B158" s="100" t="s">
        <v>115</v>
      </c>
      <c r="C158" s="97">
        <v>1139740</v>
      </c>
      <c r="D158" s="97">
        <v>1333341</v>
      </c>
      <c r="E158" s="97">
        <f t="shared" si="22"/>
        <v>193601</v>
      </c>
      <c r="F158" s="98">
        <f t="shared" si="23"/>
        <v>0.16986417954972186</v>
      </c>
    </row>
    <row r="159" spans="1:6" ht="18" customHeight="1" x14ac:dyDescent="0.25">
      <c r="A159" s="99">
        <v>5</v>
      </c>
      <c r="B159" s="100" t="s">
        <v>116</v>
      </c>
      <c r="C159" s="97">
        <v>83307</v>
      </c>
      <c r="D159" s="97">
        <v>125379</v>
      </c>
      <c r="E159" s="97">
        <f t="shared" si="22"/>
        <v>42072</v>
      </c>
      <c r="F159" s="98">
        <f t="shared" si="23"/>
        <v>0.5050235874536354</v>
      </c>
    </row>
    <row r="160" spans="1:6" ht="18" customHeight="1" x14ac:dyDescent="0.25">
      <c r="A160" s="99">
        <v>6</v>
      </c>
      <c r="B160" s="100" t="s">
        <v>117</v>
      </c>
      <c r="C160" s="97">
        <v>6617188</v>
      </c>
      <c r="D160" s="97">
        <v>6887193</v>
      </c>
      <c r="E160" s="97">
        <f t="shared" si="22"/>
        <v>270005</v>
      </c>
      <c r="F160" s="98">
        <f t="shared" si="23"/>
        <v>4.0803586054982875E-2</v>
      </c>
    </row>
    <row r="161" spans="1:6" ht="18" customHeight="1" x14ac:dyDescent="0.25">
      <c r="A161" s="99">
        <v>7</v>
      </c>
      <c r="B161" s="100" t="s">
        <v>118</v>
      </c>
      <c r="C161" s="97">
        <v>0</v>
      </c>
      <c r="D161" s="97">
        <v>0</v>
      </c>
      <c r="E161" s="97">
        <f t="shared" si="22"/>
        <v>0</v>
      </c>
      <c r="F161" s="98">
        <f t="shared" si="23"/>
        <v>0</v>
      </c>
    </row>
    <row r="162" spans="1:6" ht="18" customHeight="1" x14ac:dyDescent="0.25">
      <c r="A162" s="99">
        <v>8</v>
      </c>
      <c r="B162" s="100" t="s">
        <v>119</v>
      </c>
      <c r="C162" s="97">
        <v>407970</v>
      </c>
      <c r="D162" s="97">
        <v>405253</v>
      </c>
      <c r="E162" s="97">
        <f t="shared" si="22"/>
        <v>-2717</v>
      </c>
      <c r="F162" s="98">
        <f t="shared" si="23"/>
        <v>-6.6598034169179105E-3</v>
      </c>
    </row>
    <row r="163" spans="1:6" ht="18" customHeight="1" x14ac:dyDescent="0.25">
      <c r="A163" s="99">
        <v>9</v>
      </c>
      <c r="B163" s="100" t="s">
        <v>120</v>
      </c>
      <c r="C163" s="97">
        <v>1312590</v>
      </c>
      <c r="D163" s="97">
        <v>1021386</v>
      </c>
      <c r="E163" s="97">
        <f t="shared" si="22"/>
        <v>-291204</v>
      </c>
      <c r="F163" s="98">
        <f t="shared" si="23"/>
        <v>-0.22185450140561791</v>
      </c>
    </row>
    <row r="164" spans="1:6" ht="18" customHeight="1" x14ac:dyDescent="0.25">
      <c r="A164" s="99">
        <v>10</v>
      </c>
      <c r="B164" s="100" t="s">
        <v>121</v>
      </c>
      <c r="C164" s="97">
        <v>104915</v>
      </c>
      <c r="D164" s="97">
        <v>27603</v>
      </c>
      <c r="E164" s="97">
        <f t="shared" si="22"/>
        <v>-77312</v>
      </c>
      <c r="F164" s="98">
        <f t="shared" si="23"/>
        <v>-0.73690130105323359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11973330</v>
      </c>
      <c r="D166" s="103">
        <f>SUM(D155:D165)</f>
        <v>12380059</v>
      </c>
      <c r="E166" s="103">
        <f t="shared" si="22"/>
        <v>406729</v>
      </c>
      <c r="F166" s="104">
        <f t="shared" si="23"/>
        <v>3.3969580726497972E-2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4498</v>
      </c>
      <c r="D168" s="117">
        <v>4289</v>
      </c>
      <c r="E168" s="117">
        <f t="shared" ref="E168:E179" si="24">D168-C168</f>
        <v>-209</v>
      </c>
      <c r="F168" s="98">
        <f t="shared" ref="F168:F179" si="25">IF(C168=0,0,E168/C168)</f>
        <v>-4.6465095598043578E-2</v>
      </c>
    </row>
    <row r="169" spans="1:6" ht="18" customHeight="1" x14ac:dyDescent="0.25">
      <c r="A169" s="99">
        <v>2</v>
      </c>
      <c r="B169" s="100" t="s">
        <v>113</v>
      </c>
      <c r="C169" s="117">
        <v>616</v>
      </c>
      <c r="D169" s="117">
        <v>674</v>
      </c>
      <c r="E169" s="117">
        <f t="shared" si="24"/>
        <v>58</v>
      </c>
      <c r="F169" s="98">
        <f t="shared" si="25"/>
        <v>9.4155844155844159E-2</v>
      </c>
    </row>
    <row r="170" spans="1:6" ht="18" customHeight="1" x14ac:dyDescent="0.25">
      <c r="A170" s="99">
        <v>3</v>
      </c>
      <c r="B170" s="100" t="s">
        <v>114</v>
      </c>
      <c r="C170" s="117">
        <v>2167</v>
      </c>
      <c r="D170" s="117">
        <v>2381</v>
      </c>
      <c r="E170" s="117">
        <f t="shared" si="24"/>
        <v>214</v>
      </c>
      <c r="F170" s="98">
        <f t="shared" si="25"/>
        <v>9.8754037840332251E-2</v>
      </c>
    </row>
    <row r="171" spans="1:6" ht="18" customHeight="1" x14ac:dyDescent="0.25">
      <c r="A171" s="99">
        <v>4</v>
      </c>
      <c r="B171" s="100" t="s">
        <v>115</v>
      </c>
      <c r="C171" s="117">
        <v>5364</v>
      </c>
      <c r="D171" s="117">
        <v>7274</v>
      </c>
      <c r="E171" s="117">
        <f t="shared" si="24"/>
        <v>1910</v>
      </c>
      <c r="F171" s="98">
        <f t="shared" si="25"/>
        <v>0.35607755406413122</v>
      </c>
    </row>
    <row r="172" spans="1:6" ht="18" customHeight="1" x14ac:dyDescent="0.25">
      <c r="A172" s="99">
        <v>5</v>
      </c>
      <c r="B172" s="100" t="s">
        <v>116</v>
      </c>
      <c r="C172" s="117">
        <v>263</v>
      </c>
      <c r="D172" s="117">
        <v>383</v>
      </c>
      <c r="E172" s="117">
        <f t="shared" si="24"/>
        <v>120</v>
      </c>
      <c r="F172" s="98">
        <f t="shared" si="25"/>
        <v>0.45627376425855515</v>
      </c>
    </row>
    <row r="173" spans="1:6" ht="18" customHeight="1" x14ac:dyDescent="0.25">
      <c r="A173" s="99">
        <v>6</v>
      </c>
      <c r="B173" s="100" t="s">
        <v>117</v>
      </c>
      <c r="C173" s="117">
        <v>11083</v>
      </c>
      <c r="D173" s="117">
        <v>9565</v>
      </c>
      <c r="E173" s="117">
        <f t="shared" si="24"/>
        <v>-1518</v>
      </c>
      <c r="F173" s="98">
        <f t="shared" si="25"/>
        <v>-0.13696652530903186</v>
      </c>
    </row>
    <row r="174" spans="1:6" ht="18" customHeight="1" x14ac:dyDescent="0.25">
      <c r="A174" s="99">
        <v>7</v>
      </c>
      <c r="B174" s="100" t="s">
        <v>118</v>
      </c>
      <c r="C174" s="117">
        <v>0</v>
      </c>
      <c r="D174" s="117">
        <v>0</v>
      </c>
      <c r="E174" s="117">
        <f t="shared" si="24"/>
        <v>0</v>
      </c>
      <c r="F174" s="98">
        <f t="shared" si="25"/>
        <v>0</v>
      </c>
    </row>
    <row r="175" spans="1:6" ht="18" customHeight="1" x14ac:dyDescent="0.25">
      <c r="A175" s="99">
        <v>8</v>
      </c>
      <c r="B175" s="100" t="s">
        <v>119</v>
      </c>
      <c r="C175" s="117">
        <v>999</v>
      </c>
      <c r="D175" s="117">
        <v>831</v>
      </c>
      <c r="E175" s="117">
        <f t="shared" si="24"/>
        <v>-168</v>
      </c>
      <c r="F175" s="98">
        <f t="shared" si="25"/>
        <v>-0.16816816816816818</v>
      </c>
    </row>
    <row r="176" spans="1:6" ht="18" customHeight="1" x14ac:dyDescent="0.25">
      <c r="A176" s="99">
        <v>9</v>
      </c>
      <c r="B176" s="100" t="s">
        <v>120</v>
      </c>
      <c r="C176" s="117">
        <v>3401</v>
      </c>
      <c r="D176" s="117">
        <v>2301</v>
      </c>
      <c r="E176" s="117">
        <f t="shared" si="24"/>
        <v>-1100</v>
      </c>
      <c r="F176" s="98">
        <f t="shared" si="25"/>
        <v>-0.32343428403410762</v>
      </c>
    </row>
    <row r="177" spans="1:6" ht="18" customHeight="1" x14ac:dyDescent="0.25">
      <c r="A177" s="99">
        <v>10</v>
      </c>
      <c r="B177" s="100" t="s">
        <v>121</v>
      </c>
      <c r="C177" s="117">
        <v>1710</v>
      </c>
      <c r="D177" s="117">
        <v>952</v>
      </c>
      <c r="E177" s="117">
        <f t="shared" si="24"/>
        <v>-758</v>
      </c>
      <c r="F177" s="98">
        <f t="shared" si="25"/>
        <v>-0.4432748538011696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30101</v>
      </c>
      <c r="D179" s="118">
        <f>SUM(D168:D178)</f>
        <v>28650</v>
      </c>
      <c r="E179" s="118">
        <f t="shared" si="24"/>
        <v>-1451</v>
      </c>
      <c r="F179" s="104">
        <f t="shared" si="25"/>
        <v>-4.8204378592073355E-2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3" fitToHeight="2" orientation="portrait" r:id="rId1"/>
  <headerFooter>
    <oddHeader>&amp;LOFFICE OF HEALTH CARE ACCESS&amp;CTWELVE MONTHS ACTUAL FILING&amp;RDAY KIMBALL HOSPITAL</oddHeader>
    <oddFooter>&amp;LREPORT 165&amp;C&amp;P of &amp;N&amp;R&amp;D,&amp;T</oddFooter>
  </headerFooter>
  <rowBreaks count="2" manualBreakCount="2">
    <brk id="68" max="5" man="1"/>
    <brk id="12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zoomScaleNormal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23.5703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14709080</v>
      </c>
      <c r="D15" s="146">
        <v>15382127</v>
      </c>
      <c r="E15" s="146">
        <f>+D15-C15</f>
        <v>673047</v>
      </c>
      <c r="F15" s="150">
        <f>IF(C15=0,0,E15/C15)</f>
        <v>4.5757246544311403E-2</v>
      </c>
    </row>
    <row r="16" spans="1:7" ht="15" customHeight="1" x14ac:dyDescent="0.2">
      <c r="A16" s="141">
        <v>2</v>
      </c>
      <c r="B16" s="149" t="s">
        <v>158</v>
      </c>
      <c r="C16" s="146">
        <v>3546430</v>
      </c>
      <c r="D16" s="146">
        <v>3398414</v>
      </c>
      <c r="E16" s="146">
        <f>+D16-C16</f>
        <v>-148016</v>
      </c>
      <c r="F16" s="150">
        <f>IF(C16=0,0,E16/C16)</f>
        <v>-4.1736619642852107E-2</v>
      </c>
    </row>
    <row r="17" spans="1:7" ht="15" customHeight="1" x14ac:dyDescent="0.2">
      <c r="A17" s="141">
        <v>3</v>
      </c>
      <c r="B17" s="149" t="s">
        <v>159</v>
      </c>
      <c r="C17" s="146">
        <v>25140587</v>
      </c>
      <c r="D17" s="146">
        <v>26861137</v>
      </c>
      <c r="E17" s="146">
        <f>+D17-C17</f>
        <v>1720550</v>
      </c>
      <c r="F17" s="150">
        <f>IF(C17=0,0,E17/C17)</f>
        <v>6.8437145083366596E-2</v>
      </c>
    </row>
    <row r="18" spans="1:7" ht="15.75" customHeight="1" x14ac:dyDescent="0.25">
      <c r="A18" s="141"/>
      <c r="B18" s="151" t="s">
        <v>160</v>
      </c>
      <c r="C18" s="147">
        <f>SUM(C15:C17)</f>
        <v>43396097</v>
      </c>
      <c r="D18" s="147">
        <f>SUM(D15:D17)</f>
        <v>45641678</v>
      </c>
      <c r="E18" s="147">
        <f>+D18-C18</f>
        <v>2245581</v>
      </c>
      <c r="F18" s="148">
        <f>IF(C18=0,0,E18/C18)</f>
        <v>5.1746151272544165E-2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4040000</v>
      </c>
      <c r="D21" s="146">
        <v>4566728</v>
      </c>
      <c r="E21" s="146">
        <f>+D21-C21</f>
        <v>526728</v>
      </c>
      <c r="F21" s="150">
        <f>IF(C21=0,0,E21/C21)</f>
        <v>0.13037821782178219</v>
      </c>
    </row>
    <row r="22" spans="1:7" ht="15" customHeight="1" x14ac:dyDescent="0.2">
      <c r="A22" s="141">
        <v>2</v>
      </c>
      <c r="B22" s="149" t="s">
        <v>163</v>
      </c>
      <c r="C22" s="146">
        <v>974063</v>
      </c>
      <c r="D22" s="146">
        <v>1008939</v>
      </c>
      <c r="E22" s="146">
        <f>+D22-C22</f>
        <v>34876</v>
      </c>
      <c r="F22" s="150">
        <f>IF(C22=0,0,E22/C22)</f>
        <v>3.5804665611977871E-2</v>
      </c>
    </row>
    <row r="23" spans="1:7" ht="15" customHeight="1" x14ac:dyDescent="0.2">
      <c r="A23" s="141">
        <v>3</v>
      </c>
      <c r="B23" s="149" t="s">
        <v>164</v>
      </c>
      <c r="C23" s="146">
        <v>6905120</v>
      </c>
      <c r="D23" s="146">
        <v>7974678</v>
      </c>
      <c r="E23" s="146">
        <f>+D23-C23</f>
        <v>1069558</v>
      </c>
      <c r="F23" s="150">
        <f>IF(C23=0,0,E23/C23)</f>
        <v>0.15489347035243414</v>
      </c>
    </row>
    <row r="24" spans="1:7" ht="15.75" customHeight="1" x14ac:dyDescent="0.25">
      <c r="A24" s="141"/>
      <c r="B24" s="151" t="s">
        <v>165</v>
      </c>
      <c r="C24" s="147">
        <f>SUM(C21:C23)</f>
        <v>11919183</v>
      </c>
      <c r="D24" s="147">
        <f>SUM(D21:D23)</f>
        <v>13550345</v>
      </c>
      <c r="E24" s="147">
        <f>+D24-C24</f>
        <v>1631162</v>
      </c>
      <c r="F24" s="148">
        <f>IF(C24=0,0,E24/C24)</f>
        <v>0.13685182952556396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0</v>
      </c>
      <c r="D27" s="146">
        <v>0</v>
      </c>
      <c r="E27" s="146">
        <f>+D27-C27</f>
        <v>0</v>
      </c>
      <c r="F27" s="150">
        <f>IF(C27=0,0,E27/C27)</f>
        <v>0</v>
      </c>
    </row>
    <row r="28" spans="1:7" ht="15" customHeight="1" x14ac:dyDescent="0.2">
      <c r="A28" s="141">
        <v>2</v>
      </c>
      <c r="B28" s="149" t="s">
        <v>168</v>
      </c>
      <c r="C28" s="146">
        <v>2143583</v>
      </c>
      <c r="D28" s="146">
        <v>2019693</v>
      </c>
      <c r="E28" s="146">
        <f>+D28-C28</f>
        <v>-123890</v>
      </c>
      <c r="F28" s="150">
        <f>IF(C28=0,0,E28/C28)</f>
        <v>-5.7795755984256264E-2</v>
      </c>
    </row>
    <row r="29" spans="1:7" ht="15" customHeight="1" x14ac:dyDescent="0.2">
      <c r="A29" s="141">
        <v>3</v>
      </c>
      <c r="B29" s="149" t="s">
        <v>169</v>
      </c>
      <c r="C29" s="146">
        <v>4196742</v>
      </c>
      <c r="D29" s="146">
        <v>4080397</v>
      </c>
      <c r="E29" s="146">
        <f>+D29-C29</f>
        <v>-116345</v>
      </c>
      <c r="F29" s="150">
        <f>IF(C29=0,0,E29/C29)</f>
        <v>-2.7722695367025183E-2</v>
      </c>
    </row>
    <row r="30" spans="1:7" ht="15.75" customHeight="1" x14ac:dyDescent="0.25">
      <c r="A30" s="141"/>
      <c r="B30" s="151" t="s">
        <v>170</v>
      </c>
      <c r="C30" s="147">
        <f>SUM(C27:C29)</f>
        <v>6340325</v>
      </c>
      <c r="D30" s="147">
        <f>SUM(D27:D29)</f>
        <v>6100090</v>
      </c>
      <c r="E30" s="147">
        <f>+D30-C30</f>
        <v>-240235</v>
      </c>
      <c r="F30" s="148">
        <f>IF(C30=0,0,E30/C30)</f>
        <v>-3.7890013524543298E-2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9048255</v>
      </c>
      <c r="D33" s="146">
        <v>8654560</v>
      </c>
      <c r="E33" s="146">
        <f>+D33-C33</f>
        <v>-393695</v>
      </c>
      <c r="F33" s="150">
        <f>IF(C33=0,0,E33/C33)</f>
        <v>-4.3510599557594253E-2</v>
      </c>
    </row>
    <row r="34" spans="1:7" ht="15" customHeight="1" x14ac:dyDescent="0.2">
      <c r="A34" s="141">
        <v>2</v>
      </c>
      <c r="B34" s="149" t="s">
        <v>174</v>
      </c>
      <c r="C34" s="146">
        <v>4804923</v>
      </c>
      <c r="D34" s="146">
        <v>4937247</v>
      </c>
      <c r="E34" s="146">
        <f>+D34-C34</f>
        <v>132324</v>
      </c>
      <c r="F34" s="150">
        <f>IF(C34=0,0,E34/C34)</f>
        <v>2.7539255051537766E-2</v>
      </c>
    </row>
    <row r="35" spans="1:7" ht="15.75" customHeight="1" x14ac:dyDescent="0.25">
      <c r="A35" s="141"/>
      <c r="B35" s="151" t="s">
        <v>175</v>
      </c>
      <c r="C35" s="147">
        <f>SUM(C33:C34)</f>
        <v>13853178</v>
      </c>
      <c r="D35" s="147">
        <f>SUM(D33:D34)</f>
        <v>13591807</v>
      </c>
      <c r="E35" s="147">
        <f>+D35-C35</f>
        <v>-261371</v>
      </c>
      <c r="F35" s="148">
        <f>IF(C35=0,0,E35/C35)</f>
        <v>-1.8867223102164717E-2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2005515</v>
      </c>
      <c r="D38" s="146">
        <v>2130586</v>
      </c>
      <c r="E38" s="146">
        <f>+D38-C38</f>
        <v>125071</v>
      </c>
      <c r="F38" s="150">
        <f>IF(C38=0,0,E38/C38)</f>
        <v>6.2363532558968642E-2</v>
      </c>
    </row>
    <row r="39" spans="1:7" ht="15" customHeight="1" x14ac:dyDescent="0.2">
      <c r="A39" s="141">
        <v>2</v>
      </c>
      <c r="B39" s="149" t="s">
        <v>179</v>
      </c>
      <c r="C39" s="146">
        <v>2405335</v>
      </c>
      <c r="D39" s="146">
        <v>2288133</v>
      </c>
      <c r="E39" s="146">
        <f>+D39-C39</f>
        <v>-117202</v>
      </c>
      <c r="F39" s="150">
        <f>IF(C39=0,0,E39/C39)</f>
        <v>-4.8725853155589555E-2</v>
      </c>
    </row>
    <row r="40" spans="1:7" ht="15" customHeight="1" x14ac:dyDescent="0.2">
      <c r="A40" s="141">
        <v>3</v>
      </c>
      <c r="B40" s="149" t="s">
        <v>180</v>
      </c>
      <c r="C40" s="146">
        <v>79965</v>
      </c>
      <c r="D40" s="146">
        <v>90174</v>
      </c>
      <c r="E40" s="146">
        <f>+D40-C40</f>
        <v>10209</v>
      </c>
      <c r="F40" s="150">
        <f>IF(C40=0,0,E40/C40)</f>
        <v>0.12766835490527106</v>
      </c>
    </row>
    <row r="41" spans="1:7" ht="15.75" customHeight="1" x14ac:dyDescent="0.25">
      <c r="A41" s="141"/>
      <c r="B41" s="151" t="s">
        <v>181</v>
      </c>
      <c r="C41" s="147">
        <f>SUM(C38:C40)</f>
        <v>4490815</v>
      </c>
      <c r="D41" s="147">
        <f>SUM(D38:D40)</f>
        <v>4508893</v>
      </c>
      <c r="E41" s="147">
        <f>+D41-C41</f>
        <v>18078</v>
      </c>
      <c r="F41" s="148">
        <f>IF(C41=0,0,E41/C41)</f>
        <v>4.0255499280197468E-3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3538352</v>
      </c>
      <c r="D44" s="146">
        <v>3376899</v>
      </c>
      <c r="E44" s="146">
        <f>+D44-C44</f>
        <v>-161453</v>
      </c>
      <c r="F44" s="150">
        <f>IF(C44=0,0,E44/C44)</f>
        <v>-4.5629434267704286E-2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712804</v>
      </c>
      <c r="D47" s="146">
        <v>759641</v>
      </c>
      <c r="E47" s="146">
        <f>+D47-C47</f>
        <v>46837</v>
      </c>
      <c r="F47" s="150">
        <f>IF(C47=0,0,E47/C47)</f>
        <v>6.5708104892789609E-2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1253684</v>
      </c>
      <c r="D50" s="146">
        <v>1269030</v>
      </c>
      <c r="E50" s="146">
        <f>+D50-C50</f>
        <v>15346</v>
      </c>
      <c r="F50" s="150">
        <f>IF(C50=0,0,E50/C50)</f>
        <v>1.2240724137821015E-2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47220</v>
      </c>
      <c r="D53" s="146">
        <v>59390</v>
      </c>
      <c r="E53" s="146">
        <f t="shared" ref="E53:E59" si="0">+D53-C53</f>
        <v>12170</v>
      </c>
      <c r="F53" s="150">
        <f t="shared" ref="F53:F59" si="1">IF(C53=0,0,E53/C53)</f>
        <v>0.25772977551884796</v>
      </c>
    </row>
    <row r="54" spans="1:7" ht="15" customHeight="1" x14ac:dyDescent="0.2">
      <c r="A54" s="141">
        <v>2</v>
      </c>
      <c r="B54" s="149" t="s">
        <v>193</v>
      </c>
      <c r="C54" s="146">
        <v>469014</v>
      </c>
      <c r="D54" s="146">
        <v>468347</v>
      </c>
      <c r="E54" s="146">
        <f t="shared" si="0"/>
        <v>-667</v>
      </c>
      <c r="F54" s="150">
        <f t="shared" si="1"/>
        <v>-1.422132388372202E-3</v>
      </c>
    </row>
    <row r="55" spans="1:7" ht="15" customHeight="1" x14ac:dyDescent="0.2">
      <c r="A55" s="141">
        <v>3</v>
      </c>
      <c r="B55" s="149" t="s">
        <v>194</v>
      </c>
      <c r="C55" s="146">
        <v>3237</v>
      </c>
      <c r="D55" s="146">
        <v>3860</v>
      </c>
      <c r="E55" s="146">
        <f t="shared" si="0"/>
        <v>623</v>
      </c>
      <c r="F55" s="150">
        <f t="shared" si="1"/>
        <v>0.19246215631757801</v>
      </c>
    </row>
    <row r="56" spans="1:7" ht="15" customHeight="1" x14ac:dyDescent="0.2">
      <c r="A56" s="141">
        <v>4</v>
      </c>
      <c r="B56" s="149" t="s">
        <v>195</v>
      </c>
      <c r="C56" s="146">
        <v>879403</v>
      </c>
      <c r="D56" s="146">
        <v>927146</v>
      </c>
      <c r="E56" s="146">
        <f t="shared" si="0"/>
        <v>47743</v>
      </c>
      <c r="F56" s="150">
        <f t="shared" si="1"/>
        <v>5.4290240083329257E-2</v>
      </c>
    </row>
    <row r="57" spans="1:7" ht="15" customHeight="1" x14ac:dyDescent="0.2">
      <c r="A57" s="141">
        <v>5</v>
      </c>
      <c r="B57" s="149" t="s">
        <v>196</v>
      </c>
      <c r="C57" s="146">
        <v>360526</v>
      </c>
      <c r="D57" s="146">
        <v>466753</v>
      </c>
      <c r="E57" s="146">
        <f t="shared" si="0"/>
        <v>106227</v>
      </c>
      <c r="F57" s="150">
        <f t="shared" si="1"/>
        <v>0.29464449165940876</v>
      </c>
    </row>
    <row r="58" spans="1:7" ht="15" customHeight="1" x14ac:dyDescent="0.2">
      <c r="A58" s="141">
        <v>6</v>
      </c>
      <c r="B58" s="149" t="s">
        <v>197</v>
      </c>
      <c r="C58" s="146">
        <v>4914</v>
      </c>
      <c r="D58" s="146">
        <v>3975</v>
      </c>
      <c r="E58" s="146">
        <f t="shared" si="0"/>
        <v>-939</v>
      </c>
      <c r="F58" s="150">
        <f t="shared" si="1"/>
        <v>-0.19108669108669107</v>
      </c>
    </row>
    <row r="59" spans="1:7" ht="15.75" customHeight="1" x14ac:dyDescent="0.25">
      <c r="A59" s="141"/>
      <c r="B59" s="151" t="s">
        <v>198</v>
      </c>
      <c r="C59" s="147">
        <f>SUM(C53:C58)</f>
        <v>1764314</v>
      </c>
      <c r="D59" s="147">
        <f>SUM(D53:D58)</f>
        <v>1929471</v>
      </c>
      <c r="E59" s="147">
        <f t="shared" si="0"/>
        <v>165157</v>
      </c>
      <c r="F59" s="148">
        <f t="shared" si="1"/>
        <v>9.3609754272765508E-2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156334</v>
      </c>
      <c r="D62" s="146">
        <v>149882</v>
      </c>
      <c r="E62" s="146">
        <f t="shared" ref="E62:E78" si="2">+D62-C62</f>
        <v>-6452</v>
      </c>
      <c r="F62" s="150">
        <f t="shared" ref="F62:F78" si="3">IF(C62=0,0,E62/C62)</f>
        <v>-4.1270612918495014E-2</v>
      </c>
    </row>
    <row r="63" spans="1:7" ht="15" customHeight="1" x14ac:dyDescent="0.2">
      <c r="A63" s="141">
        <v>2</v>
      </c>
      <c r="B63" s="149" t="s">
        <v>202</v>
      </c>
      <c r="C63" s="146">
        <v>370151</v>
      </c>
      <c r="D63" s="146">
        <v>480540</v>
      </c>
      <c r="E63" s="146">
        <f t="shared" si="2"/>
        <v>110389</v>
      </c>
      <c r="F63" s="150">
        <f t="shared" si="3"/>
        <v>0.29822693981645326</v>
      </c>
    </row>
    <row r="64" spans="1:7" ht="15" customHeight="1" x14ac:dyDescent="0.2">
      <c r="A64" s="141">
        <v>3</v>
      </c>
      <c r="B64" s="149" t="s">
        <v>203</v>
      </c>
      <c r="C64" s="146">
        <v>665506</v>
      </c>
      <c r="D64" s="146">
        <v>770494</v>
      </c>
      <c r="E64" s="146">
        <f t="shared" si="2"/>
        <v>104988</v>
      </c>
      <c r="F64" s="150">
        <f t="shared" si="3"/>
        <v>0.15775665433519759</v>
      </c>
    </row>
    <row r="65" spans="1:7" ht="15" customHeight="1" x14ac:dyDescent="0.2">
      <c r="A65" s="141">
        <v>4</v>
      </c>
      <c r="B65" s="149" t="s">
        <v>204</v>
      </c>
      <c r="C65" s="146">
        <v>231089</v>
      </c>
      <c r="D65" s="146">
        <v>283560</v>
      </c>
      <c r="E65" s="146">
        <f t="shared" si="2"/>
        <v>52471</v>
      </c>
      <c r="F65" s="150">
        <f t="shared" si="3"/>
        <v>0.2270597042697835</v>
      </c>
    </row>
    <row r="66" spans="1:7" ht="15" customHeight="1" x14ac:dyDescent="0.2">
      <c r="A66" s="141">
        <v>5</v>
      </c>
      <c r="B66" s="149" t="s">
        <v>205</v>
      </c>
      <c r="C66" s="146">
        <v>341533</v>
      </c>
      <c r="D66" s="146">
        <v>293710</v>
      </c>
      <c r="E66" s="146">
        <f t="shared" si="2"/>
        <v>-47823</v>
      </c>
      <c r="F66" s="150">
        <f t="shared" si="3"/>
        <v>-0.14002453642839785</v>
      </c>
    </row>
    <row r="67" spans="1:7" ht="15" customHeight="1" x14ac:dyDescent="0.2">
      <c r="A67" s="141">
        <v>6</v>
      </c>
      <c r="B67" s="149" t="s">
        <v>206</v>
      </c>
      <c r="C67" s="146">
        <v>0</v>
      </c>
      <c r="D67" s="146">
        <v>0</v>
      </c>
      <c r="E67" s="146">
        <f t="shared" si="2"/>
        <v>0</v>
      </c>
      <c r="F67" s="150">
        <f t="shared" si="3"/>
        <v>0</v>
      </c>
    </row>
    <row r="68" spans="1:7" ht="15" customHeight="1" x14ac:dyDescent="0.2">
      <c r="A68" s="141">
        <v>7</v>
      </c>
      <c r="B68" s="149" t="s">
        <v>207</v>
      </c>
      <c r="C68" s="146">
        <v>1203626</v>
      </c>
      <c r="D68" s="146">
        <v>1224287</v>
      </c>
      <c r="E68" s="146">
        <f t="shared" si="2"/>
        <v>20661</v>
      </c>
      <c r="F68" s="150">
        <f t="shared" si="3"/>
        <v>1.7165631184437691E-2</v>
      </c>
    </row>
    <row r="69" spans="1:7" ht="15" customHeight="1" x14ac:dyDescent="0.2">
      <c r="A69" s="141">
        <v>8</v>
      </c>
      <c r="B69" s="149" t="s">
        <v>208</v>
      </c>
      <c r="C69" s="146">
        <v>268744</v>
      </c>
      <c r="D69" s="146">
        <v>295291</v>
      </c>
      <c r="E69" s="146">
        <f t="shared" si="2"/>
        <v>26547</v>
      </c>
      <c r="F69" s="150">
        <f t="shared" si="3"/>
        <v>9.8781740243503113E-2</v>
      </c>
    </row>
    <row r="70" spans="1:7" ht="15" customHeight="1" x14ac:dyDescent="0.2">
      <c r="A70" s="141">
        <v>9</v>
      </c>
      <c r="B70" s="149" t="s">
        <v>209</v>
      </c>
      <c r="C70" s="146">
        <v>329135</v>
      </c>
      <c r="D70" s="146">
        <v>281775</v>
      </c>
      <c r="E70" s="146">
        <f t="shared" si="2"/>
        <v>-47360</v>
      </c>
      <c r="F70" s="150">
        <f t="shared" si="3"/>
        <v>-0.14389232381849393</v>
      </c>
    </row>
    <row r="71" spans="1:7" ht="15" customHeight="1" x14ac:dyDescent="0.2">
      <c r="A71" s="141">
        <v>10</v>
      </c>
      <c r="B71" s="149" t="s">
        <v>210</v>
      </c>
      <c r="C71" s="146">
        <v>48200</v>
      </c>
      <c r="D71" s="146">
        <v>66873</v>
      </c>
      <c r="E71" s="146">
        <f t="shared" si="2"/>
        <v>18673</v>
      </c>
      <c r="F71" s="150">
        <f t="shared" si="3"/>
        <v>0.3874066390041494</v>
      </c>
    </row>
    <row r="72" spans="1:7" ht="15" customHeight="1" x14ac:dyDescent="0.2">
      <c r="A72" s="141">
        <v>11</v>
      </c>
      <c r="B72" s="149" t="s">
        <v>211</v>
      </c>
      <c r="C72" s="146">
        <v>52630</v>
      </c>
      <c r="D72" s="146">
        <v>57640</v>
      </c>
      <c r="E72" s="146">
        <f t="shared" si="2"/>
        <v>5010</v>
      </c>
      <c r="F72" s="150">
        <f t="shared" si="3"/>
        <v>9.5192855785673575E-2</v>
      </c>
    </row>
    <row r="73" spans="1:7" ht="15" customHeight="1" x14ac:dyDescent="0.2">
      <c r="A73" s="141">
        <v>12</v>
      </c>
      <c r="B73" s="149" t="s">
        <v>212</v>
      </c>
      <c r="C73" s="146">
        <v>489357</v>
      </c>
      <c r="D73" s="146">
        <v>468981</v>
      </c>
      <c r="E73" s="146">
        <f t="shared" si="2"/>
        <v>-20376</v>
      </c>
      <c r="F73" s="150">
        <f t="shared" si="3"/>
        <v>-4.1638313133356628E-2</v>
      </c>
    </row>
    <row r="74" spans="1:7" ht="15" customHeight="1" x14ac:dyDescent="0.2">
      <c r="A74" s="141">
        <v>13</v>
      </c>
      <c r="B74" s="149" t="s">
        <v>213</v>
      </c>
      <c r="C74" s="146">
        <v>46949</v>
      </c>
      <c r="D74" s="146">
        <v>46055</v>
      </c>
      <c r="E74" s="146">
        <f t="shared" si="2"/>
        <v>-894</v>
      </c>
      <c r="F74" s="150">
        <f t="shared" si="3"/>
        <v>-1.904193912543398E-2</v>
      </c>
    </row>
    <row r="75" spans="1:7" ht="15" customHeight="1" x14ac:dyDescent="0.2">
      <c r="A75" s="141">
        <v>14</v>
      </c>
      <c r="B75" s="149" t="s">
        <v>214</v>
      </c>
      <c r="C75" s="146">
        <v>113227</v>
      </c>
      <c r="D75" s="146">
        <v>114729</v>
      </c>
      <c r="E75" s="146">
        <f t="shared" si="2"/>
        <v>1502</v>
      </c>
      <c r="F75" s="150">
        <f t="shared" si="3"/>
        <v>1.3265387230960813E-2</v>
      </c>
    </row>
    <row r="76" spans="1:7" ht="15" customHeight="1" x14ac:dyDescent="0.2">
      <c r="A76" s="141">
        <v>15</v>
      </c>
      <c r="B76" s="149" t="s">
        <v>215</v>
      </c>
      <c r="C76" s="146">
        <v>172008</v>
      </c>
      <c r="D76" s="146">
        <v>330940</v>
      </c>
      <c r="E76" s="146">
        <f t="shared" si="2"/>
        <v>158932</v>
      </c>
      <c r="F76" s="150">
        <f t="shared" si="3"/>
        <v>0.9239802799869774</v>
      </c>
    </row>
    <row r="77" spans="1:7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7" ht="15.75" customHeight="1" x14ac:dyDescent="0.25">
      <c r="A78" s="141"/>
      <c r="B78" s="151" t="s">
        <v>217</v>
      </c>
      <c r="C78" s="147">
        <f>SUM(C62:C77)</f>
        <v>4488489</v>
      </c>
      <c r="D78" s="147">
        <f>SUM(D62:D77)</f>
        <v>4864757</v>
      </c>
      <c r="E78" s="147">
        <f t="shared" si="2"/>
        <v>376268</v>
      </c>
      <c r="F78" s="148">
        <f t="shared" si="3"/>
        <v>8.3829547092573911E-2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5006363</v>
      </c>
      <c r="D81" s="146">
        <v>4819328</v>
      </c>
      <c r="E81" s="146">
        <f>+D81-C81</f>
        <v>-187035</v>
      </c>
      <c r="F81" s="150">
        <f>IF(C81=0,0,E81/C81)</f>
        <v>-3.7359456355841557E-2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96763604</v>
      </c>
      <c r="D83" s="147">
        <f>+D81+D78+D59+D50+D47+D44+D41+D35+D30+D24+D18</f>
        <v>100411939</v>
      </c>
      <c r="E83" s="147">
        <f>+D83-C83</f>
        <v>3648335</v>
      </c>
      <c r="F83" s="148">
        <f>IF(C83=0,0,E83/C83)</f>
        <v>3.770358739428515E-2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4836963</v>
      </c>
      <c r="D91" s="146">
        <v>5667836</v>
      </c>
      <c r="E91" s="146">
        <f t="shared" ref="E91:E109" si="4">D91-C91</f>
        <v>830873</v>
      </c>
      <c r="F91" s="150">
        <f t="shared" ref="F91:F109" si="5">IF(C91=0,0,E91/C91)</f>
        <v>0.17177576094752017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1200133</v>
      </c>
      <c r="D92" s="146">
        <v>1199620</v>
      </c>
      <c r="E92" s="146">
        <f t="shared" si="4"/>
        <v>-513</v>
      </c>
      <c r="F92" s="150">
        <f t="shared" si="5"/>
        <v>-4.2745262400083992E-4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2411731</v>
      </c>
      <c r="D93" s="146">
        <v>2499699</v>
      </c>
      <c r="E93" s="146">
        <f t="shared" si="4"/>
        <v>87968</v>
      </c>
      <c r="F93" s="150">
        <f t="shared" si="5"/>
        <v>3.6475046346379429E-2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0</v>
      </c>
      <c r="D94" s="146">
        <v>0</v>
      </c>
      <c r="E94" s="146">
        <f t="shared" si="4"/>
        <v>0</v>
      </c>
      <c r="F94" s="150">
        <f t="shared" si="5"/>
        <v>0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0</v>
      </c>
      <c r="D95" s="146">
        <v>0</v>
      </c>
      <c r="E95" s="146">
        <f t="shared" si="4"/>
        <v>0</v>
      </c>
      <c r="F95" s="150">
        <f t="shared" si="5"/>
        <v>0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395313</v>
      </c>
      <c r="D96" s="146">
        <v>498150</v>
      </c>
      <c r="E96" s="146">
        <f t="shared" si="4"/>
        <v>102837</v>
      </c>
      <c r="F96" s="150">
        <f t="shared" si="5"/>
        <v>0.26014069863627048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0</v>
      </c>
      <c r="D97" s="146">
        <v>0</v>
      </c>
      <c r="E97" s="146">
        <f t="shared" si="4"/>
        <v>0</v>
      </c>
      <c r="F97" s="150">
        <f t="shared" si="5"/>
        <v>0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0</v>
      </c>
      <c r="D98" s="146">
        <v>0</v>
      </c>
      <c r="E98" s="146">
        <f t="shared" si="4"/>
        <v>0</v>
      </c>
      <c r="F98" s="150">
        <f t="shared" si="5"/>
        <v>0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0</v>
      </c>
      <c r="D99" s="146">
        <v>0</v>
      </c>
      <c r="E99" s="146">
        <f t="shared" si="4"/>
        <v>0</v>
      </c>
      <c r="F99" s="150">
        <f t="shared" si="5"/>
        <v>0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1745679</v>
      </c>
      <c r="D100" s="146">
        <v>1768623</v>
      </c>
      <c r="E100" s="146">
        <f t="shared" si="4"/>
        <v>22944</v>
      </c>
      <c r="F100" s="150">
        <f t="shared" si="5"/>
        <v>1.3143309852498656E-2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918485</v>
      </c>
      <c r="D101" s="146">
        <v>973662</v>
      </c>
      <c r="E101" s="146">
        <f t="shared" si="4"/>
        <v>55177</v>
      </c>
      <c r="F101" s="150">
        <f t="shared" si="5"/>
        <v>6.0073926084802692E-2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0</v>
      </c>
      <c r="D102" s="146">
        <v>0</v>
      </c>
      <c r="E102" s="146">
        <f t="shared" si="4"/>
        <v>0</v>
      </c>
      <c r="F102" s="150">
        <f t="shared" si="5"/>
        <v>0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2939767</v>
      </c>
      <c r="D103" s="146">
        <v>3171467</v>
      </c>
      <c r="E103" s="146">
        <f t="shared" si="4"/>
        <v>231700</v>
      </c>
      <c r="F103" s="150">
        <f t="shared" si="5"/>
        <v>7.8815770093344131E-2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350911</v>
      </c>
      <c r="D104" s="146">
        <v>394221</v>
      </c>
      <c r="E104" s="146">
        <f t="shared" si="4"/>
        <v>43310</v>
      </c>
      <c r="F104" s="150">
        <f t="shared" si="5"/>
        <v>0.1234216083280376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744147</v>
      </c>
      <c r="D105" s="146">
        <v>746303</v>
      </c>
      <c r="E105" s="146">
        <f t="shared" si="4"/>
        <v>2156</v>
      </c>
      <c r="F105" s="150">
        <f t="shared" si="5"/>
        <v>2.8972770165034598E-3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266204</v>
      </c>
      <c r="D106" s="146">
        <v>276354</v>
      </c>
      <c r="E106" s="146">
        <f t="shared" si="4"/>
        <v>10150</v>
      </c>
      <c r="F106" s="150">
        <f t="shared" si="5"/>
        <v>3.812865321332512E-2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5094155</v>
      </c>
      <c r="D107" s="146">
        <v>5301995</v>
      </c>
      <c r="E107" s="146">
        <f t="shared" si="4"/>
        <v>207840</v>
      </c>
      <c r="F107" s="150">
        <f t="shared" si="5"/>
        <v>4.0799700833602431E-2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2042112</v>
      </c>
      <c r="D108" s="146">
        <v>2151319</v>
      </c>
      <c r="E108" s="146">
        <f t="shared" si="4"/>
        <v>109207</v>
      </c>
      <c r="F108" s="150">
        <f t="shared" si="5"/>
        <v>5.3477478218628555E-2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22945600</v>
      </c>
      <c r="D109" s="147">
        <f>SUM(D91:D108)</f>
        <v>24649249</v>
      </c>
      <c r="E109" s="147">
        <f t="shared" si="4"/>
        <v>1703649</v>
      </c>
      <c r="F109" s="148">
        <f t="shared" si="5"/>
        <v>7.4247306673174807E-2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83038</v>
      </c>
      <c r="D112" s="146">
        <v>88056</v>
      </c>
      <c r="E112" s="146">
        <f t="shared" ref="E112:E118" si="6">D112-C112</f>
        <v>5018</v>
      </c>
      <c r="F112" s="150">
        <f t="shared" ref="F112:F118" si="7">IF(C112=0,0,E112/C112)</f>
        <v>6.043016450299863E-2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952161</v>
      </c>
      <c r="D114" s="146">
        <v>982373</v>
      </c>
      <c r="E114" s="146">
        <f t="shared" si="6"/>
        <v>30212</v>
      </c>
      <c r="F114" s="150">
        <f t="shared" si="7"/>
        <v>3.172992802687781E-2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913403</v>
      </c>
      <c r="D115" s="146">
        <v>970855</v>
      </c>
      <c r="E115" s="146">
        <f t="shared" si="6"/>
        <v>57452</v>
      </c>
      <c r="F115" s="150">
        <f t="shared" si="7"/>
        <v>6.2898851875897055E-2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0</v>
      </c>
      <c r="D116" s="146">
        <v>0</v>
      </c>
      <c r="E116" s="146">
        <f t="shared" si="6"/>
        <v>0</v>
      </c>
      <c r="F116" s="150">
        <f t="shared" si="7"/>
        <v>0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138514</v>
      </c>
      <c r="D117" s="146">
        <v>119982</v>
      </c>
      <c r="E117" s="146">
        <f t="shared" si="6"/>
        <v>-18532</v>
      </c>
      <c r="F117" s="150">
        <f t="shared" si="7"/>
        <v>-0.13379153009804062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2087116</v>
      </c>
      <c r="D118" s="147">
        <f>SUM(D112:D117)</f>
        <v>2161266</v>
      </c>
      <c r="E118" s="147">
        <f t="shared" si="6"/>
        <v>74150</v>
      </c>
      <c r="F118" s="148">
        <f t="shared" si="7"/>
        <v>3.5527493440709573E-2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4609801</v>
      </c>
      <c r="D121" s="146">
        <v>4644275</v>
      </c>
      <c r="E121" s="146">
        <f t="shared" ref="E121:E155" si="8">D121-C121</f>
        <v>34474</v>
      </c>
      <c r="F121" s="150">
        <f t="shared" ref="F121:F155" si="9">IF(C121=0,0,E121/C121)</f>
        <v>7.4784139271955553E-3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378809</v>
      </c>
      <c r="D122" s="146">
        <v>411724</v>
      </c>
      <c r="E122" s="146">
        <f t="shared" si="8"/>
        <v>32915</v>
      </c>
      <c r="F122" s="150">
        <f t="shared" si="9"/>
        <v>8.6890754971502795E-2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441661</v>
      </c>
      <c r="D123" s="146">
        <v>0</v>
      </c>
      <c r="E123" s="146">
        <f t="shared" si="8"/>
        <v>-441661</v>
      </c>
      <c r="F123" s="150">
        <f t="shared" si="9"/>
        <v>-1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886347</v>
      </c>
      <c r="D124" s="146">
        <v>1018317</v>
      </c>
      <c r="E124" s="146">
        <f t="shared" si="8"/>
        <v>131970</v>
      </c>
      <c r="F124" s="150">
        <f t="shared" si="9"/>
        <v>0.14889202535801441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2247489</v>
      </c>
      <c r="D125" s="146">
        <v>2351356</v>
      </c>
      <c r="E125" s="146">
        <f t="shared" si="8"/>
        <v>103867</v>
      </c>
      <c r="F125" s="150">
        <f t="shared" si="9"/>
        <v>4.6214686701469949E-2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547653</v>
      </c>
      <c r="D126" s="146">
        <v>674654</v>
      </c>
      <c r="E126" s="146">
        <f t="shared" si="8"/>
        <v>127001</v>
      </c>
      <c r="F126" s="150">
        <f t="shared" si="9"/>
        <v>0.23190049173472985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0</v>
      </c>
      <c r="D127" s="146">
        <v>0</v>
      </c>
      <c r="E127" s="146">
        <f t="shared" si="8"/>
        <v>0</v>
      </c>
      <c r="F127" s="150">
        <f t="shared" si="9"/>
        <v>0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522257</v>
      </c>
      <c r="D128" s="146">
        <v>477283</v>
      </c>
      <c r="E128" s="146">
        <f t="shared" si="8"/>
        <v>-44974</v>
      </c>
      <c r="F128" s="150">
        <f t="shared" si="9"/>
        <v>-8.6114690659962426E-2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615241</v>
      </c>
      <c r="D129" s="146">
        <v>651585</v>
      </c>
      <c r="E129" s="146">
        <f t="shared" si="8"/>
        <v>36344</v>
      </c>
      <c r="F129" s="150">
        <f t="shared" si="9"/>
        <v>5.9072786111458761E-2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5456855</v>
      </c>
      <c r="D130" s="146">
        <v>5353859</v>
      </c>
      <c r="E130" s="146">
        <f t="shared" si="8"/>
        <v>-102996</v>
      </c>
      <c r="F130" s="150">
        <f t="shared" si="9"/>
        <v>-1.8874608176321344E-2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406629</v>
      </c>
      <c r="D131" s="146">
        <v>353901</v>
      </c>
      <c r="E131" s="146">
        <f t="shared" si="8"/>
        <v>-52728</v>
      </c>
      <c r="F131" s="150">
        <f t="shared" si="9"/>
        <v>-0.12967102690659052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0</v>
      </c>
      <c r="D132" s="146">
        <v>0</v>
      </c>
      <c r="E132" s="146">
        <f t="shared" si="8"/>
        <v>0</v>
      </c>
      <c r="F132" s="150">
        <f t="shared" si="9"/>
        <v>0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482483</v>
      </c>
      <c r="D133" s="146">
        <v>479914</v>
      </c>
      <c r="E133" s="146">
        <f t="shared" si="8"/>
        <v>-2569</v>
      </c>
      <c r="F133" s="150">
        <f t="shared" si="9"/>
        <v>-5.3245399319768781E-3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24768</v>
      </c>
      <c r="D134" s="146">
        <v>22211</v>
      </c>
      <c r="E134" s="146">
        <f t="shared" si="8"/>
        <v>-2557</v>
      </c>
      <c r="F134" s="150">
        <f t="shared" si="9"/>
        <v>-0.10323804909560723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658399</v>
      </c>
      <c r="D138" s="146">
        <v>701783</v>
      </c>
      <c r="E138" s="146">
        <f t="shared" si="8"/>
        <v>43384</v>
      </c>
      <c r="F138" s="150">
        <f t="shared" si="9"/>
        <v>6.5893174199839311E-2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298655</v>
      </c>
      <c r="D140" s="146">
        <v>340950</v>
      </c>
      <c r="E140" s="146">
        <f t="shared" si="8"/>
        <v>42295</v>
      </c>
      <c r="F140" s="150">
        <f t="shared" si="9"/>
        <v>0.14161825517737858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0</v>
      </c>
      <c r="D142" s="146">
        <v>0</v>
      </c>
      <c r="E142" s="146">
        <f t="shared" si="8"/>
        <v>0</v>
      </c>
      <c r="F142" s="150">
        <f t="shared" si="9"/>
        <v>0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2935436</v>
      </c>
      <c r="D144" s="146">
        <v>3130953</v>
      </c>
      <c r="E144" s="146">
        <f t="shared" si="8"/>
        <v>195517</v>
      </c>
      <c r="F144" s="150">
        <f t="shared" si="9"/>
        <v>6.6605778494233908E-2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1119140</v>
      </c>
      <c r="D145" s="146">
        <v>1246384</v>
      </c>
      <c r="E145" s="146">
        <f t="shared" si="8"/>
        <v>127244</v>
      </c>
      <c r="F145" s="150">
        <f t="shared" si="9"/>
        <v>0.11369801812105725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224500</v>
      </c>
      <c r="D146" s="146">
        <v>244263</v>
      </c>
      <c r="E146" s="146">
        <f t="shared" si="8"/>
        <v>19763</v>
      </c>
      <c r="F146" s="150">
        <f t="shared" si="9"/>
        <v>8.8031180400890863E-2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350497</v>
      </c>
      <c r="D149" s="146">
        <v>404577</v>
      </c>
      <c r="E149" s="146">
        <f t="shared" si="8"/>
        <v>54080</v>
      </c>
      <c r="F149" s="150">
        <f t="shared" si="9"/>
        <v>0.15429518654938559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248719</v>
      </c>
      <c r="D151" s="146">
        <v>269961</v>
      </c>
      <c r="E151" s="146">
        <f t="shared" si="8"/>
        <v>21242</v>
      </c>
      <c r="F151" s="150">
        <f t="shared" si="9"/>
        <v>8.5405618388623303E-2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0</v>
      </c>
      <c r="D152" s="146">
        <v>0</v>
      </c>
      <c r="E152" s="146">
        <f t="shared" si="8"/>
        <v>0</v>
      </c>
      <c r="F152" s="150">
        <f t="shared" si="9"/>
        <v>0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36088</v>
      </c>
      <c r="D154" s="146">
        <v>139495</v>
      </c>
      <c r="E154" s="146">
        <f t="shared" si="8"/>
        <v>103407</v>
      </c>
      <c r="F154" s="150">
        <f t="shared" si="9"/>
        <v>2.8654123254267345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22491427</v>
      </c>
      <c r="D155" s="147">
        <f>SUM(D121:D154)</f>
        <v>22917445</v>
      </c>
      <c r="E155" s="147">
        <f t="shared" si="8"/>
        <v>426018</v>
      </c>
      <c r="F155" s="148">
        <f t="shared" si="9"/>
        <v>1.8941350408757968E-2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3218722</v>
      </c>
      <c r="D158" s="146">
        <v>3212547</v>
      </c>
      <c r="E158" s="146">
        <f t="shared" ref="E158:E171" si="10">D158-C158</f>
        <v>-6175</v>
      </c>
      <c r="F158" s="150">
        <f t="shared" ref="F158:F171" si="11">IF(C158=0,0,E158/C158)</f>
        <v>-1.9184632907097911E-3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3670350</v>
      </c>
      <c r="D159" s="146">
        <v>2357974</v>
      </c>
      <c r="E159" s="146">
        <f t="shared" si="10"/>
        <v>-1312376</v>
      </c>
      <c r="F159" s="150">
        <f t="shared" si="11"/>
        <v>-0.3575615404525454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2084925</v>
      </c>
      <c r="D161" s="146">
        <v>2077140</v>
      </c>
      <c r="E161" s="146">
        <f t="shared" si="10"/>
        <v>-7785</v>
      </c>
      <c r="F161" s="150">
        <f t="shared" si="11"/>
        <v>-3.7339472642900825E-3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477628</v>
      </c>
      <c r="D163" s="146">
        <v>474528</v>
      </c>
      <c r="E163" s="146">
        <f t="shared" si="10"/>
        <v>-3100</v>
      </c>
      <c r="F163" s="150">
        <f t="shared" si="11"/>
        <v>-6.4904067600726929E-3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384579</v>
      </c>
      <c r="D164" s="146">
        <v>395392</v>
      </c>
      <c r="E164" s="146">
        <f t="shared" si="10"/>
        <v>10813</v>
      </c>
      <c r="F164" s="150">
        <f t="shared" si="11"/>
        <v>2.8116459817098698E-2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1785088</v>
      </c>
      <c r="D166" s="146">
        <v>1842206</v>
      </c>
      <c r="E166" s="146">
        <f t="shared" si="10"/>
        <v>57118</v>
      </c>
      <c r="F166" s="150">
        <f t="shared" si="11"/>
        <v>3.1997302093790335E-2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1435896</v>
      </c>
      <c r="D167" s="146">
        <v>1462555</v>
      </c>
      <c r="E167" s="146">
        <f t="shared" si="10"/>
        <v>26659</v>
      </c>
      <c r="F167" s="150">
        <f t="shared" si="11"/>
        <v>1.8566107851822139E-2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4780044</v>
      </c>
      <c r="D168" s="146">
        <v>5047930</v>
      </c>
      <c r="E168" s="146">
        <f t="shared" si="10"/>
        <v>267886</v>
      </c>
      <c r="F168" s="150">
        <f t="shared" si="11"/>
        <v>5.6042580361184959E-2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6254171</v>
      </c>
      <c r="D169" s="146">
        <v>6277559</v>
      </c>
      <c r="E169" s="146">
        <f t="shared" si="10"/>
        <v>23388</v>
      </c>
      <c r="F169" s="150">
        <f t="shared" si="11"/>
        <v>3.7395843509875249E-3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24091403</v>
      </c>
      <c r="D171" s="147">
        <f>SUM(D158:D170)</f>
        <v>23147831</v>
      </c>
      <c r="E171" s="147">
        <f t="shared" si="10"/>
        <v>-943572</v>
      </c>
      <c r="F171" s="148">
        <f t="shared" si="11"/>
        <v>-3.9166336638841663E-2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25148058</v>
      </c>
      <c r="D174" s="146">
        <v>27536148</v>
      </c>
      <c r="E174" s="146">
        <f>D174-C174</f>
        <v>2388090</v>
      </c>
      <c r="F174" s="150">
        <f>IF(C174=0,0,E174/C174)</f>
        <v>9.4961209330756274E-2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96763604</v>
      </c>
      <c r="D176" s="147">
        <f>+D174+D171+D155+D118+D109</f>
        <v>100411939</v>
      </c>
      <c r="E176" s="147">
        <f>D176-C176</f>
        <v>3648335</v>
      </c>
      <c r="F176" s="148">
        <f>IF(C176=0,0,E176/C176)</f>
        <v>3.770358739428515E-2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0" orientation="portrait" r:id="rId1"/>
  <headerFooter>
    <oddHeader>&amp;LOFFICE OF HEALTH CARE ACCESS&amp;CTWELVE MONTHS ACTUAL FILING&amp;RDAY KIMBALL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zoomScaleNormal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88983220</v>
      </c>
      <c r="D11" s="164">
        <v>95995284</v>
      </c>
      <c r="E11" s="51">
        <v>100651954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2929366</v>
      </c>
      <c r="D12" s="49">
        <v>2986027</v>
      </c>
      <c r="E12" s="49">
        <v>3279958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91912586</v>
      </c>
      <c r="D13" s="51">
        <f>+D11+D12</f>
        <v>98981311</v>
      </c>
      <c r="E13" s="51">
        <f>+E11+E12</f>
        <v>103931912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95714493</v>
      </c>
      <c r="D14" s="49">
        <v>96763604</v>
      </c>
      <c r="E14" s="49">
        <v>100411939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-3801907</v>
      </c>
      <c r="D15" s="51">
        <f>+D13-D14</f>
        <v>2217707</v>
      </c>
      <c r="E15" s="51">
        <f>+E13-E14</f>
        <v>3519973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990034</v>
      </c>
      <c r="D16" s="49">
        <v>-657705</v>
      </c>
      <c r="E16" s="49">
        <v>607272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-2811873</v>
      </c>
      <c r="D17" s="51">
        <f>D15+D16</f>
        <v>1560002</v>
      </c>
      <c r="E17" s="51">
        <f>E15+E16</f>
        <v>4127245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-4.0923571369677197E-2</v>
      </c>
      <c r="D20" s="169">
        <f>IF(+D27=0,0,+D24/+D27)</f>
        <v>2.2555183747024088E-2</v>
      </c>
      <c r="E20" s="169">
        <f>IF(+E27=0,0,+E24/+E27)</f>
        <v>3.3671326533407799E-2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1.0656685462692011E-2</v>
      </c>
      <c r="D21" s="169">
        <f>IF(D27=0,0,+D26/D27)</f>
        <v>-6.6891871317250103E-3</v>
      </c>
      <c r="E21" s="169">
        <f>IF(E27=0,0,+E26/E27)</f>
        <v>5.8090371166470934E-3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-3.0266885906985185E-2</v>
      </c>
      <c r="D22" s="169">
        <f>IF(D27=0,0,+D28/D27)</f>
        <v>1.5865996615299076E-2</v>
      </c>
      <c r="E22" s="169">
        <f>IF(E27=0,0,+E28/E27)</f>
        <v>3.9480363650054889E-2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-3801907</v>
      </c>
      <c r="D24" s="51">
        <f>+D15</f>
        <v>2217707</v>
      </c>
      <c r="E24" s="51">
        <f>+E15</f>
        <v>3519973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91912586</v>
      </c>
      <c r="D25" s="51">
        <f>+D13</f>
        <v>98981311</v>
      </c>
      <c r="E25" s="51">
        <f>+E13</f>
        <v>103931912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990034</v>
      </c>
      <c r="D26" s="51">
        <f>+D16</f>
        <v>-657705</v>
      </c>
      <c r="E26" s="51">
        <f>+E16</f>
        <v>607272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92902620</v>
      </c>
      <c r="D27" s="51">
        <f>+D25+D26</f>
        <v>98323606</v>
      </c>
      <c r="E27" s="51">
        <f>+E25+E26</f>
        <v>104539184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-2811873</v>
      </c>
      <c r="D28" s="51">
        <f>+D17</f>
        <v>1560002</v>
      </c>
      <c r="E28" s="51">
        <f>+E17</f>
        <v>4127245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38740218</v>
      </c>
      <c r="D31" s="51">
        <v>15965857</v>
      </c>
      <c r="E31" s="51">
        <v>15206895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45778471</v>
      </c>
      <c r="D32" s="51">
        <v>23306105</v>
      </c>
      <c r="E32" s="51">
        <v>22173961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-620334</v>
      </c>
      <c r="D33" s="51">
        <f>+D32-C32</f>
        <v>-22472366</v>
      </c>
      <c r="E33" s="51">
        <f>+E32-D32</f>
        <v>-1132144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0.98660000000000003</v>
      </c>
      <c r="D34" s="171">
        <f>IF(C32=0,0,+D33/C32)</f>
        <v>-0.49089376532475276</v>
      </c>
      <c r="E34" s="171">
        <f>IF(D32=0,0,+E33/D32)</f>
        <v>-4.8577143199174638E-2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0.61026576703267377</v>
      </c>
      <c r="D38" s="172">
        <f>IF((D40+D41)=0,0,+D39/(D40+D41))</f>
        <v>0.57477720193958104</v>
      </c>
      <c r="E38" s="172">
        <f>IF((E40+E41)=0,0,+E39/(E40+E41))</f>
        <v>0.58440492294690438</v>
      </c>
      <c r="F38" s="5"/>
    </row>
    <row r="39" spans="1:6" ht="24" customHeight="1" x14ac:dyDescent="0.2">
      <c r="A39" s="21">
        <v>2</v>
      </c>
      <c r="B39" s="48" t="s">
        <v>324</v>
      </c>
      <c r="C39" s="51">
        <v>95714493</v>
      </c>
      <c r="D39" s="51">
        <v>96763604</v>
      </c>
      <c r="E39" s="23">
        <v>100411939</v>
      </c>
      <c r="F39" s="5"/>
    </row>
    <row r="40" spans="1:6" ht="24" customHeight="1" x14ac:dyDescent="0.2">
      <c r="A40" s="21">
        <v>3</v>
      </c>
      <c r="B40" s="48" t="s">
        <v>325</v>
      </c>
      <c r="C40" s="51">
        <v>154041672</v>
      </c>
      <c r="D40" s="51">
        <v>165561001</v>
      </c>
      <c r="E40" s="23">
        <v>168847092</v>
      </c>
      <c r="F40" s="5"/>
    </row>
    <row r="41" spans="1:6" ht="24" customHeight="1" x14ac:dyDescent="0.2">
      <c r="A41" s="21">
        <v>4</v>
      </c>
      <c r="B41" s="48" t="s">
        <v>326</v>
      </c>
      <c r="C41" s="51">
        <v>2799000</v>
      </c>
      <c r="D41" s="51">
        <v>2788759</v>
      </c>
      <c r="E41" s="23">
        <v>2972027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1.1115138022916344</v>
      </c>
      <c r="D43" s="173">
        <f>IF(D38=0,0,IF((D46-D47)=0,0,((+D44-D45)/(D46-D47)/D38)))</f>
        <v>1.1840806759985958</v>
      </c>
      <c r="E43" s="173">
        <f>IF(E38=0,0,IF((E46-E47)=0,0,((+E44-E45)/(E46-E47)/E38)))</f>
        <v>1.1794258837047809</v>
      </c>
      <c r="F43" s="5"/>
    </row>
    <row r="44" spans="1:6" ht="24" customHeight="1" x14ac:dyDescent="0.2">
      <c r="A44" s="21">
        <v>6</v>
      </c>
      <c r="B44" s="48" t="s">
        <v>328</v>
      </c>
      <c r="C44" s="51">
        <v>43800726</v>
      </c>
      <c r="D44" s="51">
        <v>46755324</v>
      </c>
      <c r="E44" s="23">
        <v>47447378</v>
      </c>
      <c r="F44" s="5"/>
    </row>
    <row r="45" spans="1:6" ht="24" customHeight="1" x14ac:dyDescent="0.2">
      <c r="A45" s="21">
        <v>7</v>
      </c>
      <c r="B45" s="48" t="s">
        <v>329</v>
      </c>
      <c r="C45" s="51">
        <v>258369</v>
      </c>
      <c r="D45" s="51">
        <v>211610</v>
      </c>
      <c r="E45" s="23">
        <v>175656</v>
      </c>
      <c r="F45" s="5"/>
    </row>
    <row r="46" spans="1:6" ht="24" customHeight="1" x14ac:dyDescent="0.2">
      <c r="A46" s="21">
        <v>8</v>
      </c>
      <c r="B46" s="48" t="s">
        <v>330</v>
      </c>
      <c r="C46" s="51">
        <v>67595474</v>
      </c>
      <c r="D46" s="51">
        <v>71884616</v>
      </c>
      <c r="E46" s="23">
        <v>72382567</v>
      </c>
      <c r="F46" s="5"/>
    </row>
    <row r="47" spans="1:6" ht="24" customHeight="1" x14ac:dyDescent="0.2">
      <c r="A47" s="21">
        <v>9</v>
      </c>
      <c r="B47" s="48" t="s">
        <v>331</v>
      </c>
      <c r="C47" s="51">
        <v>3403894</v>
      </c>
      <c r="D47" s="51">
        <v>3496568</v>
      </c>
      <c r="E47" s="174">
        <v>3799500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0.83127984766123253</v>
      </c>
      <c r="D49" s="175">
        <f>IF(D38=0,0,IF(D51=0,0,(D50/D51)/D38))</f>
        <v>0.89724257604994562</v>
      </c>
      <c r="E49" s="175">
        <f>IF(E38=0,0,IF(E51=0,0,(E50/E51)/E38))</f>
        <v>0.95583693298490813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31420686</v>
      </c>
      <c r="D50" s="176">
        <v>34051500</v>
      </c>
      <c r="E50" s="176">
        <v>36161856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61936891</v>
      </c>
      <c r="D51" s="176">
        <v>66027802</v>
      </c>
      <c r="E51" s="176">
        <v>64737070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0.65917523239083164</v>
      </c>
      <c r="D53" s="175">
        <f>IF(D38=0,0,IF(D55=0,0,(D54/D55)/D38))</f>
        <v>0.77587195324614588</v>
      </c>
      <c r="E53" s="175">
        <f>IF(E38=0,0,IF(E55=0,0,(E54/E55)/E38))</f>
        <v>0.7113518183582147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7555477</v>
      </c>
      <c r="D54" s="176">
        <v>9815080</v>
      </c>
      <c r="E54" s="176">
        <v>11398197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18782007</v>
      </c>
      <c r="D55" s="176">
        <v>22009200</v>
      </c>
      <c r="E55" s="176">
        <v>27418131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2780816.3286107956</v>
      </c>
      <c r="D57" s="53">
        <f>+D60*D38</f>
        <v>2675909.7502618358</v>
      </c>
      <c r="E57" s="53">
        <f>+E60*E38</f>
        <v>2748737.4513872289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720702</v>
      </c>
      <c r="D58" s="51">
        <v>1210237</v>
      </c>
      <c r="E58" s="52">
        <v>1391261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3836028</v>
      </c>
      <c r="D59" s="51">
        <v>3445323</v>
      </c>
      <c r="E59" s="52">
        <v>3312220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4556730</v>
      </c>
      <c r="D60" s="51">
        <v>4655560</v>
      </c>
      <c r="E60" s="52">
        <v>4703481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2.9053242006002115E-2</v>
      </c>
      <c r="D62" s="178">
        <f>IF(D63=0,0,+D57/D63)</f>
        <v>2.7654093477769138E-2</v>
      </c>
      <c r="E62" s="178">
        <f>IF(E63=0,0,+E57/E63)</f>
        <v>2.7374607828131163E-2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95714493</v>
      </c>
      <c r="D63" s="176">
        <v>96763604</v>
      </c>
      <c r="E63" s="176">
        <v>100411939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2.6562843469533646</v>
      </c>
      <c r="D67" s="179">
        <f>IF(D69=0,0,D68/D69)</f>
        <v>2.2652646873832212</v>
      </c>
      <c r="E67" s="179">
        <f>IF(E69=0,0,E68/E69)</f>
        <v>2.0399635785364492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36058295</v>
      </c>
      <c r="D68" s="180">
        <v>36346779</v>
      </c>
      <c r="E68" s="180">
        <v>29243904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13574712</v>
      </c>
      <c r="D69" s="180">
        <v>16045268</v>
      </c>
      <c r="E69" s="180">
        <v>14335503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96.400930335852152</v>
      </c>
      <c r="D71" s="181">
        <f>IF((D77/365)=0,0,+D74/(D77/365))</f>
        <v>90.993355635971938</v>
      </c>
      <c r="E71" s="181">
        <f>IF((E77/365)=0,0,+E74/(E77/365))</f>
        <v>60.489041557658133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10783018</v>
      </c>
      <c r="D72" s="182">
        <v>9595927</v>
      </c>
      <c r="E72" s="182">
        <v>7593483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13335058</v>
      </c>
      <c r="D73" s="184">
        <v>13407390</v>
      </c>
      <c r="E73" s="184">
        <v>8299896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24118076</v>
      </c>
      <c r="D74" s="180">
        <f>+D72+D73</f>
        <v>23003317</v>
      </c>
      <c r="E74" s="180">
        <f>+E72+E73</f>
        <v>15893379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95714493</v>
      </c>
      <c r="D75" s="180">
        <f>+D14</f>
        <v>96763604</v>
      </c>
      <c r="E75" s="180">
        <f>+E14</f>
        <v>100411939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4396933</v>
      </c>
      <c r="D76" s="180">
        <v>4490815</v>
      </c>
      <c r="E76" s="180">
        <v>4508893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91317560</v>
      </c>
      <c r="D77" s="180">
        <f>+D75-D76</f>
        <v>92272789</v>
      </c>
      <c r="E77" s="180">
        <f>+E75-E76</f>
        <v>95903046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32.645980669164366</v>
      </c>
      <c r="D79" s="179">
        <f>IF((D84/365)=0,0,+D83/(D84/365))</f>
        <v>28.739257180592332</v>
      </c>
      <c r="E79" s="179">
        <f>IF((E84/365)=0,0,+E83/(E84/365))</f>
        <v>32.042548423848785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9875269</v>
      </c>
      <c r="D80" s="189">
        <v>10764165</v>
      </c>
      <c r="E80" s="189">
        <v>10144136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1916517</v>
      </c>
      <c r="D82" s="190">
        <v>3205718</v>
      </c>
      <c r="E82" s="190">
        <v>1308122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7958752</v>
      </c>
      <c r="D83" s="191">
        <f>+D80+D81-D82</f>
        <v>7558447</v>
      </c>
      <c r="E83" s="191">
        <f>+E80+E81-E82</f>
        <v>8836014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88983220</v>
      </c>
      <c r="D84" s="191">
        <f>+D11</f>
        <v>95995284</v>
      </c>
      <c r="E84" s="191">
        <f>+E11</f>
        <v>100651954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54.258675768384521</v>
      </c>
      <c r="D86" s="179">
        <f>IF((D90/365)=0,0,+D87/(D90/365))</f>
        <v>63.469662979407715</v>
      </c>
      <c r="E86" s="179">
        <f>IF((E90/365)=0,0,+E87/(E90/365))</f>
        <v>54.559879099147693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13574712</v>
      </c>
      <c r="D87" s="51">
        <f>+D69</f>
        <v>16045268</v>
      </c>
      <c r="E87" s="51">
        <f>+E69</f>
        <v>14335503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95714493</v>
      </c>
      <c r="D88" s="51">
        <f t="shared" si="0"/>
        <v>96763604</v>
      </c>
      <c r="E88" s="51">
        <f t="shared" si="0"/>
        <v>100411939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4396933</v>
      </c>
      <c r="D89" s="52">
        <f t="shared" si="0"/>
        <v>4490815</v>
      </c>
      <c r="E89" s="52">
        <f t="shared" si="0"/>
        <v>4508893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91317560</v>
      </c>
      <c r="D90" s="51">
        <f>+D88-D89</f>
        <v>92272789</v>
      </c>
      <c r="E90" s="51">
        <f>+E88-E89</f>
        <v>95903046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60.567622251387732</v>
      </c>
      <c r="D94" s="192">
        <f>IF(D96=0,0,(D95/D96)*100)</f>
        <v>29.661497606161458</v>
      </c>
      <c r="E94" s="192">
        <f>IF(E96=0,0,(E95/E96)*100)</f>
        <v>27.689353824323693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45778471</v>
      </c>
      <c r="D95" s="51">
        <f>+D32</f>
        <v>23306105</v>
      </c>
      <c r="E95" s="51">
        <f>+E32</f>
        <v>22173961</v>
      </c>
      <c r="F95" s="28"/>
    </row>
    <row r="96" spans="1:6" ht="24" customHeight="1" x14ac:dyDescent="0.25">
      <c r="A96" s="21">
        <v>3</v>
      </c>
      <c r="B96" s="48" t="s">
        <v>43</v>
      </c>
      <c r="C96" s="51">
        <v>75582414</v>
      </c>
      <c r="D96" s="51">
        <v>78573595</v>
      </c>
      <c r="E96" s="51">
        <v>80081179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5.7171378371757298</v>
      </c>
      <c r="D98" s="192">
        <f>IF(D104=0,0,(D101/D104)*100)</f>
        <v>20.396973996661686</v>
      </c>
      <c r="E98" s="192">
        <f>IF(E104=0,0,(E101/E104)*100)</f>
        <v>29.752485736363976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-2811873</v>
      </c>
      <c r="D99" s="51">
        <f>+D28</f>
        <v>1560002</v>
      </c>
      <c r="E99" s="51">
        <f>+E28</f>
        <v>4127245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4396933</v>
      </c>
      <c r="D100" s="52">
        <f>+D76</f>
        <v>4490815</v>
      </c>
      <c r="E100" s="52">
        <f>+E76</f>
        <v>4508893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1585060</v>
      </c>
      <c r="D101" s="51">
        <f>+D99+D100</f>
        <v>6050817</v>
      </c>
      <c r="E101" s="51">
        <f>+E99+E100</f>
        <v>8636138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13574712</v>
      </c>
      <c r="D102" s="180">
        <f>+D69</f>
        <v>16045268</v>
      </c>
      <c r="E102" s="180">
        <f>+E69</f>
        <v>14335503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14150000</v>
      </c>
      <c r="D103" s="194">
        <v>13620000</v>
      </c>
      <c r="E103" s="194">
        <v>14691107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27724712</v>
      </c>
      <c r="D104" s="180">
        <f>+D102+D103</f>
        <v>29665268</v>
      </c>
      <c r="E104" s="180">
        <f>+E102+E103</f>
        <v>29026610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23.611481761315083</v>
      </c>
      <c r="D106" s="197">
        <f>IF(D109=0,0,(D107/D109)*100)</f>
        <v>36.884475088829433</v>
      </c>
      <c r="E106" s="197">
        <f>IF(E109=0,0,(E107/E109)*100)</f>
        <v>39.851023738787084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14150000</v>
      </c>
      <c r="D107" s="180">
        <f>+D103</f>
        <v>13620000</v>
      </c>
      <c r="E107" s="180">
        <f>+E103</f>
        <v>14691107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45778471</v>
      </c>
      <c r="D108" s="180">
        <f>+D32</f>
        <v>23306105</v>
      </c>
      <c r="E108" s="180">
        <f>+E32</f>
        <v>22173961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59928471</v>
      </c>
      <c r="D109" s="180">
        <f>+D107+D108</f>
        <v>36926105</v>
      </c>
      <c r="E109" s="180">
        <f>+E107+E108</f>
        <v>36865068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3.1803890712306835</v>
      </c>
      <c r="D111" s="197">
        <f>IF((+D113+D115)=0,0,((+D112+D113+D114)/(+D113+D115)))</f>
        <v>5.5768458877114524</v>
      </c>
      <c r="E111" s="197">
        <f>IF((+E113+E115)=0,0,((+E112+E113+E114)/(+E113+E115)))</f>
        <v>7.2855771489895247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-2811873</v>
      </c>
      <c r="D112" s="180">
        <f>+D17</f>
        <v>1560002</v>
      </c>
      <c r="E112" s="180">
        <f>+E17</f>
        <v>4127245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726962</v>
      </c>
      <c r="D113" s="180">
        <v>712804</v>
      </c>
      <c r="E113" s="180">
        <v>759641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4396933</v>
      </c>
      <c r="D114" s="180">
        <v>4490815</v>
      </c>
      <c r="E114" s="180">
        <v>4508893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500000</v>
      </c>
      <c r="E115" s="180">
        <v>530000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11.725097243919796</v>
      </c>
      <c r="D119" s="197">
        <f>IF(+D121=0,0,(+D120)/(+D121))</f>
        <v>12.373246281576952</v>
      </c>
      <c r="E119" s="197">
        <f>IF(+E121=0,0,(+E120)/(+E121))</f>
        <v>13.289775783102415</v>
      </c>
    </row>
    <row r="120" spans="1:8" ht="24" customHeight="1" x14ac:dyDescent="0.25">
      <c r="A120" s="17">
        <v>21</v>
      </c>
      <c r="B120" s="48" t="s">
        <v>369</v>
      </c>
      <c r="C120" s="180">
        <v>51554467</v>
      </c>
      <c r="D120" s="180">
        <v>55565960</v>
      </c>
      <c r="E120" s="180">
        <v>59922177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4396933</v>
      </c>
      <c r="D121" s="180">
        <v>4490815</v>
      </c>
      <c r="E121" s="180">
        <v>4508893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20465</v>
      </c>
      <c r="D124" s="198">
        <v>20204</v>
      </c>
      <c r="E124" s="198">
        <v>18876</v>
      </c>
    </row>
    <row r="125" spans="1:8" ht="24" customHeight="1" x14ac:dyDescent="0.2">
      <c r="A125" s="44">
        <v>2</v>
      </c>
      <c r="B125" s="48" t="s">
        <v>373</v>
      </c>
      <c r="C125" s="198">
        <v>5387</v>
      </c>
      <c r="D125" s="198">
        <v>5573</v>
      </c>
      <c r="E125" s="198">
        <v>5202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3.7989604603675513</v>
      </c>
      <c r="D126" s="199">
        <f>IF(D125=0,0,D124/D125)</f>
        <v>3.6253364435671989</v>
      </c>
      <c r="E126" s="199">
        <f>IF(E125=0,0,E124/E125)</f>
        <v>3.6286043829296424</v>
      </c>
    </row>
    <row r="127" spans="1:8" ht="24" customHeight="1" x14ac:dyDescent="0.2">
      <c r="A127" s="44">
        <v>4</v>
      </c>
      <c r="B127" s="48" t="s">
        <v>375</v>
      </c>
      <c r="C127" s="198">
        <v>72</v>
      </c>
      <c r="D127" s="198">
        <v>72</v>
      </c>
      <c r="E127" s="198">
        <v>72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122</v>
      </c>
      <c r="E128" s="198">
        <v>122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143</v>
      </c>
      <c r="D129" s="198">
        <v>122</v>
      </c>
      <c r="E129" s="198">
        <v>122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0.77869999999999995</v>
      </c>
      <c r="D130" s="171">
        <v>0.76870000000000005</v>
      </c>
      <c r="E130" s="171">
        <v>0.71819999999999995</v>
      </c>
    </row>
    <row r="131" spans="1:8" ht="24" customHeight="1" x14ac:dyDescent="0.2">
      <c r="A131" s="44">
        <v>7</v>
      </c>
      <c r="B131" s="48" t="s">
        <v>379</v>
      </c>
      <c r="C131" s="171">
        <v>0.45950000000000002</v>
      </c>
      <c r="D131" s="171">
        <v>0.45369999999999999</v>
      </c>
      <c r="E131" s="171">
        <v>0.42380000000000001</v>
      </c>
    </row>
    <row r="132" spans="1:8" ht="24" customHeight="1" x14ac:dyDescent="0.2">
      <c r="A132" s="44">
        <v>8</v>
      </c>
      <c r="B132" s="48" t="s">
        <v>380</v>
      </c>
      <c r="C132" s="199">
        <v>714.4</v>
      </c>
      <c r="D132" s="199">
        <v>737.9</v>
      </c>
      <c r="E132" s="199">
        <v>774.8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0.41671567937798026</v>
      </c>
      <c r="D135" s="203">
        <f>IF(D149=0,0,D143/D149)</f>
        <v>0.41306858249787942</v>
      </c>
      <c r="E135" s="203">
        <f>IF(E149=0,0,E143/E149)</f>
        <v>0.40618447251670758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0.40207880241653049</v>
      </c>
      <c r="D136" s="203">
        <f>IF(D149=0,0,D144/D149)</f>
        <v>0.39881253194404159</v>
      </c>
      <c r="E136" s="203">
        <f>IF(E149=0,0,E144/E149)</f>
        <v>0.3834064847264293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0.12192809099085863</v>
      </c>
      <c r="D137" s="203">
        <f>IF(D149=0,0,D145/D149)</f>
        <v>0.13293710394998157</v>
      </c>
      <c r="E137" s="203">
        <f>IF(E149=0,0,E145/E149)</f>
        <v>0.16238438385423895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3.0511178819196405E-2</v>
      </c>
      <c r="D138" s="203">
        <f>IF(D149=0,0,D146/D149)</f>
        <v>2.9012466528877776E-2</v>
      </c>
      <c r="E138" s="203">
        <f>IF(E149=0,0,E146/E149)</f>
        <v>1.7299077913642717E-2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2.2097228339614489E-2</v>
      </c>
      <c r="D139" s="203">
        <f>IF(D149=0,0,D147/D149)</f>
        <v>2.1119514734028455E-2</v>
      </c>
      <c r="E139" s="203">
        <f>IF(E149=0,0,E147/E149)</f>
        <v>2.2502608454755029E-2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6.6690200558197008E-3</v>
      </c>
      <c r="D140" s="203">
        <f>IF(D149=0,0,D148/D149)</f>
        <v>5.0498003451911961E-3</v>
      </c>
      <c r="E140" s="203">
        <f>IF(E149=0,0,E148/E149)</f>
        <v>8.2229725342264116E-3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64191580</v>
      </c>
      <c r="D143" s="205">
        <f>+D46-D147</f>
        <v>68388048</v>
      </c>
      <c r="E143" s="205">
        <f>+E46-E147</f>
        <v>68583067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61936891</v>
      </c>
      <c r="D144" s="205">
        <f>+D51</f>
        <v>66027802</v>
      </c>
      <c r="E144" s="205">
        <f>+E51</f>
        <v>64737070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18782007</v>
      </c>
      <c r="D145" s="205">
        <f>+D55</f>
        <v>22009200</v>
      </c>
      <c r="E145" s="205">
        <f>+E55</f>
        <v>27418131</v>
      </c>
    </row>
    <row r="146" spans="1:7" ht="20.100000000000001" customHeight="1" x14ac:dyDescent="0.2">
      <c r="A146" s="202">
        <v>11</v>
      </c>
      <c r="B146" s="201" t="s">
        <v>392</v>
      </c>
      <c r="C146" s="204">
        <v>4699993</v>
      </c>
      <c r="D146" s="205">
        <v>4803333</v>
      </c>
      <c r="E146" s="205">
        <v>2920899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3403894</v>
      </c>
      <c r="D147" s="205">
        <f>+D47</f>
        <v>3496568</v>
      </c>
      <c r="E147" s="205">
        <f>+E47</f>
        <v>3799500</v>
      </c>
    </row>
    <row r="148" spans="1:7" ht="20.100000000000001" customHeight="1" x14ac:dyDescent="0.2">
      <c r="A148" s="202">
        <v>13</v>
      </c>
      <c r="B148" s="201" t="s">
        <v>394</v>
      </c>
      <c r="C148" s="206">
        <v>1027307</v>
      </c>
      <c r="D148" s="205">
        <v>836050</v>
      </c>
      <c r="E148" s="205">
        <v>1388425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154041672</v>
      </c>
      <c r="D149" s="205">
        <f>SUM(D143:D148)</f>
        <v>165561001</v>
      </c>
      <c r="E149" s="205">
        <f>SUM(E143:E148)</f>
        <v>168847092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0.51562764557195861</v>
      </c>
      <c r="D152" s="203">
        <f>IF(D166=0,0,D160/D166)</f>
        <v>0.50594518046371295</v>
      </c>
      <c r="E152" s="203">
        <f>IF(E166=0,0,E160/E166)</f>
        <v>0.49090533124954189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0.37208308095117137</v>
      </c>
      <c r="D153" s="203">
        <f>IF(D166=0,0,D161/D166)</f>
        <v>0.37015078583028682</v>
      </c>
      <c r="E153" s="203">
        <f>IF(E166=0,0,E161/E166)</f>
        <v>0.37553207598991706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8.9471794480098663E-2</v>
      </c>
      <c r="D154" s="203">
        <f>IF(D166=0,0,D162/D166)</f>
        <v>0.10669308473891403</v>
      </c>
      <c r="E154" s="203">
        <f>IF(E166=0,0,E162/E166)</f>
        <v>0.1183675025405788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1.4488245948415159E-2</v>
      </c>
      <c r="D155" s="203">
        <f>IF(D166=0,0,D163/D166)</f>
        <v>1.0407670682189153E-2</v>
      </c>
      <c r="E155" s="203">
        <f>IF(E166=0,0,E163/E166)</f>
        <v>5.8669825238875884E-3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3.059600084551725E-3</v>
      </c>
      <c r="D156" s="203">
        <f>IF(D166=0,0,D164/D166)</f>
        <v>2.30026893938731E-3</v>
      </c>
      <c r="E156" s="203">
        <f>IF(E166=0,0,E164/E166)</f>
        <v>1.8241448209982605E-3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5.2696329638044015E-3</v>
      </c>
      <c r="D157" s="203">
        <f>IF(D166=0,0,D165/D166)</f>
        <v>4.5030093455097325E-3</v>
      </c>
      <c r="E157" s="203">
        <f>IF(E166=0,0,E165/E166)</f>
        <v>7.5039628750763823E-3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43542357</v>
      </c>
      <c r="D160" s="208">
        <f>+D44-D164</f>
        <v>46543714</v>
      </c>
      <c r="E160" s="208">
        <f>+E44-E164</f>
        <v>47271722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31420686</v>
      </c>
      <c r="D161" s="208">
        <f>+D50</f>
        <v>34051500</v>
      </c>
      <c r="E161" s="208">
        <f>+E50</f>
        <v>36161856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7555477</v>
      </c>
      <c r="D162" s="208">
        <f>+D54</f>
        <v>9815080</v>
      </c>
      <c r="E162" s="208">
        <f>+E54</f>
        <v>11398197</v>
      </c>
    </row>
    <row r="163" spans="1:6" ht="20.100000000000001" customHeight="1" x14ac:dyDescent="0.2">
      <c r="A163" s="202">
        <v>11</v>
      </c>
      <c r="B163" s="201" t="s">
        <v>408</v>
      </c>
      <c r="C163" s="207">
        <v>1223465</v>
      </c>
      <c r="D163" s="208">
        <v>957439</v>
      </c>
      <c r="E163" s="208">
        <v>564961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258369</v>
      </c>
      <c r="D164" s="208">
        <f>+D45</f>
        <v>211610</v>
      </c>
      <c r="E164" s="208">
        <f>+E45</f>
        <v>175656</v>
      </c>
    </row>
    <row r="165" spans="1:6" ht="20.100000000000001" customHeight="1" x14ac:dyDescent="0.2">
      <c r="A165" s="202">
        <v>13</v>
      </c>
      <c r="B165" s="201" t="s">
        <v>410</v>
      </c>
      <c r="C165" s="209">
        <v>444996</v>
      </c>
      <c r="D165" s="208">
        <v>414248</v>
      </c>
      <c r="E165" s="208">
        <v>722594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84445350</v>
      </c>
      <c r="D166" s="208">
        <f>SUM(D160:D165)</f>
        <v>91993591</v>
      </c>
      <c r="E166" s="208">
        <f>SUM(E160:E165)</f>
        <v>96294986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1980</v>
      </c>
      <c r="D169" s="198">
        <v>2019</v>
      </c>
      <c r="E169" s="198">
        <v>1726</v>
      </c>
    </row>
    <row r="170" spans="1:6" ht="20.100000000000001" customHeight="1" x14ac:dyDescent="0.2">
      <c r="A170" s="202">
        <v>2</v>
      </c>
      <c r="B170" s="201" t="s">
        <v>414</v>
      </c>
      <c r="C170" s="198">
        <v>2333</v>
      </c>
      <c r="D170" s="198">
        <v>2571</v>
      </c>
      <c r="E170" s="198">
        <v>2334</v>
      </c>
    </row>
    <row r="171" spans="1:6" ht="20.100000000000001" customHeight="1" x14ac:dyDescent="0.2">
      <c r="A171" s="202">
        <v>3</v>
      </c>
      <c r="B171" s="201" t="s">
        <v>415</v>
      </c>
      <c r="C171" s="198">
        <v>1038</v>
      </c>
      <c r="D171" s="198">
        <v>970</v>
      </c>
      <c r="E171" s="198">
        <v>1096</v>
      </c>
    </row>
    <row r="172" spans="1:6" ht="20.100000000000001" customHeight="1" x14ac:dyDescent="0.2">
      <c r="A172" s="202">
        <v>4</v>
      </c>
      <c r="B172" s="201" t="s">
        <v>416</v>
      </c>
      <c r="C172" s="198">
        <v>821</v>
      </c>
      <c r="D172" s="198">
        <v>871</v>
      </c>
      <c r="E172" s="198">
        <v>1050</v>
      </c>
    </row>
    <row r="173" spans="1:6" ht="20.100000000000001" customHeight="1" x14ac:dyDescent="0.2">
      <c r="A173" s="202">
        <v>5</v>
      </c>
      <c r="B173" s="201" t="s">
        <v>417</v>
      </c>
      <c r="C173" s="198">
        <v>217</v>
      </c>
      <c r="D173" s="198">
        <v>99</v>
      </c>
      <c r="E173" s="198">
        <v>46</v>
      </c>
    </row>
    <row r="174" spans="1:6" ht="20.100000000000001" customHeight="1" x14ac:dyDescent="0.2">
      <c r="A174" s="202">
        <v>6</v>
      </c>
      <c r="B174" s="201" t="s">
        <v>418</v>
      </c>
      <c r="C174" s="198">
        <v>36</v>
      </c>
      <c r="D174" s="198">
        <v>13</v>
      </c>
      <c r="E174" s="198">
        <v>46</v>
      </c>
    </row>
    <row r="175" spans="1:6" ht="20.100000000000001" customHeight="1" x14ac:dyDescent="0.2">
      <c r="A175" s="202">
        <v>7</v>
      </c>
      <c r="B175" s="201" t="s">
        <v>419</v>
      </c>
      <c r="C175" s="198">
        <v>83</v>
      </c>
      <c r="D175" s="198">
        <v>72</v>
      </c>
      <c r="E175" s="198">
        <v>81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5387</v>
      </c>
      <c r="D176" s="198">
        <f>+D169+D170+D171+D174</f>
        <v>5573</v>
      </c>
      <c r="E176" s="198">
        <f>+E169+E170+E171+E174</f>
        <v>5202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0.78280000000000005</v>
      </c>
      <c r="D179" s="210">
        <v>0.82840000000000003</v>
      </c>
      <c r="E179" s="210">
        <v>0.82930000000000004</v>
      </c>
    </row>
    <row r="180" spans="1:6" ht="20.100000000000001" customHeight="1" x14ac:dyDescent="0.2">
      <c r="A180" s="202">
        <v>2</v>
      </c>
      <c r="B180" s="201" t="s">
        <v>414</v>
      </c>
      <c r="C180" s="210">
        <v>1.0832999999999999</v>
      </c>
      <c r="D180" s="210">
        <v>1.1093</v>
      </c>
      <c r="E180" s="210">
        <v>1.0235000000000001</v>
      </c>
    </row>
    <row r="181" spans="1:6" ht="20.100000000000001" customHeight="1" x14ac:dyDescent="0.2">
      <c r="A181" s="202">
        <v>3</v>
      </c>
      <c r="B181" s="201" t="s">
        <v>415</v>
      </c>
      <c r="C181" s="210">
        <v>0.64144299999999999</v>
      </c>
      <c r="D181" s="210">
        <v>0.62160000000000004</v>
      </c>
      <c r="E181" s="210">
        <v>0.82310000000000005</v>
      </c>
    </row>
    <row r="182" spans="1:6" ht="20.100000000000001" customHeight="1" x14ac:dyDescent="0.2">
      <c r="A182" s="202">
        <v>4</v>
      </c>
      <c r="B182" s="201" t="s">
        <v>416</v>
      </c>
      <c r="C182" s="210">
        <v>0.62890000000000001</v>
      </c>
      <c r="D182" s="210">
        <v>0.62160000000000004</v>
      </c>
      <c r="E182" s="210">
        <v>0.82310000000000005</v>
      </c>
    </row>
    <row r="183" spans="1:6" ht="20.100000000000001" customHeight="1" x14ac:dyDescent="0.2">
      <c r="A183" s="202">
        <v>5</v>
      </c>
      <c r="B183" s="201" t="s">
        <v>417</v>
      </c>
      <c r="C183" s="210">
        <v>0.68889999999999996</v>
      </c>
      <c r="D183" s="210">
        <v>0.62160000000000004</v>
      </c>
      <c r="E183" s="210">
        <v>0.82310000000000005</v>
      </c>
    </row>
    <row r="184" spans="1:6" ht="20.100000000000001" customHeight="1" x14ac:dyDescent="0.2">
      <c r="A184" s="202">
        <v>6</v>
      </c>
      <c r="B184" s="201" t="s">
        <v>418</v>
      </c>
      <c r="C184" s="210">
        <v>0.5423</v>
      </c>
      <c r="D184" s="210">
        <v>0.96909999999999996</v>
      </c>
      <c r="E184" s="210">
        <v>0.66579999999999995</v>
      </c>
    </row>
    <row r="185" spans="1:6" ht="20.100000000000001" customHeight="1" x14ac:dyDescent="0.2">
      <c r="A185" s="202">
        <v>7</v>
      </c>
      <c r="B185" s="201" t="s">
        <v>419</v>
      </c>
      <c r="C185" s="210">
        <v>0.77839999999999998</v>
      </c>
      <c r="D185" s="210">
        <v>0.90949999999999998</v>
      </c>
      <c r="E185" s="210">
        <v>0.85670000000000002</v>
      </c>
    </row>
    <row r="186" spans="1:6" ht="20.100000000000001" customHeight="1" x14ac:dyDescent="0.2">
      <c r="A186" s="202">
        <v>8</v>
      </c>
      <c r="B186" s="201" t="s">
        <v>423</v>
      </c>
      <c r="C186" s="210">
        <v>0.88409499999999996</v>
      </c>
      <c r="D186" s="210">
        <v>0.92232099999999995</v>
      </c>
      <c r="E186" s="210">
        <v>0.91368000000000005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3505</v>
      </c>
      <c r="D189" s="198">
        <v>3673</v>
      </c>
      <c r="E189" s="198">
        <v>3604</v>
      </c>
    </row>
    <row r="190" spans="1:6" ht="20.100000000000001" customHeight="1" x14ac:dyDescent="0.2">
      <c r="A190" s="202">
        <v>2</v>
      </c>
      <c r="B190" s="201" t="s">
        <v>427</v>
      </c>
      <c r="C190" s="198">
        <v>24650</v>
      </c>
      <c r="D190" s="198">
        <v>30101</v>
      </c>
      <c r="E190" s="198">
        <v>28650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28155</v>
      </c>
      <c r="D191" s="198">
        <f>+D190+D189</f>
        <v>33774</v>
      </c>
      <c r="E191" s="198">
        <f>+E190+E189</f>
        <v>32254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0" orientation="portrait" r:id="rId1"/>
  <headerFooter>
    <oddHeader>&amp;LOFFICE OF HEALTH CARE ACCESS&amp;CTWELVE MONTHS ACTUAL FILING&amp;RDAY KIMBALL HOSPITAL</oddHeader>
    <oddFooter>&amp;L&amp;8REPORT 185&amp;C&amp;8PAGE &amp;P of &amp;N&amp;R&amp;D, &amp;T</oddFooter>
  </headerFooter>
  <rowBreaks count="4" manualBreakCount="4">
    <brk id="47" max="4" man="1"/>
    <brk id="78" max="4" man="1"/>
    <brk id="115" max="4" man="1"/>
    <brk id="150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5" width="21.570312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429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18580</v>
      </c>
      <c r="D27" s="237">
        <v>11871</v>
      </c>
      <c r="E27" s="237">
        <f t="shared" ref="E27:E37" si="2">D27-C27</f>
        <v>-6709</v>
      </c>
      <c r="F27" s="238">
        <f t="shared" ref="F27:F37" si="3">IF(C27=0,0,E27/C27)</f>
        <v>-0.36108719052744886</v>
      </c>
    </row>
    <row r="28" spans="1:6" ht="20.25" customHeight="1" x14ac:dyDescent="0.3">
      <c r="A28" s="235">
        <v>2</v>
      </c>
      <c r="B28" s="236" t="s">
        <v>435</v>
      </c>
      <c r="C28" s="237">
        <v>7563</v>
      </c>
      <c r="D28" s="237">
        <v>3717</v>
      </c>
      <c r="E28" s="237">
        <f t="shared" si="2"/>
        <v>-3846</v>
      </c>
      <c r="F28" s="238">
        <f t="shared" si="3"/>
        <v>-0.50852836176120586</v>
      </c>
    </row>
    <row r="29" spans="1:6" ht="20.25" customHeight="1" x14ac:dyDescent="0.3">
      <c r="A29" s="235">
        <v>3</v>
      </c>
      <c r="B29" s="236" t="s">
        <v>436</v>
      </c>
      <c r="C29" s="237">
        <v>21132</v>
      </c>
      <c r="D29" s="237">
        <v>16861</v>
      </c>
      <c r="E29" s="237">
        <f t="shared" si="2"/>
        <v>-4271</v>
      </c>
      <c r="F29" s="238">
        <f t="shared" si="3"/>
        <v>-0.20211054325194019</v>
      </c>
    </row>
    <row r="30" spans="1:6" ht="20.25" customHeight="1" x14ac:dyDescent="0.3">
      <c r="A30" s="235">
        <v>4</v>
      </c>
      <c r="B30" s="236" t="s">
        <v>437</v>
      </c>
      <c r="C30" s="237">
        <v>10627</v>
      </c>
      <c r="D30" s="237">
        <v>7720</v>
      </c>
      <c r="E30" s="237">
        <f t="shared" si="2"/>
        <v>-2907</v>
      </c>
      <c r="F30" s="238">
        <f t="shared" si="3"/>
        <v>-0.27354850851604406</v>
      </c>
    </row>
    <row r="31" spans="1:6" ht="20.25" customHeight="1" x14ac:dyDescent="0.3">
      <c r="A31" s="235">
        <v>5</v>
      </c>
      <c r="B31" s="236" t="s">
        <v>373</v>
      </c>
      <c r="C31" s="239">
        <v>2</v>
      </c>
      <c r="D31" s="239">
        <v>1</v>
      </c>
      <c r="E31" s="239">
        <f t="shared" si="2"/>
        <v>-1</v>
      </c>
      <c r="F31" s="238">
        <f t="shared" si="3"/>
        <v>-0.5</v>
      </c>
    </row>
    <row r="32" spans="1:6" ht="20.25" customHeight="1" x14ac:dyDescent="0.3">
      <c r="A32" s="235">
        <v>6</v>
      </c>
      <c r="B32" s="236" t="s">
        <v>372</v>
      </c>
      <c r="C32" s="239">
        <v>5</v>
      </c>
      <c r="D32" s="239">
        <v>3</v>
      </c>
      <c r="E32" s="239">
        <f t="shared" si="2"/>
        <v>-2</v>
      </c>
      <c r="F32" s="238">
        <f t="shared" si="3"/>
        <v>-0.4</v>
      </c>
    </row>
    <row r="33" spans="1:6" ht="20.25" customHeight="1" x14ac:dyDescent="0.3">
      <c r="A33" s="235">
        <v>7</v>
      </c>
      <c r="B33" s="236" t="s">
        <v>438</v>
      </c>
      <c r="C33" s="239">
        <v>36</v>
      </c>
      <c r="D33" s="239">
        <v>52</v>
      </c>
      <c r="E33" s="239">
        <f t="shared" si="2"/>
        <v>16</v>
      </c>
      <c r="F33" s="238">
        <f t="shared" si="3"/>
        <v>0.44444444444444442</v>
      </c>
    </row>
    <row r="34" spans="1:6" ht="20.25" customHeight="1" x14ac:dyDescent="0.3">
      <c r="A34" s="235">
        <v>8</v>
      </c>
      <c r="B34" s="236" t="s">
        <v>439</v>
      </c>
      <c r="C34" s="239">
        <v>3</v>
      </c>
      <c r="D34" s="239">
        <v>3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39712</v>
      </c>
      <c r="D36" s="243">
        <f>+D27+D29</f>
        <v>28732</v>
      </c>
      <c r="E36" s="243">
        <f t="shared" si="2"/>
        <v>-10980</v>
      </c>
      <c r="F36" s="244">
        <f t="shared" si="3"/>
        <v>-0.27649073327961321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18190</v>
      </c>
      <c r="D37" s="243">
        <f>+D28+D30</f>
        <v>11437</v>
      </c>
      <c r="E37" s="243">
        <f t="shared" si="2"/>
        <v>-6753</v>
      </c>
      <c r="F37" s="244">
        <f t="shared" si="3"/>
        <v>-0.37124793842770754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649206</v>
      </c>
      <c r="D40" s="237">
        <v>655709</v>
      </c>
      <c r="E40" s="237">
        <f t="shared" ref="E40:E50" si="4">D40-C40</f>
        <v>6503</v>
      </c>
      <c r="F40" s="238">
        <f t="shared" ref="F40:F50" si="5">IF(C40=0,0,E40/C40)</f>
        <v>1.0016851353807574E-2</v>
      </c>
    </row>
    <row r="41" spans="1:6" ht="20.25" customHeight="1" x14ac:dyDescent="0.3">
      <c r="A41" s="235">
        <v>2</v>
      </c>
      <c r="B41" s="236" t="s">
        <v>435</v>
      </c>
      <c r="C41" s="237">
        <v>374077</v>
      </c>
      <c r="D41" s="237">
        <v>328402</v>
      </c>
      <c r="E41" s="237">
        <f t="shared" si="4"/>
        <v>-45675</v>
      </c>
      <c r="F41" s="238">
        <f t="shared" si="5"/>
        <v>-0.12210053010476453</v>
      </c>
    </row>
    <row r="42" spans="1:6" ht="20.25" customHeight="1" x14ac:dyDescent="0.3">
      <c r="A42" s="235">
        <v>3</v>
      </c>
      <c r="B42" s="236" t="s">
        <v>436</v>
      </c>
      <c r="C42" s="237">
        <v>1014767</v>
      </c>
      <c r="D42" s="237">
        <v>1000800</v>
      </c>
      <c r="E42" s="237">
        <f t="shared" si="4"/>
        <v>-13967</v>
      </c>
      <c r="F42" s="238">
        <f t="shared" si="5"/>
        <v>-1.3763750693508953E-2</v>
      </c>
    </row>
    <row r="43" spans="1:6" ht="20.25" customHeight="1" x14ac:dyDescent="0.3">
      <c r="A43" s="235">
        <v>4</v>
      </c>
      <c r="B43" s="236" t="s">
        <v>437</v>
      </c>
      <c r="C43" s="237">
        <v>514308</v>
      </c>
      <c r="D43" s="237">
        <v>351717</v>
      </c>
      <c r="E43" s="237">
        <f t="shared" si="4"/>
        <v>-162591</v>
      </c>
      <c r="F43" s="238">
        <f t="shared" si="5"/>
        <v>-0.31613546746307658</v>
      </c>
    </row>
    <row r="44" spans="1:6" ht="20.25" customHeight="1" x14ac:dyDescent="0.3">
      <c r="A44" s="235">
        <v>5</v>
      </c>
      <c r="B44" s="236" t="s">
        <v>373</v>
      </c>
      <c r="C44" s="239">
        <v>54</v>
      </c>
      <c r="D44" s="239">
        <v>48</v>
      </c>
      <c r="E44" s="239">
        <f t="shared" si="4"/>
        <v>-6</v>
      </c>
      <c r="F44" s="238">
        <f t="shared" si="5"/>
        <v>-0.1111111111111111</v>
      </c>
    </row>
    <row r="45" spans="1:6" ht="20.25" customHeight="1" x14ac:dyDescent="0.3">
      <c r="A45" s="235">
        <v>6</v>
      </c>
      <c r="B45" s="236" t="s">
        <v>372</v>
      </c>
      <c r="C45" s="239">
        <v>195</v>
      </c>
      <c r="D45" s="239">
        <v>197</v>
      </c>
      <c r="E45" s="239">
        <f t="shared" si="4"/>
        <v>2</v>
      </c>
      <c r="F45" s="238">
        <f t="shared" si="5"/>
        <v>1.0256410256410256E-2</v>
      </c>
    </row>
    <row r="46" spans="1:6" ht="20.25" customHeight="1" x14ac:dyDescent="0.3">
      <c r="A46" s="235">
        <v>7</v>
      </c>
      <c r="B46" s="236" t="s">
        <v>438</v>
      </c>
      <c r="C46" s="239">
        <v>1829</v>
      </c>
      <c r="D46" s="239">
        <v>2264</v>
      </c>
      <c r="E46" s="239">
        <f t="shared" si="4"/>
        <v>435</v>
      </c>
      <c r="F46" s="238">
        <f t="shared" si="5"/>
        <v>0.23783488244942591</v>
      </c>
    </row>
    <row r="47" spans="1:6" ht="20.25" customHeight="1" x14ac:dyDescent="0.3">
      <c r="A47" s="235">
        <v>8</v>
      </c>
      <c r="B47" s="236" t="s">
        <v>439</v>
      </c>
      <c r="C47" s="239">
        <v>75</v>
      </c>
      <c r="D47" s="239">
        <v>101</v>
      </c>
      <c r="E47" s="239">
        <f t="shared" si="4"/>
        <v>26</v>
      </c>
      <c r="F47" s="238">
        <f t="shared" si="5"/>
        <v>0.34666666666666668</v>
      </c>
    </row>
    <row r="48" spans="1:6" ht="20.25" customHeight="1" x14ac:dyDescent="0.3">
      <c r="A48" s="235">
        <v>9</v>
      </c>
      <c r="B48" s="236" t="s">
        <v>440</v>
      </c>
      <c r="C48" s="239">
        <v>0</v>
      </c>
      <c r="D48" s="239">
        <v>0</v>
      </c>
      <c r="E48" s="239">
        <f t="shared" si="4"/>
        <v>0</v>
      </c>
      <c r="F48" s="238">
        <f t="shared" si="5"/>
        <v>0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1663973</v>
      </c>
      <c r="D49" s="243">
        <f>+D40+D42</f>
        <v>1656509</v>
      </c>
      <c r="E49" s="243">
        <f t="shared" si="4"/>
        <v>-7464</v>
      </c>
      <c r="F49" s="244">
        <f t="shared" si="5"/>
        <v>-4.4856497070565448E-3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888385</v>
      </c>
      <c r="D50" s="243">
        <f>+D41+D43</f>
        <v>680119</v>
      </c>
      <c r="E50" s="243">
        <f t="shared" si="4"/>
        <v>-208266</v>
      </c>
      <c r="F50" s="244">
        <f t="shared" si="5"/>
        <v>-0.23443214372147211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1713338</v>
      </c>
      <c r="D53" s="237">
        <v>2124237</v>
      </c>
      <c r="E53" s="237">
        <f t="shared" ref="E53:E63" si="6">D53-C53</f>
        <v>410899</v>
      </c>
      <c r="F53" s="238">
        <f t="shared" ref="F53:F63" si="7">IF(C53=0,0,E53/C53)</f>
        <v>0.23982366584993736</v>
      </c>
    </row>
    <row r="54" spans="1:6" ht="20.25" customHeight="1" x14ac:dyDescent="0.3">
      <c r="A54" s="235">
        <v>2</v>
      </c>
      <c r="B54" s="236" t="s">
        <v>435</v>
      </c>
      <c r="C54" s="237">
        <v>983574</v>
      </c>
      <c r="D54" s="237">
        <v>1174687</v>
      </c>
      <c r="E54" s="237">
        <f t="shared" si="6"/>
        <v>191113</v>
      </c>
      <c r="F54" s="238">
        <f t="shared" si="7"/>
        <v>0.19430464815052045</v>
      </c>
    </row>
    <row r="55" spans="1:6" ht="20.25" customHeight="1" x14ac:dyDescent="0.3">
      <c r="A55" s="235">
        <v>3</v>
      </c>
      <c r="B55" s="236" t="s">
        <v>436</v>
      </c>
      <c r="C55" s="237">
        <v>2377839</v>
      </c>
      <c r="D55" s="237">
        <v>2537981</v>
      </c>
      <c r="E55" s="237">
        <f t="shared" si="6"/>
        <v>160142</v>
      </c>
      <c r="F55" s="238">
        <f t="shared" si="7"/>
        <v>6.7347705206281833E-2</v>
      </c>
    </row>
    <row r="56" spans="1:6" ht="20.25" customHeight="1" x14ac:dyDescent="0.3">
      <c r="A56" s="235">
        <v>4</v>
      </c>
      <c r="B56" s="236" t="s">
        <v>437</v>
      </c>
      <c r="C56" s="237">
        <v>989250</v>
      </c>
      <c r="D56" s="237">
        <v>954613</v>
      </c>
      <c r="E56" s="237">
        <f t="shared" si="6"/>
        <v>-34637</v>
      </c>
      <c r="F56" s="238">
        <f t="shared" si="7"/>
        <v>-3.5013393985342429E-2</v>
      </c>
    </row>
    <row r="57" spans="1:6" ht="20.25" customHeight="1" x14ac:dyDescent="0.3">
      <c r="A57" s="235">
        <v>5</v>
      </c>
      <c r="B57" s="236" t="s">
        <v>373</v>
      </c>
      <c r="C57" s="239">
        <v>143</v>
      </c>
      <c r="D57" s="239">
        <v>158</v>
      </c>
      <c r="E57" s="239">
        <f t="shared" si="6"/>
        <v>15</v>
      </c>
      <c r="F57" s="238">
        <f t="shared" si="7"/>
        <v>0.1048951048951049</v>
      </c>
    </row>
    <row r="58" spans="1:6" ht="20.25" customHeight="1" x14ac:dyDescent="0.3">
      <c r="A58" s="235">
        <v>6</v>
      </c>
      <c r="B58" s="236" t="s">
        <v>372</v>
      </c>
      <c r="C58" s="239">
        <v>486</v>
      </c>
      <c r="D58" s="239">
        <v>617</v>
      </c>
      <c r="E58" s="239">
        <f t="shared" si="6"/>
        <v>131</v>
      </c>
      <c r="F58" s="238">
        <f t="shared" si="7"/>
        <v>0.26954732510288065</v>
      </c>
    </row>
    <row r="59" spans="1:6" ht="20.25" customHeight="1" x14ac:dyDescent="0.3">
      <c r="A59" s="235">
        <v>7</v>
      </c>
      <c r="B59" s="236" t="s">
        <v>438</v>
      </c>
      <c r="C59" s="239">
        <v>5014</v>
      </c>
      <c r="D59" s="239">
        <v>5525</v>
      </c>
      <c r="E59" s="239">
        <f t="shared" si="6"/>
        <v>511</v>
      </c>
      <c r="F59" s="238">
        <f t="shared" si="7"/>
        <v>0.10191463901076984</v>
      </c>
    </row>
    <row r="60" spans="1:6" ht="20.25" customHeight="1" x14ac:dyDescent="0.3">
      <c r="A60" s="235">
        <v>8</v>
      </c>
      <c r="B60" s="236" t="s">
        <v>439</v>
      </c>
      <c r="C60" s="239">
        <v>292</v>
      </c>
      <c r="D60" s="239">
        <v>298</v>
      </c>
      <c r="E60" s="239">
        <f t="shared" si="6"/>
        <v>6</v>
      </c>
      <c r="F60" s="238">
        <f t="shared" si="7"/>
        <v>2.0547945205479451E-2</v>
      </c>
    </row>
    <row r="61" spans="1:6" ht="20.25" customHeight="1" x14ac:dyDescent="0.3">
      <c r="A61" s="235">
        <v>9</v>
      </c>
      <c r="B61" s="236" t="s">
        <v>440</v>
      </c>
      <c r="C61" s="239">
        <v>0</v>
      </c>
      <c r="D61" s="239">
        <v>0</v>
      </c>
      <c r="E61" s="239">
        <f t="shared" si="6"/>
        <v>0</v>
      </c>
      <c r="F61" s="238">
        <f t="shared" si="7"/>
        <v>0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4091177</v>
      </c>
      <c r="D62" s="243">
        <f>+D53+D55</f>
        <v>4662218</v>
      </c>
      <c r="E62" s="243">
        <f t="shared" si="6"/>
        <v>571041</v>
      </c>
      <c r="F62" s="244">
        <f t="shared" si="7"/>
        <v>0.13957865914869974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1972824</v>
      </c>
      <c r="D63" s="243">
        <f>+D54+D56</f>
        <v>2129300</v>
      </c>
      <c r="E63" s="243">
        <f t="shared" si="6"/>
        <v>156476</v>
      </c>
      <c r="F63" s="244">
        <f t="shared" si="7"/>
        <v>7.9315742306460185E-2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887048</v>
      </c>
      <c r="D66" s="237">
        <v>1166652</v>
      </c>
      <c r="E66" s="237">
        <f t="shared" ref="E66:E76" si="8">D66-C66</f>
        <v>279604</v>
      </c>
      <c r="F66" s="238">
        <f t="shared" ref="F66:F76" si="9">IF(C66=0,0,E66/C66)</f>
        <v>0.31520729430650879</v>
      </c>
    </row>
    <row r="67" spans="1:6" ht="20.25" customHeight="1" x14ac:dyDescent="0.3">
      <c r="A67" s="235">
        <v>2</v>
      </c>
      <c r="B67" s="236" t="s">
        <v>435</v>
      </c>
      <c r="C67" s="237">
        <v>465492</v>
      </c>
      <c r="D67" s="237">
        <v>685151</v>
      </c>
      <c r="E67" s="237">
        <f t="shared" si="8"/>
        <v>219659</v>
      </c>
      <c r="F67" s="238">
        <f t="shared" si="9"/>
        <v>0.47188566076323546</v>
      </c>
    </row>
    <row r="68" spans="1:6" ht="20.25" customHeight="1" x14ac:dyDescent="0.3">
      <c r="A68" s="235">
        <v>3</v>
      </c>
      <c r="B68" s="236" t="s">
        <v>436</v>
      </c>
      <c r="C68" s="237">
        <v>1102272</v>
      </c>
      <c r="D68" s="237">
        <v>1581475</v>
      </c>
      <c r="E68" s="237">
        <f t="shared" si="8"/>
        <v>479203</v>
      </c>
      <c r="F68" s="238">
        <f t="shared" si="9"/>
        <v>0.43474115281890496</v>
      </c>
    </row>
    <row r="69" spans="1:6" ht="20.25" customHeight="1" x14ac:dyDescent="0.3">
      <c r="A69" s="235">
        <v>4</v>
      </c>
      <c r="B69" s="236" t="s">
        <v>437</v>
      </c>
      <c r="C69" s="237">
        <v>512282</v>
      </c>
      <c r="D69" s="237">
        <v>514051</v>
      </c>
      <c r="E69" s="237">
        <f t="shared" si="8"/>
        <v>1769</v>
      </c>
      <c r="F69" s="238">
        <f t="shared" si="9"/>
        <v>3.4531761803069405E-3</v>
      </c>
    </row>
    <row r="70" spans="1:6" ht="20.25" customHeight="1" x14ac:dyDescent="0.3">
      <c r="A70" s="235">
        <v>5</v>
      </c>
      <c r="B70" s="236" t="s">
        <v>373</v>
      </c>
      <c r="C70" s="239">
        <v>75</v>
      </c>
      <c r="D70" s="239">
        <v>104</v>
      </c>
      <c r="E70" s="239">
        <f t="shared" si="8"/>
        <v>29</v>
      </c>
      <c r="F70" s="238">
        <f t="shared" si="9"/>
        <v>0.38666666666666666</v>
      </c>
    </row>
    <row r="71" spans="1:6" ht="20.25" customHeight="1" x14ac:dyDescent="0.3">
      <c r="A71" s="235">
        <v>6</v>
      </c>
      <c r="B71" s="236" t="s">
        <v>372</v>
      </c>
      <c r="C71" s="239">
        <v>263</v>
      </c>
      <c r="D71" s="239">
        <v>385</v>
      </c>
      <c r="E71" s="239">
        <f t="shared" si="8"/>
        <v>122</v>
      </c>
      <c r="F71" s="238">
        <f t="shared" si="9"/>
        <v>0.46387832699619774</v>
      </c>
    </row>
    <row r="72" spans="1:6" ht="20.25" customHeight="1" x14ac:dyDescent="0.3">
      <c r="A72" s="235">
        <v>7</v>
      </c>
      <c r="B72" s="236" t="s">
        <v>438</v>
      </c>
      <c r="C72" s="239">
        <v>2520</v>
      </c>
      <c r="D72" s="239">
        <v>3156</v>
      </c>
      <c r="E72" s="239">
        <f t="shared" si="8"/>
        <v>636</v>
      </c>
      <c r="F72" s="238">
        <f t="shared" si="9"/>
        <v>0.25238095238095237</v>
      </c>
    </row>
    <row r="73" spans="1:6" ht="20.25" customHeight="1" x14ac:dyDescent="0.3">
      <c r="A73" s="235">
        <v>8</v>
      </c>
      <c r="B73" s="236" t="s">
        <v>439</v>
      </c>
      <c r="C73" s="239">
        <v>242</v>
      </c>
      <c r="D73" s="239">
        <v>268</v>
      </c>
      <c r="E73" s="239">
        <f t="shared" si="8"/>
        <v>26</v>
      </c>
      <c r="F73" s="238">
        <f t="shared" si="9"/>
        <v>0.10743801652892562</v>
      </c>
    </row>
    <row r="74" spans="1:6" ht="20.25" customHeight="1" x14ac:dyDescent="0.3">
      <c r="A74" s="235">
        <v>9</v>
      </c>
      <c r="B74" s="236" t="s">
        <v>440</v>
      </c>
      <c r="C74" s="239">
        <v>0</v>
      </c>
      <c r="D74" s="239">
        <v>0</v>
      </c>
      <c r="E74" s="239">
        <f t="shared" si="8"/>
        <v>0</v>
      </c>
      <c r="F74" s="238">
        <f t="shared" si="9"/>
        <v>0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1989320</v>
      </c>
      <c r="D75" s="243">
        <f>+D66+D68</f>
        <v>2748127</v>
      </c>
      <c r="E75" s="243">
        <f t="shared" si="8"/>
        <v>758807</v>
      </c>
      <c r="F75" s="244">
        <f t="shared" si="9"/>
        <v>0.3814403916916333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977774</v>
      </c>
      <c r="D76" s="243">
        <f>+D67+D69</f>
        <v>1199202</v>
      </c>
      <c r="E76" s="243">
        <f t="shared" si="8"/>
        <v>221428</v>
      </c>
      <c r="F76" s="244">
        <f t="shared" si="9"/>
        <v>0.2264613295096822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437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439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435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436</v>
      </c>
      <c r="C107" s="237">
        <v>0</v>
      </c>
      <c r="D107" s="237">
        <v>0</v>
      </c>
      <c r="E107" s="237">
        <f t="shared" si="14"/>
        <v>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437</v>
      </c>
      <c r="C108" s="237">
        <v>0</v>
      </c>
      <c r="D108" s="237">
        <v>0</v>
      </c>
      <c r="E108" s="237">
        <f t="shared" si="14"/>
        <v>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373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372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438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439</v>
      </c>
      <c r="C112" s="239">
        <v>0</v>
      </c>
      <c r="D112" s="239">
        <v>0</v>
      </c>
      <c r="E112" s="239">
        <f t="shared" si="14"/>
        <v>0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0</v>
      </c>
      <c r="D114" s="243">
        <f>+D105+D107</f>
        <v>0</v>
      </c>
      <c r="E114" s="243">
        <f t="shared" si="14"/>
        <v>0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0</v>
      </c>
      <c r="D115" s="243">
        <f>+D106+D108</f>
        <v>0</v>
      </c>
      <c r="E115" s="243">
        <f t="shared" si="14"/>
        <v>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64408</v>
      </c>
      <c r="D118" s="237">
        <v>66423</v>
      </c>
      <c r="E118" s="237">
        <f t="shared" ref="E118:E128" si="16">D118-C118</f>
        <v>2015</v>
      </c>
      <c r="F118" s="238">
        <f t="shared" ref="F118:F128" si="17">IF(C118=0,0,E118/C118)</f>
        <v>3.1284933548627498E-2</v>
      </c>
    </row>
    <row r="119" spans="1:6" ht="20.25" customHeight="1" x14ac:dyDescent="0.3">
      <c r="A119" s="235">
        <v>2</v>
      </c>
      <c r="B119" s="236" t="s">
        <v>435</v>
      </c>
      <c r="C119" s="237">
        <v>45240</v>
      </c>
      <c r="D119" s="237">
        <v>33269</v>
      </c>
      <c r="E119" s="237">
        <f t="shared" si="16"/>
        <v>-11971</v>
      </c>
      <c r="F119" s="238">
        <f t="shared" si="17"/>
        <v>-0.26461096374889476</v>
      </c>
    </row>
    <row r="120" spans="1:6" ht="20.25" customHeight="1" x14ac:dyDescent="0.3">
      <c r="A120" s="235">
        <v>3</v>
      </c>
      <c r="B120" s="236" t="s">
        <v>436</v>
      </c>
      <c r="C120" s="237">
        <v>36535</v>
      </c>
      <c r="D120" s="237">
        <v>50967</v>
      </c>
      <c r="E120" s="237">
        <f t="shared" si="16"/>
        <v>14432</v>
      </c>
      <c r="F120" s="238">
        <f t="shared" si="17"/>
        <v>0.39501847543451485</v>
      </c>
    </row>
    <row r="121" spans="1:6" ht="20.25" customHeight="1" x14ac:dyDescent="0.3">
      <c r="A121" s="235">
        <v>4</v>
      </c>
      <c r="B121" s="236" t="s">
        <v>437</v>
      </c>
      <c r="C121" s="237">
        <v>15009</v>
      </c>
      <c r="D121" s="237">
        <v>26217</v>
      </c>
      <c r="E121" s="237">
        <f t="shared" si="16"/>
        <v>11208</v>
      </c>
      <c r="F121" s="238">
        <f t="shared" si="17"/>
        <v>0.74675194883070162</v>
      </c>
    </row>
    <row r="122" spans="1:6" ht="20.25" customHeight="1" x14ac:dyDescent="0.3">
      <c r="A122" s="235">
        <v>5</v>
      </c>
      <c r="B122" s="236" t="s">
        <v>373</v>
      </c>
      <c r="C122" s="239">
        <v>5</v>
      </c>
      <c r="D122" s="239">
        <v>4</v>
      </c>
      <c r="E122" s="239">
        <f t="shared" si="16"/>
        <v>-1</v>
      </c>
      <c r="F122" s="238">
        <f t="shared" si="17"/>
        <v>-0.2</v>
      </c>
    </row>
    <row r="123" spans="1:6" ht="20.25" customHeight="1" x14ac:dyDescent="0.3">
      <c r="A123" s="235">
        <v>6</v>
      </c>
      <c r="B123" s="236" t="s">
        <v>372</v>
      </c>
      <c r="C123" s="239">
        <v>22</v>
      </c>
      <c r="D123" s="239">
        <v>12</v>
      </c>
      <c r="E123" s="239">
        <f t="shared" si="16"/>
        <v>-10</v>
      </c>
      <c r="F123" s="238">
        <f t="shared" si="17"/>
        <v>-0.45454545454545453</v>
      </c>
    </row>
    <row r="124" spans="1:6" ht="20.25" customHeight="1" x14ac:dyDescent="0.3">
      <c r="A124" s="235">
        <v>7</v>
      </c>
      <c r="B124" s="236" t="s">
        <v>438</v>
      </c>
      <c r="C124" s="239">
        <v>142</v>
      </c>
      <c r="D124" s="239">
        <v>174</v>
      </c>
      <c r="E124" s="239">
        <f t="shared" si="16"/>
        <v>32</v>
      </c>
      <c r="F124" s="238">
        <f t="shared" si="17"/>
        <v>0.22535211267605634</v>
      </c>
    </row>
    <row r="125" spans="1:6" ht="20.25" customHeight="1" x14ac:dyDescent="0.3">
      <c r="A125" s="235">
        <v>8</v>
      </c>
      <c r="B125" s="236" t="s">
        <v>439</v>
      </c>
      <c r="C125" s="239">
        <v>4</v>
      </c>
      <c r="D125" s="239">
        <v>4</v>
      </c>
      <c r="E125" s="239">
        <f t="shared" si="16"/>
        <v>0</v>
      </c>
      <c r="F125" s="238">
        <f t="shared" si="17"/>
        <v>0</v>
      </c>
    </row>
    <row r="126" spans="1:6" ht="20.25" customHeight="1" x14ac:dyDescent="0.3">
      <c r="A126" s="235">
        <v>9</v>
      </c>
      <c r="B126" s="236" t="s">
        <v>440</v>
      </c>
      <c r="C126" s="239">
        <v>0</v>
      </c>
      <c r="D126" s="239">
        <v>0</v>
      </c>
      <c r="E126" s="239">
        <f t="shared" si="16"/>
        <v>0</v>
      </c>
      <c r="F126" s="238">
        <f t="shared" si="17"/>
        <v>0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100943</v>
      </c>
      <c r="D127" s="243">
        <f>+D118+D120</f>
        <v>117390</v>
      </c>
      <c r="E127" s="243">
        <f t="shared" si="16"/>
        <v>16447</v>
      </c>
      <c r="F127" s="244">
        <f t="shared" si="17"/>
        <v>0.162933536748462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60249</v>
      </c>
      <c r="D128" s="243">
        <f>+D119+D121</f>
        <v>59486</v>
      </c>
      <c r="E128" s="243">
        <f t="shared" si="16"/>
        <v>-763</v>
      </c>
      <c r="F128" s="244">
        <f t="shared" si="17"/>
        <v>-1.2664110607644941E-2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459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3332580</v>
      </c>
      <c r="D198" s="243">
        <f t="shared" si="28"/>
        <v>4024892</v>
      </c>
      <c r="E198" s="243">
        <f t="shared" ref="E198:E208" si="29">D198-C198</f>
        <v>692312</v>
      </c>
      <c r="F198" s="251">
        <f t="shared" ref="F198:F208" si="30">IF(C198=0,0,E198/C198)</f>
        <v>0.20774054936415631</v>
      </c>
    </row>
    <row r="199" spans="1:9" ht="20.25" customHeight="1" x14ac:dyDescent="0.3">
      <c r="A199" s="249"/>
      <c r="B199" s="250" t="s">
        <v>461</v>
      </c>
      <c r="C199" s="243">
        <f t="shared" si="28"/>
        <v>1875946</v>
      </c>
      <c r="D199" s="243">
        <f t="shared" si="28"/>
        <v>2225226</v>
      </c>
      <c r="E199" s="243">
        <f t="shared" si="29"/>
        <v>349280</v>
      </c>
      <c r="F199" s="251">
        <f t="shared" si="30"/>
        <v>0.18618872824697513</v>
      </c>
    </row>
    <row r="200" spans="1:9" ht="20.25" customHeight="1" x14ac:dyDescent="0.3">
      <c r="A200" s="249"/>
      <c r="B200" s="250" t="s">
        <v>462</v>
      </c>
      <c r="C200" s="243">
        <f t="shared" si="28"/>
        <v>4552545</v>
      </c>
      <c r="D200" s="243">
        <f t="shared" si="28"/>
        <v>5188084</v>
      </c>
      <c r="E200" s="243">
        <f t="shared" si="29"/>
        <v>635539</v>
      </c>
      <c r="F200" s="251">
        <f t="shared" si="30"/>
        <v>0.13960081668605143</v>
      </c>
    </row>
    <row r="201" spans="1:9" ht="20.25" customHeight="1" x14ac:dyDescent="0.3">
      <c r="A201" s="249"/>
      <c r="B201" s="250" t="s">
        <v>463</v>
      </c>
      <c r="C201" s="243">
        <f t="shared" si="28"/>
        <v>2041476</v>
      </c>
      <c r="D201" s="243">
        <f t="shared" si="28"/>
        <v>1854318</v>
      </c>
      <c r="E201" s="243">
        <f t="shared" si="29"/>
        <v>-187158</v>
      </c>
      <c r="F201" s="251">
        <f t="shared" si="30"/>
        <v>-9.1677786072429948E-2</v>
      </c>
    </row>
    <row r="202" spans="1:9" ht="20.25" customHeight="1" x14ac:dyDescent="0.3">
      <c r="A202" s="249"/>
      <c r="B202" s="250" t="s">
        <v>464</v>
      </c>
      <c r="C202" s="252">
        <f t="shared" si="28"/>
        <v>279</v>
      </c>
      <c r="D202" s="252">
        <f t="shared" si="28"/>
        <v>315</v>
      </c>
      <c r="E202" s="252">
        <f t="shared" si="29"/>
        <v>36</v>
      </c>
      <c r="F202" s="251">
        <f t="shared" si="30"/>
        <v>0.12903225806451613</v>
      </c>
    </row>
    <row r="203" spans="1:9" ht="20.25" customHeight="1" x14ac:dyDescent="0.3">
      <c r="A203" s="249"/>
      <c r="B203" s="250" t="s">
        <v>465</v>
      </c>
      <c r="C203" s="252">
        <f t="shared" si="28"/>
        <v>971</v>
      </c>
      <c r="D203" s="252">
        <f t="shared" si="28"/>
        <v>1214</v>
      </c>
      <c r="E203" s="252">
        <f t="shared" si="29"/>
        <v>243</v>
      </c>
      <c r="F203" s="251">
        <f t="shared" si="30"/>
        <v>0.25025746652935116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9541</v>
      </c>
      <c r="D204" s="252">
        <f t="shared" si="28"/>
        <v>11171</v>
      </c>
      <c r="E204" s="252">
        <f t="shared" si="29"/>
        <v>1630</v>
      </c>
      <c r="F204" s="251">
        <f t="shared" si="30"/>
        <v>0.17084163085630438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616</v>
      </c>
      <c r="D205" s="252">
        <f t="shared" si="28"/>
        <v>674</v>
      </c>
      <c r="E205" s="252">
        <f t="shared" si="29"/>
        <v>58</v>
      </c>
      <c r="F205" s="251">
        <f t="shared" si="30"/>
        <v>9.4155844155844159E-2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0</v>
      </c>
      <c r="D206" s="252">
        <f t="shared" si="28"/>
        <v>0</v>
      </c>
      <c r="E206" s="252">
        <f t="shared" si="29"/>
        <v>0</v>
      </c>
      <c r="F206" s="251">
        <f t="shared" si="30"/>
        <v>0</v>
      </c>
    </row>
    <row r="207" spans="1:9" ht="20.25" customHeight="1" x14ac:dyDescent="0.3">
      <c r="A207" s="249"/>
      <c r="B207" s="242" t="s">
        <v>469</v>
      </c>
      <c r="C207" s="243">
        <f>+C198+C200</f>
        <v>7885125</v>
      </c>
      <c r="D207" s="243">
        <f>+D198+D200</f>
        <v>9212976</v>
      </c>
      <c r="E207" s="243">
        <f t="shared" si="29"/>
        <v>1327851</v>
      </c>
      <c r="F207" s="251">
        <f t="shared" si="30"/>
        <v>0.16839948637466115</v>
      </c>
    </row>
    <row r="208" spans="1:9" ht="20.25" customHeight="1" x14ac:dyDescent="0.3">
      <c r="A208" s="249"/>
      <c r="B208" s="242" t="s">
        <v>470</v>
      </c>
      <c r="C208" s="243">
        <f>+C199+C201</f>
        <v>3917422</v>
      </c>
      <c r="D208" s="243">
        <f>+D199+D201</f>
        <v>4079544</v>
      </c>
      <c r="E208" s="243">
        <f t="shared" si="29"/>
        <v>162122</v>
      </c>
      <c r="F208" s="251">
        <f t="shared" si="30"/>
        <v>4.1384869947633927E-2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FILING&amp;RDAY KIMBALL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471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546020</v>
      </c>
      <c r="D14" s="237">
        <v>0</v>
      </c>
      <c r="E14" s="237">
        <f t="shared" ref="E14:E24" si="0">D14-C14</f>
        <v>-546020</v>
      </c>
      <c r="F14" s="238">
        <f t="shared" ref="F14:F24" si="1">IF(C14=0,0,E14/C14)</f>
        <v>-1</v>
      </c>
    </row>
    <row r="15" spans="1:7" ht="20.25" customHeight="1" x14ac:dyDescent="0.3">
      <c r="A15" s="235">
        <v>2</v>
      </c>
      <c r="B15" s="236" t="s">
        <v>435</v>
      </c>
      <c r="C15" s="237">
        <v>255387</v>
      </c>
      <c r="D15" s="237">
        <v>0</v>
      </c>
      <c r="E15" s="237">
        <f t="shared" si="0"/>
        <v>-255387</v>
      </c>
      <c r="F15" s="238">
        <f t="shared" si="1"/>
        <v>-1</v>
      </c>
    </row>
    <row r="16" spans="1:7" ht="20.25" customHeight="1" x14ac:dyDescent="0.3">
      <c r="A16" s="235">
        <v>3</v>
      </c>
      <c r="B16" s="236" t="s">
        <v>436</v>
      </c>
      <c r="C16" s="237">
        <v>1332762</v>
      </c>
      <c r="D16" s="237">
        <v>0</v>
      </c>
      <c r="E16" s="237">
        <f t="shared" si="0"/>
        <v>-1332762</v>
      </c>
      <c r="F16" s="238">
        <f t="shared" si="1"/>
        <v>-1</v>
      </c>
    </row>
    <row r="17" spans="1:6" ht="20.25" customHeight="1" x14ac:dyDescent="0.3">
      <c r="A17" s="235">
        <v>4</v>
      </c>
      <c r="B17" s="236" t="s">
        <v>437</v>
      </c>
      <c r="C17" s="237">
        <v>259925</v>
      </c>
      <c r="D17" s="237">
        <v>0</v>
      </c>
      <c r="E17" s="237">
        <f t="shared" si="0"/>
        <v>-259925</v>
      </c>
      <c r="F17" s="238">
        <f t="shared" si="1"/>
        <v>-1</v>
      </c>
    </row>
    <row r="18" spans="1:6" ht="20.25" customHeight="1" x14ac:dyDescent="0.3">
      <c r="A18" s="235">
        <v>5</v>
      </c>
      <c r="B18" s="236" t="s">
        <v>373</v>
      </c>
      <c r="C18" s="239">
        <v>75</v>
      </c>
      <c r="D18" s="239">
        <v>0</v>
      </c>
      <c r="E18" s="239">
        <f t="shared" si="0"/>
        <v>-75</v>
      </c>
      <c r="F18" s="238">
        <f t="shared" si="1"/>
        <v>-1</v>
      </c>
    </row>
    <row r="19" spans="1:6" ht="20.25" customHeight="1" x14ac:dyDescent="0.3">
      <c r="A19" s="235">
        <v>6</v>
      </c>
      <c r="B19" s="236" t="s">
        <v>372</v>
      </c>
      <c r="C19" s="239">
        <v>242</v>
      </c>
      <c r="D19" s="239">
        <v>0</v>
      </c>
      <c r="E19" s="239">
        <f t="shared" si="0"/>
        <v>-242</v>
      </c>
      <c r="F19" s="238">
        <f t="shared" si="1"/>
        <v>-1</v>
      </c>
    </row>
    <row r="20" spans="1:6" ht="20.25" customHeight="1" x14ac:dyDescent="0.3">
      <c r="A20" s="235">
        <v>7</v>
      </c>
      <c r="B20" s="236" t="s">
        <v>438</v>
      </c>
      <c r="C20" s="239">
        <v>4093</v>
      </c>
      <c r="D20" s="239">
        <v>0</v>
      </c>
      <c r="E20" s="239">
        <f t="shared" si="0"/>
        <v>-4093</v>
      </c>
      <c r="F20" s="238">
        <f t="shared" si="1"/>
        <v>-1</v>
      </c>
    </row>
    <row r="21" spans="1:6" ht="20.25" customHeight="1" x14ac:dyDescent="0.3">
      <c r="A21" s="235">
        <v>8</v>
      </c>
      <c r="B21" s="236" t="s">
        <v>439</v>
      </c>
      <c r="C21" s="239">
        <v>950</v>
      </c>
      <c r="D21" s="239">
        <v>0</v>
      </c>
      <c r="E21" s="239">
        <f t="shared" si="0"/>
        <v>-950</v>
      </c>
      <c r="F21" s="238">
        <f t="shared" si="1"/>
        <v>-1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1878782</v>
      </c>
      <c r="D23" s="243">
        <f>+D14+D16</f>
        <v>0</v>
      </c>
      <c r="E23" s="243">
        <f t="shared" si="0"/>
        <v>-1878782</v>
      </c>
      <c r="F23" s="244">
        <f t="shared" si="1"/>
        <v>-1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515312</v>
      </c>
      <c r="D24" s="243">
        <f>+D15+D17</f>
        <v>0</v>
      </c>
      <c r="E24" s="243">
        <f t="shared" si="0"/>
        <v>-515312</v>
      </c>
      <c r="F24" s="244">
        <f t="shared" si="1"/>
        <v>-1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2054002</v>
      </c>
      <c r="D26" s="237">
        <v>2281514</v>
      </c>
      <c r="E26" s="237">
        <f t="shared" ref="E26:E36" si="2">D26-C26</f>
        <v>227512</v>
      </c>
      <c r="F26" s="238">
        <f t="shared" ref="F26:F36" si="3">IF(C26=0,0,E26/C26)</f>
        <v>0.110765228076701</v>
      </c>
    </row>
    <row r="27" spans="1:6" ht="20.25" customHeight="1" x14ac:dyDescent="0.3">
      <c r="A27" s="235">
        <v>2</v>
      </c>
      <c r="B27" s="236" t="s">
        <v>435</v>
      </c>
      <c r="C27" s="237">
        <v>1009604</v>
      </c>
      <c r="D27" s="237">
        <v>1112076</v>
      </c>
      <c r="E27" s="237">
        <f t="shared" si="2"/>
        <v>102472</v>
      </c>
      <c r="F27" s="238">
        <f t="shared" si="3"/>
        <v>0.10149722069246953</v>
      </c>
    </row>
    <row r="28" spans="1:6" ht="20.25" customHeight="1" x14ac:dyDescent="0.3">
      <c r="A28" s="235">
        <v>3</v>
      </c>
      <c r="B28" s="236" t="s">
        <v>436</v>
      </c>
      <c r="C28" s="237">
        <v>5341369</v>
      </c>
      <c r="D28" s="237">
        <v>7910080</v>
      </c>
      <c r="E28" s="237">
        <f t="shared" si="2"/>
        <v>2568711</v>
      </c>
      <c r="F28" s="238">
        <f t="shared" si="3"/>
        <v>0.4809087333228616</v>
      </c>
    </row>
    <row r="29" spans="1:6" ht="20.25" customHeight="1" x14ac:dyDescent="0.3">
      <c r="A29" s="235">
        <v>4</v>
      </c>
      <c r="B29" s="236" t="s">
        <v>437</v>
      </c>
      <c r="C29" s="237">
        <v>2592618</v>
      </c>
      <c r="D29" s="237">
        <v>3664227</v>
      </c>
      <c r="E29" s="237">
        <f t="shared" si="2"/>
        <v>1071609</v>
      </c>
      <c r="F29" s="238">
        <f t="shared" si="3"/>
        <v>0.41333084935767628</v>
      </c>
    </row>
    <row r="30" spans="1:6" ht="20.25" customHeight="1" x14ac:dyDescent="0.3">
      <c r="A30" s="235">
        <v>5</v>
      </c>
      <c r="B30" s="236" t="s">
        <v>373</v>
      </c>
      <c r="C30" s="239">
        <v>329</v>
      </c>
      <c r="D30" s="239">
        <v>357</v>
      </c>
      <c r="E30" s="239">
        <f t="shared" si="2"/>
        <v>28</v>
      </c>
      <c r="F30" s="238">
        <f t="shared" si="3"/>
        <v>8.5106382978723402E-2</v>
      </c>
    </row>
    <row r="31" spans="1:6" ht="20.25" customHeight="1" x14ac:dyDescent="0.3">
      <c r="A31" s="235">
        <v>6</v>
      </c>
      <c r="B31" s="236" t="s">
        <v>372</v>
      </c>
      <c r="C31" s="239">
        <v>734</v>
      </c>
      <c r="D31" s="239">
        <v>781</v>
      </c>
      <c r="E31" s="239">
        <f t="shared" si="2"/>
        <v>47</v>
      </c>
      <c r="F31" s="238">
        <f t="shared" si="3"/>
        <v>6.4032697547683926E-2</v>
      </c>
    </row>
    <row r="32" spans="1:6" ht="20.25" customHeight="1" x14ac:dyDescent="0.3">
      <c r="A32" s="235">
        <v>7</v>
      </c>
      <c r="B32" s="236" t="s">
        <v>438</v>
      </c>
      <c r="C32" s="239">
        <v>15262</v>
      </c>
      <c r="D32" s="239">
        <v>21958</v>
      </c>
      <c r="E32" s="239">
        <f t="shared" si="2"/>
        <v>6696</v>
      </c>
      <c r="F32" s="238">
        <f t="shared" si="3"/>
        <v>0.43873673175206396</v>
      </c>
    </row>
    <row r="33" spans="1:6" ht="20.25" customHeight="1" x14ac:dyDescent="0.3">
      <c r="A33" s="235">
        <v>8</v>
      </c>
      <c r="B33" s="236" t="s">
        <v>439</v>
      </c>
      <c r="C33" s="239">
        <v>3026</v>
      </c>
      <c r="D33" s="239">
        <v>4569</v>
      </c>
      <c r="E33" s="239">
        <f t="shared" si="2"/>
        <v>1543</v>
      </c>
      <c r="F33" s="238">
        <f t="shared" si="3"/>
        <v>0.50991407799074684</v>
      </c>
    </row>
    <row r="34" spans="1:6" ht="20.25" customHeight="1" x14ac:dyDescent="0.3">
      <c r="A34" s="235">
        <v>9</v>
      </c>
      <c r="B34" s="236" t="s">
        <v>440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7395371</v>
      </c>
      <c r="D35" s="243">
        <f>+D26+D28</f>
        <v>10191594</v>
      </c>
      <c r="E35" s="243">
        <f t="shared" si="2"/>
        <v>2796223</v>
      </c>
      <c r="F35" s="244">
        <f t="shared" si="3"/>
        <v>0.37810449266169338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3602222</v>
      </c>
      <c r="D36" s="243">
        <f>+D27+D29</f>
        <v>4776303</v>
      </c>
      <c r="E36" s="243">
        <f t="shared" si="2"/>
        <v>1174081</v>
      </c>
      <c r="F36" s="244">
        <f t="shared" si="3"/>
        <v>0.32593243836720781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197456</v>
      </c>
      <c r="D50" s="237">
        <v>583566</v>
      </c>
      <c r="E50" s="237">
        <f t="shared" ref="E50:E60" si="6">D50-C50</f>
        <v>386110</v>
      </c>
      <c r="F50" s="238">
        <f t="shared" ref="F50:F60" si="7">IF(C50=0,0,E50/C50)</f>
        <v>1.9554229803095373</v>
      </c>
    </row>
    <row r="51" spans="1:6" ht="20.25" customHeight="1" x14ac:dyDescent="0.3">
      <c r="A51" s="235">
        <v>2</v>
      </c>
      <c r="B51" s="236" t="s">
        <v>435</v>
      </c>
      <c r="C51" s="237">
        <v>117576</v>
      </c>
      <c r="D51" s="237">
        <v>279407</v>
      </c>
      <c r="E51" s="237">
        <f t="shared" si="6"/>
        <v>161831</v>
      </c>
      <c r="F51" s="238">
        <f t="shared" si="7"/>
        <v>1.3763948424848609</v>
      </c>
    </row>
    <row r="52" spans="1:6" ht="20.25" customHeight="1" x14ac:dyDescent="0.3">
      <c r="A52" s="235">
        <v>3</v>
      </c>
      <c r="B52" s="236" t="s">
        <v>436</v>
      </c>
      <c r="C52" s="237">
        <v>486509</v>
      </c>
      <c r="D52" s="237">
        <v>893732</v>
      </c>
      <c r="E52" s="237">
        <f t="shared" si="6"/>
        <v>407223</v>
      </c>
      <c r="F52" s="238">
        <f t="shared" si="7"/>
        <v>0.83703076407630694</v>
      </c>
    </row>
    <row r="53" spans="1:6" ht="20.25" customHeight="1" x14ac:dyDescent="0.3">
      <c r="A53" s="235">
        <v>4</v>
      </c>
      <c r="B53" s="236" t="s">
        <v>437</v>
      </c>
      <c r="C53" s="237">
        <v>231504</v>
      </c>
      <c r="D53" s="237">
        <v>247936</v>
      </c>
      <c r="E53" s="237">
        <f t="shared" si="6"/>
        <v>16432</v>
      </c>
      <c r="F53" s="238">
        <f t="shared" si="7"/>
        <v>7.0979335130278529E-2</v>
      </c>
    </row>
    <row r="54" spans="1:6" ht="20.25" customHeight="1" x14ac:dyDescent="0.3">
      <c r="A54" s="235">
        <v>5</v>
      </c>
      <c r="B54" s="236" t="s">
        <v>373</v>
      </c>
      <c r="C54" s="239">
        <v>36</v>
      </c>
      <c r="D54" s="239">
        <v>91</v>
      </c>
      <c r="E54" s="239">
        <f t="shared" si="6"/>
        <v>55</v>
      </c>
      <c r="F54" s="238">
        <f t="shared" si="7"/>
        <v>1.5277777777777777</v>
      </c>
    </row>
    <row r="55" spans="1:6" ht="20.25" customHeight="1" x14ac:dyDescent="0.3">
      <c r="A55" s="235">
        <v>6</v>
      </c>
      <c r="B55" s="236" t="s">
        <v>372</v>
      </c>
      <c r="C55" s="239">
        <v>83</v>
      </c>
      <c r="D55" s="239">
        <v>199</v>
      </c>
      <c r="E55" s="239">
        <f t="shared" si="6"/>
        <v>116</v>
      </c>
      <c r="F55" s="238">
        <f t="shared" si="7"/>
        <v>1.3975903614457832</v>
      </c>
    </row>
    <row r="56" spans="1:6" ht="20.25" customHeight="1" x14ac:dyDescent="0.3">
      <c r="A56" s="235">
        <v>7</v>
      </c>
      <c r="B56" s="236" t="s">
        <v>438</v>
      </c>
      <c r="C56" s="239">
        <v>1441</v>
      </c>
      <c r="D56" s="239">
        <v>109</v>
      </c>
      <c r="E56" s="239">
        <f t="shared" si="6"/>
        <v>-1332</v>
      </c>
      <c r="F56" s="238">
        <f t="shared" si="7"/>
        <v>-0.92435808466342817</v>
      </c>
    </row>
    <row r="57" spans="1:6" ht="20.25" customHeight="1" x14ac:dyDescent="0.3">
      <c r="A57" s="235">
        <v>8</v>
      </c>
      <c r="B57" s="236" t="s">
        <v>439</v>
      </c>
      <c r="C57" s="239">
        <v>341</v>
      </c>
      <c r="D57" s="239">
        <v>7</v>
      </c>
      <c r="E57" s="239">
        <f t="shared" si="6"/>
        <v>-334</v>
      </c>
      <c r="F57" s="238">
        <f t="shared" si="7"/>
        <v>-0.97947214076246336</v>
      </c>
    </row>
    <row r="58" spans="1:6" ht="20.25" customHeight="1" x14ac:dyDescent="0.3">
      <c r="A58" s="235">
        <v>9</v>
      </c>
      <c r="B58" s="236" t="s">
        <v>440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683965</v>
      </c>
      <c r="D59" s="243">
        <f>+D50+D52</f>
        <v>1477298</v>
      </c>
      <c r="E59" s="243">
        <f t="shared" si="6"/>
        <v>793333</v>
      </c>
      <c r="F59" s="244">
        <f t="shared" si="7"/>
        <v>1.1599029190090135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349080</v>
      </c>
      <c r="D60" s="243">
        <f>+D51+D53</f>
        <v>527343</v>
      </c>
      <c r="E60" s="243">
        <f t="shared" si="6"/>
        <v>178263</v>
      </c>
      <c r="F60" s="244">
        <f t="shared" si="7"/>
        <v>0.51066517703678238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0</v>
      </c>
      <c r="D86" s="237">
        <v>65312</v>
      </c>
      <c r="E86" s="237">
        <f t="shared" ref="E86:E96" si="12">D86-C86</f>
        <v>65312</v>
      </c>
      <c r="F86" s="238">
        <f t="shared" ref="F86:F96" si="13">IF(C86=0,0,E86/C86)</f>
        <v>0</v>
      </c>
    </row>
    <row r="87" spans="1:6" ht="20.25" customHeight="1" x14ac:dyDescent="0.3">
      <c r="A87" s="235">
        <v>2</v>
      </c>
      <c r="B87" s="236" t="s">
        <v>435</v>
      </c>
      <c r="C87" s="237">
        <v>0</v>
      </c>
      <c r="D87" s="237">
        <v>38255</v>
      </c>
      <c r="E87" s="237">
        <f t="shared" si="12"/>
        <v>38255</v>
      </c>
      <c r="F87" s="238">
        <f t="shared" si="13"/>
        <v>0</v>
      </c>
    </row>
    <row r="88" spans="1:6" ht="20.25" customHeight="1" x14ac:dyDescent="0.3">
      <c r="A88" s="235">
        <v>3</v>
      </c>
      <c r="B88" s="236" t="s">
        <v>436</v>
      </c>
      <c r="C88" s="237">
        <v>0</v>
      </c>
      <c r="D88" s="237">
        <v>271146</v>
      </c>
      <c r="E88" s="237">
        <f t="shared" si="12"/>
        <v>271146</v>
      </c>
      <c r="F88" s="238">
        <f t="shared" si="13"/>
        <v>0</v>
      </c>
    </row>
    <row r="89" spans="1:6" ht="20.25" customHeight="1" x14ac:dyDescent="0.3">
      <c r="A89" s="235">
        <v>4</v>
      </c>
      <c r="B89" s="236" t="s">
        <v>437</v>
      </c>
      <c r="C89" s="237">
        <v>0</v>
      </c>
      <c r="D89" s="237">
        <v>132871</v>
      </c>
      <c r="E89" s="237">
        <f t="shared" si="12"/>
        <v>132871</v>
      </c>
      <c r="F89" s="238">
        <f t="shared" si="13"/>
        <v>0</v>
      </c>
    </row>
    <row r="90" spans="1:6" ht="20.25" customHeight="1" x14ac:dyDescent="0.3">
      <c r="A90" s="235">
        <v>5</v>
      </c>
      <c r="B90" s="236" t="s">
        <v>373</v>
      </c>
      <c r="C90" s="239">
        <v>0</v>
      </c>
      <c r="D90" s="239">
        <v>10</v>
      </c>
      <c r="E90" s="239">
        <f t="shared" si="12"/>
        <v>10</v>
      </c>
      <c r="F90" s="238">
        <f t="shared" si="13"/>
        <v>0</v>
      </c>
    </row>
    <row r="91" spans="1:6" ht="20.25" customHeight="1" x14ac:dyDescent="0.3">
      <c r="A91" s="235">
        <v>6</v>
      </c>
      <c r="B91" s="236" t="s">
        <v>372</v>
      </c>
      <c r="C91" s="239">
        <v>0</v>
      </c>
      <c r="D91" s="239">
        <v>22</v>
      </c>
      <c r="E91" s="239">
        <f t="shared" si="12"/>
        <v>22</v>
      </c>
      <c r="F91" s="238">
        <f t="shared" si="13"/>
        <v>0</v>
      </c>
    </row>
    <row r="92" spans="1:6" ht="20.25" customHeight="1" x14ac:dyDescent="0.3">
      <c r="A92" s="235">
        <v>7</v>
      </c>
      <c r="B92" s="236" t="s">
        <v>438</v>
      </c>
      <c r="C92" s="239">
        <v>0</v>
      </c>
      <c r="D92" s="239">
        <v>3314</v>
      </c>
      <c r="E92" s="239">
        <f t="shared" si="12"/>
        <v>3314</v>
      </c>
      <c r="F92" s="238">
        <f t="shared" si="13"/>
        <v>0</v>
      </c>
    </row>
    <row r="93" spans="1:6" ht="20.25" customHeight="1" x14ac:dyDescent="0.3">
      <c r="A93" s="235">
        <v>8</v>
      </c>
      <c r="B93" s="236" t="s">
        <v>439</v>
      </c>
      <c r="C93" s="239">
        <v>0</v>
      </c>
      <c r="D93" s="239">
        <v>667</v>
      </c>
      <c r="E93" s="239">
        <f t="shared" si="12"/>
        <v>667</v>
      </c>
      <c r="F93" s="238">
        <f t="shared" si="13"/>
        <v>0</v>
      </c>
    </row>
    <row r="94" spans="1:6" ht="20.25" customHeight="1" x14ac:dyDescent="0.3">
      <c r="A94" s="235">
        <v>9</v>
      </c>
      <c r="B94" s="236" t="s">
        <v>440</v>
      </c>
      <c r="C94" s="239">
        <v>0</v>
      </c>
      <c r="D94" s="239">
        <v>0</v>
      </c>
      <c r="E94" s="239">
        <f t="shared" si="12"/>
        <v>0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0</v>
      </c>
      <c r="D95" s="243">
        <f>+D86+D88</f>
        <v>336458</v>
      </c>
      <c r="E95" s="243">
        <f t="shared" si="12"/>
        <v>336458</v>
      </c>
      <c r="F95" s="244">
        <f t="shared" si="13"/>
        <v>0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0</v>
      </c>
      <c r="D96" s="243">
        <f>+D87+D89</f>
        <v>171126</v>
      </c>
      <c r="E96" s="243">
        <f t="shared" si="12"/>
        <v>171126</v>
      </c>
      <c r="F96" s="244">
        <f t="shared" si="13"/>
        <v>0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536438</v>
      </c>
      <c r="D98" s="237">
        <v>890242</v>
      </c>
      <c r="E98" s="237">
        <f t="shared" ref="E98:E108" si="14">D98-C98</f>
        <v>353804</v>
      </c>
      <c r="F98" s="238">
        <f t="shared" ref="F98:F108" si="15">IF(C98=0,0,E98/C98)</f>
        <v>0.65954313452812818</v>
      </c>
    </row>
    <row r="99" spans="1:7" ht="20.25" customHeight="1" x14ac:dyDescent="0.3">
      <c r="A99" s="235">
        <v>2</v>
      </c>
      <c r="B99" s="236" t="s">
        <v>435</v>
      </c>
      <c r="C99" s="237">
        <v>225181</v>
      </c>
      <c r="D99" s="237">
        <v>399184</v>
      </c>
      <c r="E99" s="237">
        <f t="shared" si="14"/>
        <v>174003</v>
      </c>
      <c r="F99" s="238">
        <f t="shared" si="15"/>
        <v>0.77272505229126787</v>
      </c>
    </row>
    <row r="100" spans="1:7" ht="20.25" customHeight="1" x14ac:dyDescent="0.3">
      <c r="A100" s="235">
        <v>3</v>
      </c>
      <c r="B100" s="236" t="s">
        <v>436</v>
      </c>
      <c r="C100" s="237">
        <v>1692815</v>
      </c>
      <c r="D100" s="237">
        <v>2242764</v>
      </c>
      <c r="E100" s="237">
        <f t="shared" si="14"/>
        <v>549949</v>
      </c>
      <c r="F100" s="238">
        <f t="shared" si="15"/>
        <v>0.32487247572829875</v>
      </c>
    </row>
    <row r="101" spans="1:7" ht="20.25" customHeight="1" x14ac:dyDescent="0.3">
      <c r="A101" s="235">
        <v>4</v>
      </c>
      <c r="B101" s="236" t="s">
        <v>437</v>
      </c>
      <c r="C101" s="237">
        <v>780061</v>
      </c>
      <c r="D101" s="237">
        <v>826601</v>
      </c>
      <c r="E101" s="237">
        <f t="shared" si="14"/>
        <v>46540</v>
      </c>
      <c r="F101" s="238">
        <f t="shared" si="15"/>
        <v>5.9662000792245734E-2</v>
      </c>
    </row>
    <row r="102" spans="1:7" ht="20.25" customHeight="1" x14ac:dyDescent="0.3">
      <c r="A102" s="235">
        <v>5</v>
      </c>
      <c r="B102" s="236" t="s">
        <v>373</v>
      </c>
      <c r="C102" s="239">
        <v>91</v>
      </c>
      <c r="D102" s="239">
        <v>139</v>
      </c>
      <c r="E102" s="239">
        <f t="shared" si="14"/>
        <v>48</v>
      </c>
      <c r="F102" s="238">
        <f t="shared" si="15"/>
        <v>0.52747252747252749</v>
      </c>
    </row>
    <row r="103" spans="1:7" ht="20.25" customHeight="1" x14ac:dyDescent="0.3">
      <c r="A103" s="235">
        <v>6</v>
      </c>
      <c r="B103" s="236" t="s">
        <v>372</v>
      </c>
      <c r="C103" s="239">
        <v>192</v>
      </c>
      <c r="D103" s="239">
        <v>305</v>
      </c>
      <c r="E103" s="239">
        <f t="shared" si="14"/>
        <v>113</v>
      </c>
      <c r="F103" s="238">
        <f t="shared" si="15"/>
        <v>0.58854166666666663</v>
      </c>
    </row>
    <row r="104" spans="1:7" ht="20.25" customHeight="1" x14ac:dyDescent="0.3">
      <c r="A104" s="235">
        <v>7</v>
      </c>
      <c r="B104" s="236" t="s">
        <v>438</v>
      </c>
      <c r="C104" s="239">
        <v>3924</v>
      </c>
      <c r="D104" s="239">
        <v>3236</v>
      </c>
      <c r="E104" s="239">
        <f t="shared" si="14"/>
        <v>-688</v>
      </c>
      <c r="F104" s="238">
        <f t="shared" si="15"/>
        <v>-0.17533129459734964</v>
      </c>
    </row>
    <row r="105" spans="1:7" ht="20.25" customHeight="1" x14ac:dyDescent="0.3">
      <c r="A105" s="235">
        <v>8</v>
      </c>
      <c r="B105" s="236" t="s">
        <v>439</v>
      </c>
      <c r="C105" s="239">
        <v>1047</v>
      </c>
      <c r="D105" s="239">
        <v>2031</v>
      </c>
      <c r="E105" s="239">
        <f t="shared" si="14"/>
        <v>984</v>
      </c>
      <c r="F105" s="238">
        <f t="shared" si="15"/>
        <v>0.93982808022922637</v>
      </c>
    </row>
    <row r="106" spans="1:7" ht="20.25" customHeight="1" x14ac:dyDescent="0.3">
      <c r="A106" s="235">
        <v>9</v>
      </c>
      <c r="B106" s="236" t="s">
        <v>440</v>
      </c>
      <c r="C106" s="239">
        <v>0</v>
      </c>
      <c r="D106" s="239">
        <v>0</v>
      </c>
      <c r="E106" s="239">
        <f t="shared" si="14"/>
        <v>0</v>
      </c>
      <c r="F106" s="238">
        <f t="shared" si="15"/>
        <v>0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2229253</v>
      </c>
      <c r="D107" s="243">
        <f>+D98+D100</f>
        <v>3133006</v>
      </c>
      <c r="E107" s="243">
        <f t="shared" si="14"/>
        <v>903753</v>
      </c>
      <c r="F107" s="244">
        <f t="shared" si="15"/>
        <v>0.40540620557648682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1005242</v>
      </c>
      <c r="D108" s="243">
        <f>+D99+D101</f>
        <v>1225785</v>
      </c>
      <c r="E108" s="243">
        <f t="shared" si="14"/>
        <v>220543</v>
      </c>
      <c r="F108" s="244">
        <f t="shared" si="15"/>
        <v>0.21939294219700331</v>
      </c>
    </row>
    <row r="109" spans="1:7" s="240" customFormat="1" ht="20.25" customHeight="1" x14ac:dyDescent="0.3">
      <c r="A109" s="688" t="s">
        <v>44</v>
      </c>
      <c r="B109" s="689" t="s">
        <v>478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3333916</v>
      </c>
      <c r="D112" s="243">
        <f t="shared" si="16"/>
        <v>3820634</v>
      </c>
      <c r="E112" s="243">
        <f t="shared" ref="E112:E122" si="17">D112-C112</f>
        <v>486718</v>
      </c>
      <c r="F112" s="244">
        <f t="shared" ref="F112:F122" si="18">IF(C112=0,0,E112/C112)</f>
        <v>0.14598988096880666</v>
      </c>
    </row>
    <row r="113" spans="1:6" ht="20.25" customHeight="1" x14ac:dyDescent="0.3">
      <c r="A113" s="249"/>
      <c r="B113" s="250" t="s">
        <v>461</v>
      </c>
      <c r="C113" s="243">
        <f t="shared" si="16"/>
        <v>1607748</v>
      </c>
      <c r="D113" s="243">
        <f t="shared" si="16"/>
        <v>1828922</v>
      </c>
      <c r="E113" s="243">
        <f t="shared" si="17"/>
        <v>221174</v>
      </c>
      <c r="F113" s="244">
        <f t="shared" si="18"/>
        <v>0.13756757899869881</v>
      </c>
    </row>
    <row r="114" spans="1:6" ht="20.25" customHeight="1" x14ac:dyDescent="0.3">
      <c r="A114" s="249"/>
      <c r="B114" s="250" t="s">
        <v>462</v>
      </c>
      <c r="C114" s="243">
        <f t="shared" si="16"/>
        <v>8853455</v>
      </c>
      <c r="D114" s="243">
        <f t="shared" si="16"/>
        <v>11317722</v>
      </c>
      <c r="E114" s="243">
        <f t="shared" si="17"/>
        <v>2464267</v>
      </c>
      <c r="F114" s="244">
        <f t="shared" si="18"/>
        <v>0.27833958607120046</v>
      </c>
    </row>
    <row r="115" spans="1:6" ht="20.25" customHeight="1" x14ac:dyDescent="0.3">
      <c r="A115" s="249"/>
      <c r="B115" s="250" t="s">
        <v>463</v>
      </c>
      <c r="C115" s="243">
        <f t="shared" si="16"/>
        <v>3864108</v>
      </c>
      <c r="D115" s="243">
        <f t="shared" si="16"/>
        <v>4871635</v>
      </c>
      <c r="E115" s="243">
        <f t="shared" si="17"/>
        <v>1007527</v>
      </c>
      <c r="F115" s="244">
        <f t="shared" si="18"/>
        <v>0.26073986544889532</v>
      </c>
    </row>
    <row r="116" spans="1:6" ht="20.25" customHeight="1" x14ac:dyDescent="0.3">
      <c r="A116" s="249"/>
      <c r="B116" s="250" t="s">
        <v>464</v>
      </c>
      <c r="C116" s="252">
        <f t="shared" si="16"/>
        <v>531</v>
      </c>
      <c r="D116" s="252">
        <f t="shared" si="16"/>
        <v>597</v>
      </c>
      <c r="E116" s="252">
        <f t="shared" si="17"/>
        <v>66</v>
      </c>
      <c r="F116" s="244">
        <f t="shared" si="18"/>
        <v>0.12429378531073447</v>
      </c>
    </row>
    <row r="117" spans="1:6" ht="20.25" customHeight="1" x14ac:dyDescent="0.3">
      <c r="A117" s="249"/>
      <c r="B117" s="250" t="s">
        <v>465</v>
      </c>
      <c r="C117" s="252">
        <f t="shared" si="16"/>
        <v>1251</v>
      </c>
      <c r="D117" s="252">
        <f t="shared" si="16"/>
        <v>1307</v>
      </c>
      <c r="E117" s="252">
        <f t="shared" si="17"/>
        <v>56</v>
      </c>
      <c r="F117" s="244">
        <f t="shared" si="18"/>
        <v>4.4764188649080737E-2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24720</v>
      </c>
      <c r="D118" s="252">
        <f t="shared" si="16"/>
        <v>28617</v>
      </c>
      <c r="E118" s="252">
        <f t="shared" si="17"/>
        <v>3897</v>
      </c>
      <c r="F118" s="244">
        <f t="shared" si="18"/>
        <v>0.15764563106796117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5364</v>
      </c>
      <c r="D119" s="252">
        <f t="shared" si="16"/>
        <v>7274</v>
      </c>
      <c r="E119" s="252">
        <f t="shared" si="17"/>
        <v>1910</v>
      </c>
      <c r="F119" s="244">
        <f t="shared" si="18"/>
        <v>0.35607755406413122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0</v>
      </c>
      <c r="D120" s="252">
        <f t="shared" si="16"/>
        <v>0</v>
      </c>
      <c r="E120" s="252">
        <f t="shared" si="17"/>
        <v>0</v>
      </c>
      <c r="F120" s="244">
        <f t="shared" si="18"/>
        <v>0</v>
      </c>
    </row>
    <row r="121" spans="1:6" ht="39.950000000000003" customHeight="1" x14ac:dyDescent="0.3">
      <c r="A121" s="249"/>
      <c r="B121" s="242" t="s">
        <v>441</v>
      </c>
      <c r="C121" s="243">
        <f>+C112+C114</f>
        <v>12187371</v>
      </c>
      <c r="D121" s="243">
        <f>+D112+D114</f>
        <v>15138356</v>
      </c>
      <c r="E121" s="243">
        <f t="shared" si="17"/>
        <v>2950985</v>
      </c>
      <c r="F121" s="244">
        <f t="shared" si="18"/>
        <v>0.2421346654664078</v>
      </c>
    </row>
    <row r="122" spans="1:6" ht="39.950000000000003" customHeight="1" x14ac:dyDescent="0.3">
      <c r="A122" s="249"/>
      <c r="B122" s="242" t="s">
        <v>470</v>
      </c>
      <c r="C122" s="243">
        <f>+C113+C115</f>
        <v>5471856</v>
      </c>
      <c r="D122" s="243">
        <f>+D113+D115</f>
        <v>6700557</v>
      </c>
      <c r="E122" s="243">
        <f t="shared" si="17"/>
        <v>1228701</v>
      </c>
      <c r="F122" s="244">
        <f t="shared" si="18"/>
        <v>0.22454922059352439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9" fitToHeight="2" orientation="portrait" r:id="rId1"/>
  <headerFooter>
    <oddHeader>&amp;LOFFICE OF HEALTH CARE ACCESS&amp;CTWELVE MONTHS ACTUAL FILING&amp;RDAY KIMBALL HOSPITAL</oddHeader>
    <oddFooter>&amp;LREPORT 250&amp;C&amp;P of &amp;N&amp;R&amp;D,&amp;T</oddFooter>
  </headerFooter>
  <rowBreaks count="2" manualBreakCount="2">
    <brk id="48" max="3" man="1"/>
    <brk id="82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479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9970754</v>
      </c>
      <c r="D13" s="23">
        <v>8007201</v>
      </c>
      <c r="E13" s="23">
        <f t="shared" ref="E13:E22" si="0">D13-C13</f>
        <v>-1963553</v>
      </c>
      <c r="F13" s="24">
        <f t="shared" ref="F13:F22" si="1">IF(C13=0,0,E13/C13)</f>
        <v>-0.19693124511947643</v>
      </c>
    </row>
    <row r="14" spans="1:8" ht="24" customHeight="1" x14ac:dyDescent="0.2">
      <c r="A14" s="21">
        <v>2</v>
      </c>
      <c r="B14" s="22" t="s">
        <v>17</v>
      </c>
      <c r="C14" s="23">
        <v>13407390</v>
      </c>
      <c r="D14" s="23">
        <v>8299896</v>
      </c>
      <c r="E14" s="23">
        <f t="shared" si="0"/>
        <v>-5107494</v>
      </c>
      <c r="F14" s="24">
        <f t="shared" si="1"/>
        <v>-0.38094617968150402</v>
      </c>
    </row>
    <row r="15" spans="1:8" ht="35.1" customHeight="1" x14ac:dyDescent="0.2">
      <c r="A15" s="21">
        <v>3</v>
      </c>
      <c r="B15" s="22" t="s">
        <v>18</v>
      </c>
      <c r="C15" s="23">
        <v>11426082</v>
      </c>
      <c r="D15" s="23">
        <v>10794688</v>
      </c>
      <c r="E15" s="23">
        <f t="shared" si="0"/>
        <v>-631394</v>
      </c>
      <c r="F15" s="24">
        <f t="shared" si="1"/>
        <v>-5.5259011794244084E-2</v>
      </c>
    </row>
    <row r="16" spans="1:8" ht="35.1" customHeight="1" x14ac:dyDescent="0.2">
      <c r="A16" s="21">
        <v>4</v>
      </c>
      <c r="B16" s="22" t="s">
        <v>19</v>
      </c>
      <c r="C16" s="23">
        <v>605899</v>
      </c>
      <c r="D16" s="23">
        <v>233000</v>
      </c>
      <c r="E16" s="23">
        <f t="shared" si="0"/>
        <v>-372899</v>
      </c>
      <c r="F16" s="24">
        <f t="shared" si="1"/>
        <v>-0.61544745906495968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1482202</v>
      </c>
      <c r="D19" s="23">
        <v>2103446</v>
      </c>
      <c r="E19" s="23">
        <f t="shared" si="0"/>
        <v>621244</v>
      </c>
      <c r="F19" s="24">
        <f t="shared" si="1"/>
        <v>0.41913585327775837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0</v>
      </c>
      <c r="E20" s="23">
        <f t="shared" si="0"/>
        <v>0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0</v>
      </c>
      <c r="D21" s="23">
        <v>0</v>
      </c>
      <c r="E21" s="23">
        <f t="shared" si="0"/>
        <v>0</v>
      </c>
      <c r="F21" s="24">
        <f t="shared" si="1"/>
        <v>0</v>
      </c>
    </row>
    <row r="22" spans="1:11" ht="24" customHeight="1" x14ac:dyDescent="0.25">
      <c r="A22" s="25"/>
      <c r="B22" s="26" t="s">
        <v>25</v>
      </c>
      <c r="C22" s="27">
        <f>SUM(C13:C21)</f>
        <v>36892327</v>
      </c>
      <c r="D22" s="27">
        <f>SUM(D13:D21)</f>
        <v>29438231</v>
      </c>
      <c r="E22" s="27">
        <f t="shared" si="0"/>
        <v>-7454096</v>
      </c>
      <c r="F22" s="28">
        <f t="shared" si="1"/>
        <v>-0.20205003604136978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3734376</v>
      </c>
      <c r="D25" s="23">
        <v>3905024</v>
      </c>
      <c r="E25" s="23">
        <f>D25-C25</f>
        <v>170648</v>
      </c>
      <c r="F25" s="24">
        <f>IF(C25=0,0,E25/C25)</f>
        <v>4.5696523328127646E-2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1292324</v>
      </c>
      <c r="D27" s="23">
        <v>1292303</v>
      </c>
      <c r="E27" s="23">
        <f>D27-C27</f>
        <v>-21</v>
      </c>
      <c r="F27" s="24">
        <f>IF(C27=0,0,E27/C27)</f>
        <v>-1.6249794943063815E-5</v>
      </c>
    </row>
    <row r="28" spans="1:11" ht="35.1" customHeight="1" x14ac:dyDescent="0.2">
      <c r="A28" s="21">
        <v>4</v>
      </c>
      <c r="B28" s="22" t="s">
        <v>31</v>
      </c>
      <c r="C28" s="23">
        <v>4065787</v>
      </c>
      <c r="D28" s="23">
        <v>3522055</v>
      </c>
      <c r="E28" s="23">
        <f>D28-C28</f>
        <v>-543732</v>
      </c>
      <c r="F28" s="24">
        <f>IF(C28=0,0,E28/C28)</f>
        <v>-0.13373351825858068</v>
      </c>
    </row>
    <row r="29" spans="1:11" ht="35.1" customHeight="1" x14ac:dyDescent="0.25">
      <c r="A29" s="25"/>
      <c r="B29" s="26" t="s">
        <v>32</v>
      </c>
      <c r="C29" s="27">
        <f>SUM(C25:C28)</f>
        <v>9092487</v>
      </c>
      <c r="D29" s="27">
        <f>SUM(D25:D28)</f>
        <v>8719382</v>
      </c>
      <c r="E29" s="27">
        <f>D29-C29</f>
        <v>-373105</v>
      </c>
      <c r="F29" s="28">
        <f>IF(C29=0,0,E29/C29)</f>
        <v>-4.1034427654392025E-2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5919401</v>
      </c>
      <c r="D32" s="23">
        <v>6811104</v>
      </c>
      <c r="E32" s="23">
        <f>D32-C32</f>
        <v>891703</v>
      </c>
      <c r="F32" s="24">
        <f>IF(C32=0,0,E32/C32)</f>
        <v>0.15064074895415938</v>
      </c>
    </row>
    <row r="33" spans="1:8" ht="24" customHeight="1" x14ac:dyDescent="0.2">
      <c r="A33" s="21">
        <v>7</v>
      </c>
      <c r="B33" s="22" t="s">
        <v>35</v>
      </c>
      <c r="C33" s="23">
        <v>773880</v>
      </c>
      <c r="D33" s="23">
        <v>696283</v>
      </c>
      <c r="E33" s="23">
        <f>D33-C33</f>
        <v>-77597</v>
      </c>
      <c r="F33" s="24">
        <f>IF(C33=0,0,E33/C33)</f>
        <v>-0.10027006771075619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79907568</v>
      </c>
      <c r="D36" s="23">
        <v>84626851</v>
      </c>
      <c r="E36" s="23">
        <f>D36-C36</f>
        <v>4719283</v>
      </c>
      <c r="F36" s="24">
        <f>IF(C36=0,0,E36/C36)</f>
        <v>5.9059274585856497E-2</v>
      </c>
    </row>
    <row r="37" spans="1:8" ht="24" customHeight="1" x14ac:dyDescent="0.2">
      <c r="A37" s="21">
        <v>2</v>
      </c>
      <c r="B37" s="22" t="s">
        <v>39</v>
      </c>
      <c r="C37" s="23">
        <v>55609757</v>
      </c>
      <c r="D37" s="23">
        <v>60002565</v>
      </c>
      <c r="E37" s="23">
        <f>D37-C37</f>
        <v>4392808</v>
      </c>
      <c r="F37" s="23">
        <f>IF(C37=0,0,E37/C37)</f>
        <v>7.8993475911070782E-2</v>
      </c>
    </row>
    <row r="38" spans="1:8" ht="24" customHeight="1" x14ac:dyDescent="0.25">
      <c r="A38" s="25"/>
      <c r="B38" s="26" t="s">
        <v>40</v>
      </c>
      <c r="C38" s="27">
        <f>C36-C37</f>
        <v>24297811</v>
      </c>
      <c r="D38" s="27">
        <f>D36-D37</f>
        <v>24624286</v>
      </c>
      <c r="E38" s="27">
        <f>D38-C38</f>
        <v>326475</v>
      </c>
      <c r="F38" s="28">
        <f>IF(C38=0,0,E38/C38)</f>
        <v>1.3436395566662363E-2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1220368</v>
      </c>
      <c r="D40" s="23">
        <v>7373183</v>
      </c>
      <c r="E40" s="23">
        <f>D40-C40</f>
        <v>6152815</v>
      </c>
      <c r="F40" s="24">
        <f>IF(C40=0,0,E40/C40)</f>
        <v>5.0417701873533227</v>
      </c>
    </row>
    <row r="41" spans="1:8" ht="24" customHeight="1" x14ac:dyDescent="0.25">
      <c r="A41" s="25"/>
      <c r="B41" s="26" t="s">
        <v>42</v>
      </c>
      <c r="C41" s="27">
        <f>+C38+C40</f>
        <v>25518179</v>
      </c>
      <c r="D41" s="27">
        <f>+D38+D40</f>
        <v>31997469</v>
      </c>
      <c r="E41" s="27">
        <f>D41-C41</f>
        <v>6479290</v>
      </c>
      <c r="F41" s="28">
        <f>IF(C41=0,0,E41/C41)</f>
        <v>0.25390879184600124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78196274</v>
      </c>
      <c r="D43" s="27">
        <f>D22+D29+D31+D32+D33+D41</f>
        <v>77662469</v>
      </c>
      <c r="E43" s="27">
        <f>D43-C43</f>
        <v>-533805</v>
      </c>
      <c r="F43" s="28">
        <f>IF(C43=0,0,E43/C43)</f>
        <v>-6.8264761566516584E-3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3735626</v>
      </c>
      <c r="D49" s="23">
        <v>3335293</v>
      </c>
      <c r="E49" s="23">
        <f t="shared" ref="E49:E56" si="2">D49-C49</f>
        <v>-400333</v>
      </c>
      <c r="F49" s="24">
        <f t="shared" ref="F49:F56" si="3">IF(C49=0,0,E49/C49)</f>
        <v>-0.10716624201673294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1617235</v>
      </c>
      <c r="D50" s="23">
        <v>1016316</v>
      </c>
      <c r="E50" s="23">
        <f t="shared" si="2"/>
        <v>-600919</v>
      </c>
      <c r="F50" s="24">
        <f t="shared" si="3"/>
        <v>-0.37157184948384125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3205718</v>
      </c>
      <c r="D51" s="23">
        <v>1308122</v>
      </c>
      <c r="E51" s="23">
        <f t="shared" si="2"/>
        <v>-1897596</v>
      </c>
      <c r="F51" s="24">
        <f t="shared" si="3"/>
        <v>-0.5919410253802736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530000</v>
      </c>
      <c r="D53" s="23">
        <v>560000</v>
      </c>
      <c r="E53" s="23">
        <f t="shared" si="2"/>
        <v>30000</v>
      </c>
      <c r="F53" s="24">
        <f t="shared" si="3"/>
        <v>5.6603773584905662E-2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7150220</v>
      </c>
      <c r="D55" s="23">
        <v>8661686</v>
      </c>
      <c r="E55" s="23">
        <f t="shared" si="2"/>
        <v>1511466</v>
      </c>
      <c r="F55" s="24">
        <f t="shared" si="3"/>
        <v>0.21138734192794068</v>
      </c>
    </row>
    <row r="56" spans="1:6" ht="24" customHeight="1" x14ac:dyDescent="0.25">
      <c r="A56" s="25"/>
      <c r="B56" s="26" t="s">
        <v>54</v>
      </c>
      <c r="C56" s="27">
        <f>SUM(C49:C55)</f>
        <v>16238799</v>
      </c>
      <c r="D56" s="27">
        <f>SUM(D49:D55)</f>
        <v>14881417</v>
      </c>
      <c r="E56" s="27">
        <f t="shared" si="2"/>
        <v>-1357382</v>
      </c>
      <c r="F56" s="28">
        <f t="shared" si="3"/>
        <v>-8.3588817128655887E-2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13620000</v>
      </c>
      <c r="D59" s="23">
        <v>14691107</v>
      </c>
      <c r="E59" s="23">
        <f>D59-C59</f>
        <v>1071107</v>
      </c>
      <c r="F59" s="24">
        <f>IF(C59=0,0,E59/C59)</f>
        <v>7.8642217327459615E-2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13620000</v>
      </c>
      <c r="D61" s="27">
        <f>SUM(D59:D60)</f>
        <v>14691107</v>
      </c>
      <c r="E61" s="27">
        <f>D61-C61</f>
        <v>1071107</v>
      </c>
      <c r="F61" s="28">
        <f>IF(C61=0,0,E61/C61)</f>
        <v>7.8642217327459615E-2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25602222</v>
      </c>
      <c r="D63" s="23">
        <v>28880608</v>
      </c>
      <c r="E63" s="23">
        <f>D63-C63</f>
        <v>3278386</v>
      </c>
      <c r="F63" s="24">
        <f>IF(C63=0,0,E63/C63)</f>
        <v>0.12805083871235864</v>
      </c>
    </row>
    <row r="64" spans="1:6" ht="24" customHeight="1" x14ac:dyDescent="0.2">
      <c r="A64" s="21">
        <v>4</v>
      </c>
      <c r="B64" s="22" t="s">
        <v>60</v>
      </c>
      <c r="C64" s="23">
        <v>0</v>
      </c>
      <c r="D64" s="23">
        <v>0</v>
      </c>
      <c r="E64" s="23">
        <f>D64-C64</f>
        <v>0</v>
      </c>
      <c r="F64" s="24">
        <f>IF(C64=0,0,E64/C64)</f>
        <v>0</v>
      </c>
    </row>
    <row r="65" spans="1:6" ht="24" customHeight="1" x14ac:dyDescent="0.25">
      <c r="A65" s="25"/>
      <c r="B65" s="26" t="s">
        <v>61</v>
      </c>
      <c r="C65" s="27">
        <f>SUM(C61:C64)</f>
        <v>39222222</v>
      </c>
      <c r="D65" s="27">
        <f>SUM(D61:D64)</f>
        <v>43571715</v>
      </c>
      <c r="E65" s="27">
        <f>D65-C65</f>
        <v>4349493</v>
      </c>
      <c r="F65" s="28">
        <f>IF(C65=0,0,E65/C65)</f>
        <v>0.11089358986341977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15388702</v>
      </c>
      <c r="D70" s="23">
        <v>12241312</v>
      </c>
      <c r="E70" s="23">
        <f>D70-C70</f>
        <v>-3147390</v>
      </c>
      <c r="F70" s="24">
        <f>IF(C70=0,0,E70/C70)</f>
        <v>-0.20452602175284179</v>
      </c>
    </row>
    <row r="71" spans="1:6" ht="24" customHeight="1" x14ac:dyDescent="0.2">
      <c r="A71" s="21">
        <v>2</v>
      </c>
      <c r="B71" s="22" t="s">
        <v>65</v>
      </c>
      <c r="C71" s="23">
        <v>3711784</v>
      </c>
      <c r="D71" s="23">
        <v>3250700</v>
      </c>
      <c r="E71" s="23">
        <f>D71-C71</f>
        <v>-461084</v>
      </c>
      <c r="F71" s="24">
        <f>IF(C71=0,0,E71/C71)</f>
        <v>-0.12422166807120241</v>
      </c>
    </row>
    <row r="72" spans="1:6" ht="24" customHeight="1" x14ac:dyDescent="0.2">
      <c r="A72" s="21">
        <v>3</v>
      </c>
      <c r="B72" s="22" t="s">
        <v>66</v>
      </c>
      <c r="C72" s="23">
        <v>3634767</v>
      </c>
      <c r="D72" s="23">
        <v>3717325</v>
      </c>
      <c r="E72" s="23">
        <f>D72-C72</f>
        <v>82558</v>
      </c>
      <c r="F72" s="24">
        <f>IF(C72=0,0,E72/C72)</f>
        <v>2.2713422896158131E-2</v>
      </c>
    </row>
    <row r="73" spans="1:6" ht="24" customHeight="1" x14ac:dyDescent="0.25">
      <c r="A73" s="21"/>
      <c r="B73" s="26" t="s">
        <v>67</v>
      </c>
      <c r="C73" s="27">
        <f>SUM(C70:C72)</f>
        <v>22735253</v>
      </c>
      <c r="D73" s="27">
        <f>SUM(D70:D72)</f>
        <v>19209337</v>
      </c>
      <c r="E73" s="27">
        <f>D73-C73</f>
        <v>-3525916</v>
      </c>
      <c r="F73" s="28">
        <f>IF(C73=0,0,E73/C73)</f>
        <v>-0.15508584839588105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78196274</v>
      </c>
      <c r="D75" s="27">
        <f>D56+D65+D67+D73</f>
        <v>77662469</v>
      </c>
      <c r="E75" s="27">
        <f>D75-C75</f>
        <v>-533805</v>
      </c>
      <c r="F75" s="28">
        <f>IF(C75=0,0,E75/C75)</f>
        <v>-6.8264761566516584E-3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r:id="rId1"/>
  <headerFooter>
    <oddHeader>&amp;LOFFICE OF HEALTH CARE ACCESS&amp;CTWELVE MONTHS ACTUAL FILING&amp;RDAY KIMBALL HOSPITAL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/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0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480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170008661</v>
      </c>
      <c r="D12" s="51">
        <v>177697551</v>
      </c>
      <c r="E12" s="51">
        <f t="shared" ref="E12:E19" si="0">D12-C12</f>
        <v>7688890</v>
      </c>
      <c r="F12" s="70">
        <f t="shared" ref="F12:F19" si="1">IF(C12=0,0,E12/C12)</f>
        <v>4.5226460550736293E-2</v>
      </c>
    </row>
    <row r="13" spans="1:8" ht="23.1" customHeight="1" x14ac:dyDescent="0.2">
      <c r="A13" s="25">
        <v>2</v>
      </c>
      <c r="B13" s="48" t="s">
        <v>72</v>
      </c>
      <c r="C13" s="51">
        <v>69238321</v>
      </c>
      <c r="D13" s="51">
        <v>69271905</v>
      </c>
      <c r="E13" s="51">
        <f t="shared" si="0"/>
        <v>33584</v>
      </c>
      <c r="F13" s="70">
        <f t="shared" si="1"/>
        <v>4.850493125042706E-4</v>
      </c>
    </row>
    <row r="14" spans="1:8" ht="23.1" customHeight="1" x14ac:dyDescent="0.2">
      <c r="A14" s="25">
        <v>3</v>
      </c>
      <c r="B14" s="48" t="s">
        <v>73</v>
      </c>
      <c r="C14" s="51">
        <v>1210237</v>
      </c>
      <c r="D14" s="51">
        <v>1391261</v>
      </c>
      <c r="E14" s="51">
        <f t="shared" si="0"/>
        <v>181024</v>
      </c>
      <c r="F14" s="70">
        <f t="shared" si="1"/>
        <v>0.14957731419548403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99560103</v>
      </c>
      <c r="D16" s="27">
        <f>D12-D13-D14-D15</f>
        <v>107034385</v>
      </c>
      <c r="E16" s="27">
        <f t="shared" si="0"/>
        <v>7474282</v>
      </c>
      <c r="F16" s="28">
        <f t="shared" si="1"/>
        <v>7.5073064157034866E-2</v>
      </c>
    </row>
    <row r="17" spans="1:7" ht="23.1" customHeight="1" x14ac:dyDescent="0.2">
      <c r="A17" s="25">
        <v>5</v>
      </c>
      <c r="B17" s="48" t="s">
        <v>76</v>
      </c>
      <c r="C17" s="51">
        <v>2811782</v>
      </c>
      <c r="D17" s="51">
        <v>3179532</v>
      </c>
      <c r="E17" s="51">
        <f t="shared" si="0"/>
        <v>367750</v>
      </c>
      <c r="F17" s="70">
        <f t="shared" si="1"/>
        <v>0.13078894451988099</v>
      </c>
      <c r="G17" s="64"/>
    </row>
    <row r="18" spans="1:7" ht="33" customHeight="1" x14ac:dyDescent="0.2">
      <c r="A18" s="25">
        <v>6</v>
      </c>
      <c r="B18" s="45" t="s">
        <v>77</v>
      </c>
      <c r="C18" s="51">
        <v>200965</v>
      </c>
      <c r="D18" s="51">
        <v>313275</v>
      </c>
      <c r="E18" s="51">
        <f t="shared" si="0"/>
        <v>112310</v>
      </c>
      <c r="F18" s="70">
        <f t="shared" si="1"/>
        <v>0.55885353170950169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102572850</v>
      </c>
      <c r="D19" s="27">
        <f>SUM(D16:D18)</f>
        <v>110527192</v>
      </c>
      <c r="E19" s="27">
        <f t="shared" si="0"/>
        <v>7954342</v>
      </c>
      <c r="F19" s="28">
        <f t="shared" si="1"/>
        <v>7.754822060613506E-2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46496983</v>
      </c>
      <c r="D22" s="51">
        <v>51824463</v>
      </c>
      <c r="E22" s="51">
        <f t="shared" ref="E22:E31" si="2">D22-C22</f>
        <v>5327480</v>
      </c>
      <c r="F22" s="70">
        <f t="shared" ref="F22:F31" si="3">IF(C22=0,0,E22/C22)</f>
        <v>0.11457689631174564</v>
      </c>
    </row>
    <row r="23" spans="1:7" ht="23.1" customHeight="1" x14ac:dyDescent="0.2">
      <c r="A23" s="25">
        <v>2</v>
      </c>
      <c r="B23" s="48" t="s">
        <v>81</v>
      </c>
      <c r="C23" s="51">
        <v>12348261</v>
      </c>
      <c r="D23" s="51">
        <v>14651110</v>
      </c>
      <c r="E23" s="51">
        <f t="shared" si="2"/>
        <v>2302849</v>
      </c>
      <c r="F23" s="70">
        <f t="shared" si="3"/>
        <v>0.18649176592558256</v>
      </c>
    </row>
    <row r="24" spans="1:7" ht="23.1" customHeight="1" x14ac:dyDescent="0.2">
      <c r="A24" s="25">
        <v>3</v>
      </c>
      <c r="B24" s="48" t="s">
        <v>82</v>
      </c>
      <c r="C24" s="51">
        <v>2143583</v>
      </c>
      <c r="D24" s="51">
        <v>2019693</v>
      </c>
      <c r="E24" s="51">
        <f t="shared" si="2"/>
        <v>-123890</v>
      </c>
      <c r="F24" s="70">
        <f t="shared" si="3"/>
        <v>-5.7795755984256264E-2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13943134</v>
      </c>
      <c r="D25" s="51">
        <v>13784884</v>
      </c>
      <c r="E25" s="51">
        <f t="shared" si="2"/>
        <v>-158250</v>
      </c>
      <c r="F25" s="70">
        <f t="shared" si="3"/>
        <v>-1.1349672175566842E-2</v>
      </c>
    </row>
    <row r="26" spans="1:7" ht="23.1" customHeight="1" x14ac:dyDescent="0.2">
      <c r="A26" s="25">
        <v>5</v>
      </c>
      <c r="B26" s="48" t="s">
        <v>84</v>
      </c>
      <c r="C26" s="51">
        <v>4505222</v>
      </c>
      <c r="D26" s="51">
        <v>4545134</v>
      </c>
      <c r="E26" s="51">
        <f t="shared" si="2"/>
        <v>39912</v>
      </c>
      <c r="F26" s="70">
        <f t="shared" si="3"/>
        <v>8.8590528946187342E-3</v>
      </c>
    </row>
    <row r="27" spans="1:7" ht="23.1" customHeight="1" x14ac:dyDescent="0.2">
      <c r="A27" s="25">
        <v>6</v>
      </c>
      <c r="B27" s="48" t="s">
        <v>85</v>
      </c>
      <c r="C27" s="51">
        <v>3599872</v>
      </c>
      <c r="D27" s="51">
        <v>3380034</v>
      </c>
      <c r="E27" s="51">
        <f t="shared" si="2"/>
        <v>-219838</v>
      </c>
      <c r="F27" s="70">
        <f t="shared" si="3"/>
        <v>-6.1068282427819656E-2</v>
      </c>
    </row>
    <row r="28" spans="1:7" ht="23.1" customHeight="1" x14ac:dyDescent="0.2">
      <c r="A28" s="25">
        <v>7</v>
      </c>
      <c r="B28" s="48" t="s">
        <v>86</v>
      </c>
      <c r="C28" s="51">
        <v>712804</v>
      </c>
      <c r="D28" s="51">
        <v>759641</v>
      </c>
      <c r="E28" s="51">
        <f t="shared" si="2"/>
        <v>46837</v>
      </c>
      <c r="F28" s="70">
        <f t="shared" si="3"/>
        <v>6.5708104892789609E-2</v>
      </c>
    </row>
    <row r="29" spans="1:7" ht="23.1" customHeight="1" x14ac:dyDescent="0.2">
      <c r="A29" s="25">
        <v>8</v>
      </c>
      <c r="B29" s="48" t="s">
        <v>87</v>
      </c>
      <c r="C29" s="51">
        <v>1367065</v>
      </c>
      <c r="D29" s="51">
        <v>1550078</v>
      </c>
      <c r="E29" s="51">
        <f t="shared" si="2"/>
        <v>183013</v>
      </c>
      <c r="F29" s="70">
        <f t="shared" si="3"/>
        <v>0.13387293215757845</v>
      </c>
    </row>
    <row r="30" spans="1:7" ht="23.1" customHeight="1" x14ac:dyDescent="0.2">
      <c r="A30" s="25">
        <v>9</v>
      </c>
      <c r="B30" s="48" t="s">
        <v>88</v>
      </c>
      <c r="C30" s="51">
        <v>16163353</v>
      </c>
      <c r="D30" s="51">
        <v>16880610</v>
      </c>
      <c r="E30" s="51">
        <f t="shared" si="2"/>
        <v>717257</v>
      </c>
      <c r="F30" s="70">
        <f t="shared" si="3"/>
        <v>4.4375507977831082E-2</v>
      </c>
    </row>
    <row r="31" spans="1:7" ht="23.1" customHeight="1" x14ac:dyDescent="0.25">
      <c r="A31" s="29"/>
      <c r="B31" s="71" t="s">
        <v>89</v>
      </c>
      <c r="C31" s="27">
        <f>SUM(C22:C30)</f>
        <v>101280277</v>
      </c>
      <c r="D31" s="27">
        <f>SUM(D22:D30)</f>
        <v>109395647</v>
      </c>
      <c r="E31" s="27">
        <f t="shared" si="2"/>
        <v>8115370</v>
      </c>
      <c r="F31" s="28">
        <f t="shared" si="3"/>
        <v>8.0127841672470945E-2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1292573</v>
      </c>
      <c r="D33" s="27">
        <f>+D19-D31</f>
        <v>1131545</v>
      </c>
      <c r="E33" s="27">
        <f>D33-C33</f>
        <v>-161028</v>
      </c>
      <c r="F33" s="28">
        <f>IF(C33=0,0,E33/C33)</f>
        <v>-0.12457942414084157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0</v>
      </c>
      <c r="E36" s="51">
        <f>D36-C36</f>
        <v>0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-687680</v>
      </c>
      <c r="D38" s="51">
        <v>607272</v>
      </c>
      <c r="E38" s="51">
        <f>D38-C38</f>
        <v>1294952</v>
      </c>
      <c r="F38" s="70">
        <f>IF(C38=0,0,E38/C38)</f>
        <v>-1.8830735225686366</v>
      </c>
    </row>
    <row r="39" spans="1:6" ht="23.1" customHeight="1" x14ac:dyDescent="0.25">
      <c r="A39" s="20"/>
      <c r="B39" s="71" t="s">
        <v>95</v>
      </c>
      <c r="C39" s="27">
        <f>SUM(C36:C38)</f>
        <v>-687680</v>
      </c>
      <c r="D39" s="27">
        <f>SUM(D36:D38)</f>
        <v>607272</v>
      </c>
      <c r="E39" s="27">
        <f>D39-C39</f>
        <v>1294952</v>
      </c>
      <c r="F39" s="28">
        <f>IF(C39=0,0,E39/C39)</f>
        <v>-1.8830735225686366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604893</v>
      </c>
      <c r="D41" s="27">
        <f>D33+D39</f>
        <v>1738817</v>
      </c>
      <c r="E41" s="27">
        <f>D41-C41</f>
        <v>1133924</v>
      </c>
      <c r="F41" s="28">
        <f>IF(C41=0,0,E41/C41)</f>
        <v>1.874586083819783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604893</v>
      </c>
      <c r="D48" s="27">
        <f>D41+D46</f>
        <v>1738817</v>
      </c>
      <c r="E48" s="27">
        <f>D48-C48</f>
        <v>1133924</v>
      </c>
      <c r="F48" s="28">
        <f>IF(C48=0,0,E48/C48)</f>
        <v>1.874586083819783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r:id="rId1"/>
  <headerFooter>
    <oddHeader>&amp;L&amp;8OFFICE OF HEALTH CARE ACCESS&amp;C&amp;8TWELVE MONTHS ACTUAL FILING&amp;R&amp;8DAY KIMBALL HOSPITAL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197</vt:i4>
      </vt:variant>
    </vt:vector>
  </HeadingPairs>
  <TitlesOfParts>
    <vt:vector size="217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Sheet1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2011-08-05T18:23:23Z</cp:lastPrinted>
  <dcterms:created xsi:type="dcterms:W3CDTF">2006-08-03T13:49:12Z</dcterms:created>
  <dcterms:modified xsi:type="dcterms:W3CDTF">2011-08-05T18:23:59Z</dcterms:modified>
</cp:coreProperties>
</file>