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 firstSheet="7" activeTab="18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 s="1"/>
  <c r="D223" i="14"/>
  <c r="D204" i="14"/>
  <c r="D269" i="14"/>
  <c r="D203" i="14"/>
  <c r="D283" i="14"/>
  <c r="D198" i="14"/>
  <c r="D290" i="14" s="1"/>
  <c r="D191" i="14"/>
  <c r="D264" i="14" s="1"/>
  <c r="D189" i="14"/>
  <c r="D278" i="14" s="1"/>
  <c r="D188" i="14"/>
  <c r="D214" i="14" s="1"/>
  <c r="D180" i="14"/>
  <c r="D179" i="14"/>
  <c r="D181" i="14"/>
  <c r="D171" i="14"/>
  <c r="D172" i="14"/>
  <c r="D173" i="14" s="1"/>
  <c r="D170" i="14"/>
  <c r="D165" i="14"/>
  <c r="D164" i="14"/>
  <c r="D158" i="14"/>
  <c r="D159" i="14"/>
  <c r="D155" i="14"/>
  <c r="D145" i="14"/>
  <c r="D144" i="14"/>
  <c r="D146" i="14"/>
  <c r="D136" i="14"/>
  <c r="D135" i="14"/>
  <c r="D130" i="14"/>
  <c r="D129" i="14"/>
  <c r="D123" i="14"/>
  <c r="D124" i="14" s="1"/>
  <c r="D120" i="14"/>
  <c r="D110" i="14"/>
  <c r="D109" i="14"/>
  <c r="D111" i="14" s="1"/>
  <c r="D101" i="14"/>
  <c r="D102" i="14" s="1"/>
  <c r="D103" i="14" s="1"/>
  <c r="D100" i="14"/>
  <c r="D95" i="14"/>
  <c r="D94" i="14"/>
  <c r="D88" i="14"/>
  <c r="D89" i="14"/>
  <c r="D85" i="14"/>
  <c r="D76" i="14"/>
  <c r="D77" i="14" s="1"/>
  <c r="D67" i="14"/>
  <c r="D66" i="14"/>
  <c r="D68" i="14"/>
  <c r="D59" i="14"/>
  <c r="D60" i="14"/>
  <c r="D61" i="14" s="1"/>
  <c r="D58" i="14"/>
  <c r="D53" i="14"/>
  <c r="D52" i="14"/>
  <c r="D47" i="14"/>
  <c r="D48" i="14"/>
  <c r="D90" i="14" s="1"/>
  <c r="D44" i="14"/>
  <c r="D36" i="14"/>
  <c r="D35" i="14"/>
  <c r="D30" i="14"/>
  <c r="D31" i="14"/>
  <c r="D32" i="14" s="1"/>
  <c r="D29" i="14"/>
  <c r="D24" i="14"/>
  <c r="D23" i="14"/>
  <c r="D20" i="14"/>
  <c r="D21" i="14" s="1"/>
  <c r="D126" i="14" s="1"/>
  <c r="D127" i="14" s="1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C93" i="19"/>
  <c r="E91" i="19"/>
  <c r="E93" i="19"/>
  <c r="D91" i="19"/>
  <c r="D93" i="19"/>
  <c r="C91" i="19"/>
  <c r="E87" i="19"/>
  <c r="D87" i="19"/>
  <c r="C87" i="19"/>
  <c r="E86" i="19"/>
  <c r="E88" i="19" s="1"/>
  <c r="D86" i="19"/>
  <c r="D88" i="19" s="1"/>
  <c r="C86" i="19"/>
  <c r="C88" i="19"/>
  <c r="E83" i="19"/>
  <c r="E102" i="19" s="1"/>
  <c r="E101" i="19"/>
  <c r="E103" i="19" s="1"/>
  <c r="D83" i="19"/>
  <c r="D101" i="19" s="1"/>
  <c r="C83" i="19"/>
  <c r="C102" i="19" s="1"/>
  <c r="E76" i="19"/>
  <c r="D76" i="19"/>
  <c r="C76" i="19"/>
  <c r="E75" i="19"/>
  <c r="E77" i="19"/>
  <c r="D75" i="19"/>
  <c r="D77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 s="1"/>
  <c r="C12" i="19"/>
  <c r="C23" i="19" s="1"/>
  <c r="C46" i="19" s="1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E45" i="17" s="1"/>
  <c r="F45" i="17" s="1"/>
  <c r="C45" i="17"/>
  <c r="D44" i="17"/>
  <c r="E44" i="17" s="1"/>
  <c r="F44" i="17" s="1"/>
  <c r="C44" i="17"/>
  <c r="D43" i="17"/>
  <c r="D46" i="17" s="1"/>
  <c r="C43" i="17"/>
  <c r="C46" i="17" s="1"/>
  <c r="D36" i="17"/>
  <c r="D40" i="17"/>
  <c r="C36" i="17"/>
  <c r="C40" i="17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E27" i="17"/>
  <c r="F27" i="17" s="1"/>
  <c r="D25" i="17"/>
  <c r="D39" i="17"/>
  <c r="C25" i="17"/>
  <c r="C39" i="17" s="1"/>
  <c r="E24" i="17"/>
  <c r="F24" i="17" s="1"/>
  <c r="F23" i="17"/>
  <c r="E23" i="17"/>
  <c r="F22" i="17"/>
  <c r="E22" i="17"/>
  <c r="E25" i="17"/>
  <c r="F25" i="17" s="1"/>
  <c r="D19" i="17"/>
  <c r="D20" i="17" s="1"/>
  <c r="C19" i="17"/>
  <c r="C20" i="17" s="1"/>
  <c r="F18" i="17"/>
  <c r="E18" i="17"/>
  <c r="D16" i="17"/>
  <c r="E16" i="17" s="1"/>
  <c r="F16" i="17" s="1"/>
  <c r="C16" i="17"/>
  <c r="F15" i="17"/>
  <c r="E15" i="17"/>
  <c r="F13" i="17"/>
  <c r="E13" i="17"/>
  <c r="F12" i="17"/>
  <c r="E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C37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E292" i="15" s="1"/>
  <c r="C292" i="15"/>
  <c r="D291" i="15"/>
  <c r="C291" i="15"/>
  <c r="E291" i="15" s="1"/>
  <c r="D290" i="15"/>
  <c r="E290" i="15" s="1"/>
  <c r="C290" i="15"/>
  <c r="D288" i="15"/>
  <c r="E288" i="15" s="1"/>
  <c r="C288" i="15"/>
  <c r="D287" i="15"/>
  <c r="C287" i="15"/>
  <c r="E287" i="15" s="1"/>
  <c r="D282" i="15"/>
  <c r="E282" i="15" s="1"/>
  <c r="C282" i="15"/>
  <c r="D281" i="15"/>
  <c r="C281" i="15"/>
  <c r="E281" i="15" s="1"/>
  <c r="D280" i="15"/>
  <c r="E280" i="15" s="1"/>
  <c r="C280" i="15"/>
  <c r="D279" i="15"/>
  <c r="E279" i="15" s="1"/>
  <c r="C279" i="15"/>
  <c r="D278" i="15"/>
  <c r="E278" i="15" s="1"/>
  <c r="C278" i="15"/>
  <c r="D277" i="15"/>
  <c r="E277" i="15" s="1"/>
  <c r="C277" i="15"/>
  <c r="D276" i="15"/>
  <c r="E276" i="15" s="1"/>
  <c r="C276" i="15"/>
  <c r="E270" i="15"/>
  <c r="D265" i="15"/>
  <c r="D302" i="15" s="1"/>
  <c r="C265" i="15"/>
  <c r="C302" i="15" s="1"/>
  <c r="D262" i="15"/>
  <c r="E262" i="15" s="1"/>
  <c r="C262" i="15"/>
  <c r="D251" i="15"/>
  <c r="C251" i="15"/>
  <c r="D233" i="15"/>
  <c r="E233" i="15"/>
  <c r="C233" i="15"/>
  <c r="D232" i="15"/>
  <c r="C232" i="15"/>
  <c r="E232" i="15"/>
  <c r="D231" i="15"/>
  <c r="C231" i="15"/>
  <c r="D230" i="15"/>
  <c r="C230" i="15"/>
  <c r="E230" i="15" s="1"/>
  <c r="D228" i="15"/>
  <c r="C228" i="15"/>
  <c r="E228" i="15"/>
  <c r="D227" i="15"/>
  <c r="E227" i="15"/>
  <c r="C227" i="15"/>
  <c r="D221" i="15"/>
  <c r="D245" i="15" s="1"/>
  <c r="C221" i="15"/>
  <c r="C245" i="15" s="1"/>
  <c r="D220" i="15"/>
  <c r="D244" i="15" s="1"/>
  <c r="E220" i="15"/>
  <c r="C220" i="15"/>
  <c r="C244" i="15"/>
  <c r="D219" i="15"/>
  <c r="D243" i="15" s="1"/>
  <c r="E243" i="15" s="1"/>
  <c r="C219" i="15"/>
  <c r="C243" i="15" s="1"/>
  <c r="D218" i="15"/>
  <c r="C218" i="15"/>
  <c r="C242" i="15" s="1"/>
  <c r="C217" i="15"/>
  <c r="C241" i="15" s="1"/>
  <c r="D216" i="15"/>
  <c r="E216" i="15"/>
  <c r="C216" i="15"/>
  <c r="C240" i="15"/>
  <c r="D215" i="15"/>
  <c r="D239" i="15" s="1"/>
  <c r="C215" i="15"/>
  <c r="C210" i="15"/>
  <c r="C211" i="15" s="1"/>
  <c r="E209" i="15"/>
  <c r="E208" i="15"/>
  <c r="E207" i="15"/>
  <c r="E206" i="15"/>
  <c r="D205" i="15"/>
  <c r="D229" i="15" s="1"/>
  <c r="E229" i="15" s="1"/>
  <c r="C205" i="15"/>
  <c r="C229" i="15"/>
  <c r="E204" i="15"/>
  <c r="E203" i="15"/>
  <c r="E197" i="15"/>
  <c r="E196" i="15"/>
  <c r="D195" i="15"/>
  <c r="D260" i="15" s="1"/>
  <c r="C195" i="15"/>
  <c r="C260" i="15"/>
  <c r="E194" i="15"/>
  <c r="E193" i="15"/>
  <c r="E192" i="15"/>
  <c r="E191" i="15"/>
  <c r="E190" i="15"/>
  <c r="D188" i="15"/>
  <c r="C188" i="15"/>
  <c r="C261" i="15" s="1"/>
  <c r="E186" i="15"/>
  <c r="E185" i="15"/>
  <c r="D179" i="15"/>
  <c r="C179" i="15"/>
  <c r="E179" i="15" s="1"/>
  <c r="D178" i="15"/>
  <c r="E178" i="15" s="1"/>
  <c r="C178" i="15"/>
  <c r="D177" i="15"/>
  <c r="C177" i="15"/>
  <c r="E177" i="15" s="1"/>
  <c r="D176" i="15"/>
  <c r="E176" i="15" s="1"/>
  <c r="C176" i="15"/>
  <c r="D174" i="15"/>
  <c r="E174" i="15" s="1"/>
  <c r="C174" i="15"/>
  <c r="D173" i="15"/>
  <c r="E173" i="15" s="1"/>
  <c r="C173" i="15"/>
  <c r="D167" i="15"/>
  <c r="E167" i="15" s="1"/>
  <c r="C167" i="15"/>
  <c r="D166" i="15"/>
  <c r="E166" i="15" s="1"/>
  <c r="C166" i="15"/>
  <c r="D165" i="15"/>
  <c r="E165" i="15" s="1"/>
  <c r="C165" i="15"/>
  <c r="D164" i="15"/>
  <c r="C164" i="15"/>
  <c r="E164" i="15" s="1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E150" i="15"/>
  <c r="E149" i="15"/>
  <c r="E143" i="15"/>
  <c r="E142" i="15"/>
  <c r="E141" i="15"/>
  <c r="E140" i="15"/>
  <c r="D139" i="15"/>
  <c r="D163" i="15" s="1"/>
  <c r="C139" i="15"/>
  <c r="C175" i="15" s="1"/>
  <c r="E138" i="15"/>
  <c r="E137" i="15"/>
  <c r="D75" i="15"/>
  <c r="C75" i="15"/>
  <c r="E75" i="15" s="1"/>
  <c r="D74" i="15"/>
  <c r="E74" i="15" s="1"/>
  <c r="C74" i="15"/>
  <c r="D73" i="15"/>
  <c r="C73" i="15"/>
  <c r="E73" i="15" s="1"/>
  <c r="D72" i="15"/>
  <c r="E72" i="15" s="1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C37" i="15"/>
  <c r="E37" i="15"/>
  <c r="D36" i="15"/>
  <c r="E36" i="15"/>
  <c r="C36" i="15"/>
  <c r="C33" i="15"/>
  <c r="D32" i="15"/>
  <c r="C32" i="15"/>
  <c r="E31" i="15"/>
  <c r="E30" i="15"/>
  <c r="E29" i="15"/>
  <c r="E28" i="15"/>
  <c r="E27" i="15"/>
  <c r="E26" i="15"/>
  <c r="E25" i="15"/>
  <c r="D22" i="15"/>
  <c r="E22" i="15" s="1"/>
  <c r="E21" i="15"/>
  <c r="D21" i="15"/>
  <c r="D283" i="15"/>
  <c r="C21" i="15"/>
  <c r="C22" i="15"/>
  <c r="C284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11" i="14"/>
  <c r="E308" i="14"/>
  <c r="F308" i="14"/>
  <c r="C307" i="14"/>
  <c r="E307" i="14" s="1"/>
  <c r="C299" i="14"/>
  <c r="C298" i="14"/>
  <c r="E298" i="14"/>
  <c r="C297" i="14"/>
  <c r="E297" i="14" s="1"/>
  <c r="C296" i="14"/>
  <c r="C295" i="14"/>
  <c r="E295" i="14" s="1"/>
  <c r="F295" i="14" s="1"/>
  <c r="C294" i="14"/>
  <c r="E294" i="14" s="1"/>
  <c r="C250" i="14"/>
  <c r="E250" i="14" s="1"/>
  <c r="F250" i="14" s="1"/>
  <c r="C306" i="14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C237" i="14"/>
  <c r="E237" i="14" s="1"/>
  <c r="E234" i="14"/>
  <c r="F234" i="14" s="1"/>
  <c r="F233" i="14"/>
  <c r="E233" i="14"/>
  <c r="E230" i="14"/>
  <c r="C230" i="14"/>
  <c r="C229" i="14"/>
  <c r="E229" i="14" s="1"/>
  <c r="F229" i="14" s="1"/>
  <c r="E228" i="14"/>
  <c r="F228" i="14"/>
  <c r="C226" i="14"/>
  <c r="C227" i="14" s="1"/>
  <c r="E225" i="14"/>
  <c r="F225" i="14"/>
  <c r="E224" i="14"/>
  <c r="F224" i="14"/>
  <c r="C223" i="14"/>
  <c r="E223" i="14" s="1"/>
  <c r="F223" i="14" s="1"/>
  <c r="F222" i="14"/>
  <c r="E222" i="14"/>
  <c r="F221" i="14"/>
  <c r="E221" i="14"/>
  <c r="C205" i="14"/>
  <c r="C204" i="14"/>
  <c r="C255" i="14"/>
  <c r="C203" i="14"/>
  <c r="E203" i="14" s="1"/>
  <c r="F203" i="14" s="1"/>
  <c r="C267" i="14"/>
  <c r="C198" i="14"/>
  <c r="E198" i="14"/>
  <c r="C191" i="14"/>
  <c r="C280" i="14"/>
  <c r="C189" i="14"/>
  <c r="C278" i="14" s="1"/>
  <c r="C188" i="14"/>
  <c r="C180" i="14"/>
  <c r="E180" i="14" s="1"/>
  <c r="F180" i="14" s="1"/>
  <c r="C179" i="14"/>
  <c r="E179" i="14" s="1"/>
  <c r="C171" i="14"/>
  <c r="C172" i="14" s="1"/>
  <c r="E171" i="14"/>
  <c r="F171" i="14" s="1"/>
  <c r="C170" i="14"/>
  <c r="E169" i="14"/>
  <c r="F169" i="14"/>
  <c r="E168" i="14"/>
  <c r="F168" i="14"/>
  <c r="C165" i="14"/>
  <c r="E165" i="14" s="1"/>
  <c r="E164" i="14"/>
  <c r="C164" i="14"/>
  <c r="E163" i="14"/>
  <c r="F163" i="14" s="1"/>
  <c r="C158" i="14"/>
  <c r="E158" i="14" s="1"/>
  <c r="E157" i="14"/>
  <c r="F157" i="14"/>
  <c r="E156" i="14"/>
  <c r="F156" i="14"/>
  <c r="C155" i="14"/>
  <c r="E155" i="14"/>
  <c r="E154" i="14"/>
  <c r="F154" i="14"/>
  <c r="E153" i="14"/>
  <c r="F153" i="14"/>
  <c r="C145" i="14"/>
  <c r="E145" i="14" s="1"/>
  <c r="C144" i="14"/>
  <c r="E144" i="14" s="1"/>
  <c r="C136" i="14"/>
  <c r="C135" i="14"/>
  <c r="E135" i="14"/>
  <c r="F135" i="14" s="1"/>
  <c r="E134" i="14"/>
  <c r="F134" i="14" s="1"/>
  <c r="E133" i="14"/>
  <c r="F133" i="14" s="1"/>
  <c r="E130" i="14"/>
  <c r="C130" i="14"/>
  <c r="C129" i="14"/>
  <c r="E129" i="14" s="1"/>
  <c r="F129" i="14" s="1"/>
  <c r="E128" i="14"/>
  <c r="F128" i="14"/>
  <c r="C123" i="14"/>
  <c r="C192" i="14" s="1"/>
  <c r="E122" i="14"/>
  <c r="F122" i="14" s="1"/>
  <c r="E121" i="14"/>
  <c r="F121" i="14" s="1"/>
  <c r="C120" i="14"/>
  <c r="E120" i="14"/>
  <c r="E119" i="14"/>
  <c r="F119" i="14"/>
  <c r="E118" i="14"/>
  <c r="F118" i="14"/>
  <c r="C110" i="14"/>
  <c r="E110" i="14" s="1"/>
  <c r="F110" i="14" s="1"/>
  <c r="C109" i="14"/>
  <c r="C101" i="14"/>
  <c r="C100" i="14"/>
  <c r="E99" i="14"/>
  <c r="F99" i="14"/>
  <c r="E98" i="14"/>
  <c r="F98" i="14"/>
  <c r="C95" i="14"/>
  <c r="E95" i="14"/>
  <c r="C94" i="14"/>
  <c r="E94" i="14" s="1"/>
  <c r="F93" i="14"/>
  <c r="E93" i="14"/>
  <c r="C88" i="14"/>
  <c r="E88" i="14" s="1"/>
  <c r="E87" i="14"/>
  <c r="F87" i="14" s="1"/>
  <c r="E86" i="14"/>
  <c r="F86" i="14" s="1"/>
  <c r="E85" i="14"/>
  <c r="C85" i="14"/>
  <c r="F85" i="14"/>
  <c r="E84" i="14"/>
  <c r="F84" i="14"/>
  <c r="E83" i="14"/>
  <c r="F83" i="14"/>
  <c r="C76" i="14"/>
  <c r="E74" i="14"/>
  <c r="F74" i="14" s="1"/>
  <c r="E73" i="14"/>
  <c r="F73" i="14" s="1"/>
  <c r="C67" i="14"/>
  <c r="C66" i="14"/>
  <c r="E66" i="14"/>
  <c r="C59" i="14"/>
  <c r="C60" i="14" s="1"/>
  <c r="E60" i="14" s="1"/>
  <c r="C58" i="14"/>
  <c r="E57" i="14"/>
  <c r="F57" i="14" s="1"/>
  <c r="E56" i="14"/>
  <c r="F56" i="14" s="1"/>
  <c r="C53" i="14"/>
  <c r="C52" i="14"/>
  <c r="E52" i="14"/>
  <c r="E51" i="14"/>
  <c r="F51" i="14"/>
  <c r="C47" i="14"/>
  <c r="E46" i="14"/>
  <c r="F46" i="14" s="1"/>
  <c r="E45" i="14"/>
  <c r="F45" i="14" s="1"/>
  <c r="C44" i="14"/>
  <c r="E43" i="14"/>
  <c r="F43" i="14" s="1"/>
  <c r="E42" i="14"/>
  <c r="F42" i="14" s="1"/>
  <c r="C36" i="14"/>
  <c r="E36" i="14" s="1"/>
  <c r="C35" i="14"/>
  <c r="E35" i="14"/>
  <c r="E30" i="14"/>
  <c r="C30" i="14"/>
  <c r="C31" i="14" s="1"/>
  <c r="C29" i="14"/>
  <c r="E28" i="14"/>
  <c r="F28" i="14"/>
  <c r="E27" i="14"/>
  <c r="F27" i="14"/>
  <c r="C24" i="14"/>
  <c r="E24" i="14" s="1"/>
  <c r="F24" i="14" s="1"/>
  <c r="C23" i="14"/>
  <c r="E23" i="14" s="1"/>
  <c r="E22" i="14"/>
  <c r="F22" i="14" s="1"/>
  <c r="C20" i="14"/>
  <c r="E19" i="14"/>
  <c r="F19" i="14"/>
  <c r="E18" i="14"/>
  <c r="F18" i="14"/>
  <c r="C17" i="14"/>
  <c r="E17" i="14" s="1"/>
  <c r="E16" i="14"/>
  <c r="F16" i="14" s="1"/>
  <c r="E15" i="14"/>
  <c r="F15" i="14" s="1"/>
  <c r="D21" i="13"/>
  <c r="C21" i="13"/>
  <c r="E20" i="13"/>
  <c r="F20" i="13" s="1"/>
  <c r="D17" i="13"/>
  <c r="C17" i="13"/>
  <c r="E16" i="13"/>
  <c r="F16" i="13" s="1"/>
  <c r="D13" i="13"/>
  <c r="C13" i="13"/>
  <c r="E12" i="13"/>
  <c r="F12" i="13" s="1"/>
  <c r="D99" i="12"/>
  <c r="C99" i="12"/>
  <c r="E98" i="12"/>
  <c r="F98" i="12" s="1"/>
  <c r="E97" i="12"/>
  <c r="F97" i="12" s="1"/>
  <c r="E96" i="12"/>
  <c r="F96" i="12" s="1"/>
  <c r="D92" i="12"/>
  <c r="C92" i="12"/>
  <c r="F91" i="12"/>
  <c r="E91" i="12"/>
  <c r="F90" i="12"/>
  <c r="E90" i="12"/>
  <c r="E89" i="12"/>
  <c r="F89" i="12" s="1"/>
  <c r="E88" i="12"/>
  <c r="F88" i="12" s="1"/>
  <c r="E87" i="12"/>
  <c r="F87" i="12" s="1"/>
  <c r="D84" i="12"/>
  <c r="C84" i="12"/>
  <c r="E83" i="12"/>
  <c r="F83" i="12" s="1"/>
  <c r="E82" i="12"/>
  <c r="F82" i="12" s="1"/>
  <c r="E81" i="12"/>
  <c r="F81" i="12" s="1"/>
  <c r="E80" i="12"/>
  <c r="F80" i="12" s="1"/>
  <c r="F79" i="12"/>
  <c r="E79" i="12"/>
  <c r="D75" i="12"/>
  <c r="C75" i="12"/>
  <c r="E74" i="12"/>
  <c r="F74" i="12" s="1"/>
  <c r="E73" i="12"/>
  <c r="F73" i="12" s="1"/>
  <c r="D70" i="12"/>
  <c r="C70" i="12"/>
  <c r="E69" i="12"/>
  <c r="F69" i="12" s="1"/>
  <c r="E68" i="12"/>
  <c r="F68" i="12" s="1"/>
  <c r="D65" i="12"/>
  <c r="C65" i="12"/>
  <c r="E64" i="12"/>
  <c r="F64" i="12" s="1"/>
  <c r="E63" i="12"/>
  <c r="F63" i="12" s="1"/>
  <c r="D60" i="12"/>
  <c r="C60" i="12"/>
  <c r="E59" i="12"/>
  <c r="F59" i="12" s="1"/>
  <c r="E58" i="12"/>
  <c r="F58" i="12" s="1"/>
  <c r="D55" i="12"/>
  <c r="C55" i="12"/>
  <c r="E54" i="12"/>
  <c r="F54" i="12" s="1"/>
  <c r="E53" i="12"/>
  <c r="F53" i="12" s="1"/>
  <c r="D50" i="12"/>
  <c r="C50" i="12"/>
  <c r="E49" i="12"/>
  <c r="F49" i="12" s="1"/>
  <c r="E48" i="12"/>
  <c r="F48" i="12" s="1"/>
  <c r="D45" i="12"/>
  <c r="C45" i="12"/>
  <c r="E44" i="12"/>
  <c r="F44" i="12" s="1"/>
  <c r="E43" i="12"/>
  <c r="F43" i="12" s="1"/>
  <c r="D37" i="12"/>
  <c r="C37" i="12"/>
  <c r="F36" i="12"/>
  <c r="E36" i="12"/>
  <c r="F35" i="12"/>
  <c r="E35" i="12"/>
  <c r="E34" i="12"/>
  <c r="F34" i="12" s="1"/>
  <c r="E33" i="12"/>
  <c r="F33" i="12" s="1"/>
  <c r="D30" i="12"/>
  <c r="C30" i="12"/>
  <c r="F29" i="12"/>
  <c r="E29" i="12"/>
  <c r="F28" i="12"/>
  <c r="E28" i="12"/>
  <c r="E27" i="12"/>
  <c r="F27" i="12" s="1"/>
  <c r="F26" i="12"/>
  <c r="E26" i="12"/>
  <c r="D23" i="12"/>
  <c r="C23" i="12"/>
  <c r="E22" i="12"/>
  <c r="F22" i="12" s="1"/>
  <c r="E21" i="12"/>
  <c r="F21" i="12" s="1"/>
  <c r="E20" i="12"/>
  <c r="F20" i="12" s="1"/>
  <c r="E19" i="12"/>
  <c r="F19" i="12" s="1"/>
  <c r="D16" i="12"/>
  <c r="C16" i="12"/>
  <c r="E15" i="12"/>
  <c r="F15" i="12" s="1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F17" i="11"/>
  <c r="F33" i="11" s="1"/>
  <c r="E17" i="11"/>
  <c r="E33" i="11" s="1"/>
  <c r="E36" i="11" s="1"/>
  <c r="E38" i="11" s="1"/>
  <c r="D17" i="11"/>
  <c r="D33" i="11"/>
  <c r="D36" i="11" s="1"/>
  <c r="D38" i="11" s="1"/>
  <c r="C17" i="11"/>
  <c r="C31" i="11" s="1"/>
  <c r="C33" i="11"/>
  <c r="C36" i="11" s="1"/>
  <c r="C38" i="1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 s="1"/>
  <c r="D78" i="10"/>
  <c r="D80" i="10" s="1"/>
  <c r="D77" i="10" s="1"/>
  <c r="C78" i="10"/>
  <c r="C80" i="10"/>
  <c r="C77" i="10" s="1"/>
  <c r="E73" i="10"/>
  <c r="E75" i="10" s="1"/>
  <c r="D73" i="10"/>
  <c r="D75" i="10"/>
  <c r="C73" i="10"/>
  <c r="C75" i="10" s="1"/>
  <c r="E71" i="10"/>
  <c r="D71" i="10"/>
  <c r="C71" i="10"/>
  <c r="E66" i="10"/>
  <c r="E65" i="10"/>
  <c r="D66" i="10"/>
  <c r="C66" i="10"/>
  <c r="C65" i="10" s="1"/>
  <c r="D65" i="10"/>
  <c r="E60" i="10"/>
  <c r="D60" i="10"/>
  <c r="C60" i="10"/>
  <c r="C59" i="10"/>
  <c r="C61" i="10" s="1"/>
  <c r="C57" i="10" s="1"/>
  <c r="E58" i="10"/>
  <c r="D58" i="10"/>
  <c r="C58" i="10"/>
  <c r="E55" i="10"/>
  <c r="D55" i="10"/>
  <c r="D50" i="10" s="1"/>
  <c r="C55" i="10"/>
  <c r="E54" i="10"/>
  <c r="D54" i="10"/>
  <c r="C54" i="10"/>
  <c r="C50" i="10"/>
  <c r="E46" i="10"/>
  <c r="E59" i="10" s="1"/>
  <c r="E61" i="10" s="1"/>
  <c r="E57" i="10" s="1"/>
  <c r="D46" i="10"/>
  <c r="C46" i="10"/>
  <c r="C48" i="10" s="1"/>
  <c r="C42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15" i="10" s="1"/>
  <c r="D13" i="10"/>
  <c r="C13" i="10"/>
  <c r="C25" i="10" s="1"/>
  <c r="C27" i="10" s="1"/>
  <c r="C21" i="10" s="1"/>
  <c r="D46" i="9"/>
  <c r="E46" i="9" s="1"/>
  <c r="C46" i="9"/>
  <c r="F46" i="9" s="1"/>
  <c r="F45" i="9"/>
  <c r="E45" i="9"/>
  <c r="F44" i="9"/>
  <c r="E44" i="9"/>
  <c r="D39" i="9"/>
  <c r="C39" i="9"/>
  <c r="E39" i="9" s="1"/>
  <c r="E38" i="9"/>
  <c r="F38" i="9" s="1"/>
  <c r="E37" i="9"/>
  <c r="F37" i="9" s="1"/>
  <c r="E36" i="9"/>
  <c r="F36" i="9" s="1"/>
  <c r="D31" i="9"/>
  <c r="E31" i="9" s="1"/>
  <c r="C31" i="9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18" i="9"/>
  <c r="F18" i="9" s="1"/>
  <c r="E17" i="9"/>
  <c r="F17" i="9" s="1"/>
  <c r="D16" i="9"/>
  <c r="C16" i="9"/>
  <c r="E16" i="9" s="1"/>
  <c r="F15" i="9"/>
  <c r="E15" i="9"/>
  <c r="E14" i="9"/>
  <c r="F14" i="9" s="1"/>
  <c r="E13" i="9"/>
  <c r="F13" i="9" s="1"/>
  <c r="E12" i="9"/>
  <c r="F12" i="9" s="1"/>
  <c r="D73" i="8"/>
  <c r="E73" i="8" s="1"/>
  <c r="C73" i="8"/>
  <c r="E72" i="8"/>
  <c r="F72" i="8" s="1"/>
  <c r="E71" i="8"/>
  <c r="F71" i="8" s="1"/>
  <c r="E70" i="8"/>
  <c r="F70" i="8" s="1"/>
  <c r="F67" i="8"/>
  <c r="E67" i="8"/>
  <c r="E64" i="8"/>
  <c r="F64" i="8" s="1"/>
  <c r="F63" i="8"/>
  <c r="E63" i="8"/>
  <c r="D61" i="8"/>
  <c r="D65" i="8" s="1"/>
  <c r="C61" i="8"/>
  <c r="E61" i="8" s="1"/>
  <c r="E60" i="8"/>
  <c r="F60" i="8" s="1"/>
  <c r="F59" i="8"/>
  <c r="E59" i="8"/>
  <c r="D56" i="8"/>
  <c r="E56" i="8" s="1"/>
  <c r="C56" i="8"/>
  <c r="F56" i="8" s="1"/>
  <c r="F55" i="8"/>
  <c r="E55" i="8"/>
  <c r="F54" i="8"/>
  <c r="E54" i="8"/>
  <c r="F53" i="8"/>
  <c r="E53" i="8"/>
  <c r="F52" i="8"/>
  <c r="E52" i="8"/>
  <c r="E51" i="8"/>
  <c r="F51" i="8" s="1"/>
  <c r="E50" i="8"/>
  <c r="F50" i="8"/>
  <c r="A50" i="8"/>
  <c r="A51" i="8" s="1"/>
  <c r="A52" i="8" s="1"/>
  <c r="A53" i="8" s="1"/>
  <c r="A54" i="8" s="1"/>
  <c r="A55" i="8" s="1"/>
  <c r="F49" i="8"/>
  <c r="E49" i="8"/>
  <c r="E40" i="8"/>
  <c r="F40" i="8" s="1"/>
  <c r="D38" i="8"/>
  <c r="C38" i="8"/>
  <c r="C41" i="8" s="1"/>
  <c r="E37" i="8"/>
  <c r="F37" i="8" s="1"/>
  <c r="E36" i="8"/>
  <c r="F36" i="8" s="1"/>
  <c r="E33" i="8"/>
  <c r="F33" i="8" s="1"/>
  <c r="E32" i="8"/>
  <c r="F32" i="8" s="1"/>
  <c r="F31" i="8"/>
  <c r="E31" i="8"/>
  <c r="D29" i="8"/>
  <c r="E29" i="8" s="1"/>
  <c r="C29" i="8"/>
  <c r="E28" i="8"/>
  <c r="F28" i="8" s="1"/>
  <c r="F27" i="8"/>
  <c r="E27" i="8"/>
  <c r="F26" i="8"/>
  <c r="E26" i="8"/>
  <c r="E25" i="8"/>
  <c r="F25" i="8" s="1"/>
  <c r="D22" i="8"/>
  <c r="C22" i="8"/>
  <c r="E22" i="8" s="1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 s="1"/>
  <c r="C120" i="7"/>
  <c r="D119" i="7"/>
  <c r="E119" i="7" s="1"/>
  <c r="C119" i="7"/>
  <c r="D118" i="7"/>
  <c r="E118" i="7" s="1"/>
  <c r="C118" i="7"/>
  <c r="D117" i="7"/>
  <c r="C117" i="7"/>
  <c r="D116" i="7"/>
  <c r="E116" i="7" s="1"/>
  <c r="C116" i="7"/>
  <c r="D115" i="7"/>
  <c r="C115" i="7"/>
  <c r="D114" i="7"/>
  <c r="E114" i="7" s="1"/>
  <c r="C114" i="7"/>
  <c r="D113" i="7"/>
  <c r="C113" i="7"/>
  <c r="D112" i="7"/>
  <c r="E112" i="7"/>
  <c r="F112" i="7" s="1"/>
  <c r="C112" i="7"/>
  <c r="C121" i="7"/>
  <c r="D108" i="7"/>
  <c r="C108" i="7"/>
  <c r="D107" i="7"/>
  <c r="E107" i="7" s="1"/>
  <c r="C107" i="7"/>
  <c r="E106" i="7"/>
  <c r="F106" i="7" s="1"/>
  <c r="E105" i="7"/>
  <c r="F105" i="7" s="1"/>
  <c r="E104" i="7"/>
  <c r="F104" i="7" s="1"/>
  <c r="F103" i="7"/>
  <c r="E103" i="7"/>
  <c r="F102" i="7"/>
  <c r="E102" i="7"/>
  <c r="F101" i="7"/>
  <c r="E101" i="7"/>
  <c r="F100" i="7"/>
  <c r="E100" i="7"/>
  <c r="F99" i="7"/>
  <c r="E99" i="7"/>
  <c r="F98" i="7"/>
  <c r="E98" i="7"/>
  <c r="D96" i="7"/>
  <c r="E96" i="7" s="1"/>
  <c r="F96" i="7" s="1"/>
  <c r="C96" i="7"/>
  <c r="D95" i="7"/>
  <c r="E95" i="7"/>
  <c r="F95" i="7" s="1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F60" i="7" s="1"/>
  <c r="C60" i="7"/>
  <c r="D59" i="7"/>
  <c r="E59" i="7"/>
  <c r="F59" i="7" s="1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8" i="7"/>
  <c r="D48" i="7"/>
  <c r="E48" i="7"/>
  <c r="C48" i="7"/>
  <c r="F47" i="7"/>
  <c r="D47" i="7"/>
  <c r="E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F36" i="7" s="1"/>
  <c r="C36" i="7"/>
  <c r="D35" i="7"/>
  <c r="E35" i="7"/>
  <c r="F35" i="7" s="1"/>
  <c r="C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4" i="7"/>
  <c r="D24" i="7"/>
  <c r="E24" i="7"/>
  <c r="C24" i="7"/>
  <c r="F23" i="7"/>
  <c r="D23" i="7"/>
  <c r="E23" i="7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E206" i="6" s="1"/>
  <c r="D205" i="6"/>
  <c r="E205" i="6" s="1"/>
  <c r="C205" i="6"/>
  <c r="D204" i="6"/>
  <c r="C204" i="6"/>
  <c r="E204" i="6" s="1"/>
  <c r="D203" i="6"/>
  <c r="E203" i="6" s="1"/>
  <c r="C203" i="6"/>
  <c r="F203" i="6" s="1"/>
  <c r="D202" i="6"/>
  <c r="C202" i="6"/>
  <c r="E202" i="6" s="1"/>
  <c r="D201" i="6"/>
  <c r="E201" i="6" s="1"/>
  <c r="C201" i="6"/>
  <c r="F201" i="6" s="1"/>
  <c r="D200" i="6"/>
  <c r="C200" i="6"/>
  <c r="E200" i="6" s="1"/>
  <c r="D199" i="6"/>
  <c r="D208" i="6" s="1"/>
  <c r="C199" i="6"/>
  <c r="D198" i="6"/>
  <c r="E198" i="6" s="1"/>
  <c r="F198" i="6" s="1"/>
  <c r="C198" i="6"/>
  <c r="C207" i="6"/>
  <c r="D193" i="6"/>
  <c r="E193" i="6" s="1"/>
  <c r="C193" i="6"/>
  <c r="D192" i="6"/>
  <c r="C192" i="6"/>
  <c r="E192" i="6" s="1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C153" i="6"/>
  <c r="E153" i="6" s="1"/>
  <c r="E152" i="6"/>
  <c r="F152" i="6" s="1"/>
  <c r="E151" i="6"/>
  <c r="F151" i="6" s="1"/>
  <c r="E150" i="6"/>
  <c r="F150" i="6" s="1"/>
  <c r="E149" i="6"/>
  <c r="F149" i="6" s="1"/>
  <c r="E148" i="6"/>
  <c r="F148" i="6" s="1"/>
  <c r="E147" i="6"/>
  <c r="F147" i="6" s="1"/>
  <c r="E146" i="6"/>
  <c r="F146" i="6" s="1"/>
  <c r="E145" i="6"/>
  <c r="F145" i="6" s="1"/>
  <c r="E144" i="6"/>
  <c r="F144" i="6" s="1"/>
  <c r="D141" i="6"/>
  <c r="E141" i="6" s="1"/>
  <c r="C141" i="6"/>
  <c r="F141" i="6" s="1"/>
  <c r="D140" i="6"/>
  <c r="E140" i="6" s="1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 s="1"/>
  <c r="C128" i="6"/>
  <c r="D127" i="6"/>
  <c r="C127" i="6"/>
  <c r="E127" i="6" s="1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E115" i="6" s="1"/>
  <c r="C115" i="6"/>
  <c r="F115" i="6" s="1"/>
  <c r="D114" i="6"/>
  <c r="E114" i="6" s="1"/>
  <c r="C114" i="6"/>
  <c r="F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 s="1"/>
  <c r="C102" i="6"/>
  <c r="F102" i="6" s="1"/>
  <c r="D101" i="6"/>
  <c r="E101" i="6" s="1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C89" i="6"/>
  <c r="F89" i="6" s="1"/>
  <c r="D88" i="6"/>
  <c r="E88" i="6" s="1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 s="1"/>
  <c r="C76" i="6"/>
  <c r="F76" i="6" s="1"/>
  <c r="D75" i="6"/>
  <c r="C75" i="6"/>
  <c r="E75" i="6" s="1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E63" i="6" s="1"/>
  <c r="C63" i="6"/>
  <c r="D62" i="6"/>
  <c r="C62" i="6"/>
  <c r="E62" i="6" s="1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E50" i="6" s="1"/>
  <c r="C50" i="6"/>
  <c r="F50" i="6" s="1"/>
  <c r="D49" i="6"/>
  <c r="C49" i="6"/>
  <c r="E49" i="6" s="1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 s="1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C24" i="6"/>
  <c r="D23" i="6"/>
  <c r="C23" i="6"/>
  <c r="E23" i="6" s="1"/>
  <c r="F22" i="6"/>
  <c r="E22" i="6"/>
  <c r="E21" i="6"/>
  <c r="F21" i="6" s="1"/>
  <c r="E20" i="6"/>
  <c r="F20" i="6" s="1"/>
  <c r="F19" i="6"/>
  <c r="E19" i="6"/>
  <c r="F18" i="6"/>
  <c r="E18" i="6"/>
  <c r="E17" i="6"/>
  <c r="F17" i="6" s="1"/>
  <c r="E16" i="6"/>
  <c r="F16" i="6" s="1"/>
  <c r="F15" i="6"/>
  <c r="E15" i="6"/>
  <c r="F14" i="6"/>
  <c r="E14" i="6"/>
  <c r="E191" i="5"/>
  <c r="D191" i="5"/>
  <c r="C191" i="5"/>
  <c r="E176" i="5"/>
  <c r="D176" i="5"/>
  <c r="C176" i="5"/>
  <c r="E164" i="5"/>
  <c r="D164" i="5"/>
  <c r="D160" i="5"/>
  <c r="D166" i="5" s="1"/>
  <c r="C164" i="5"/>
  <c r="E162" i="5"/>
  <c r="D162" i="5"/>
  <c r="C162" i="5"/>
  <c r="E161" i="5"/>
  <c r="D161" i="5"/>
  <c r="C161" i="5"/>
  <c r="E160" i="5"/>
  <c r="E166" i="5" s="1"/>
  <c r="C160" i="5"/>
  <c r="C166" i="5" s="1"/>
  <c r="E147" i="5"/>
  <c r="D147" i="5"/>
  <c r="D143" i="5"/>
  <c r="C147" i="5"/>
  <c r="E145" i="5"/>
  <c r="D145" i="5"/>
  <c r="C145" i="5"/>
  <c r="E144" i="5"/>
  <c r="D144" i="5"/>
  <c r="D149" i="5" s="1"/>
  <c r="C144" i="5"/>
  <c r="E143" i="5"/>
  <c r="E149" i="5"/>
  <c r="C143" i="5"/>
  <c r="C149" i="5" s="1"/>
  <c r="E126" i="5"/>
  <c r="D126" i="5"/>
  <c r="C126" i="5"/>
  <c r="E119" i="5"/>
  <c r="D119" i="5"/>
  <c r="C119" i="5"/>
  <c r="E108" i="5"/>
  <c r="D108" i="5"/>
  <c r="C108" i="5"/>
  <c r="E107" i="5"/>
  <c r="E109" i="5"/>
  <c r="E106" i="5" s="1"/>
  <c r="D107" i="5"/>
  <c r="C107" i="5"/>
  <c r="C109" i="5"/>
  <c r="C106" i="5" s="1"/>
  <c r="E102" i="5"/>
  <c r="E104" i="5"/>
  <c r="D102" i="5"/>
  <c r="D104" i="5"/>
  <c r="C102" i="5"/>
  <c r="C104" i="5" s="1"/>
  <c r="E100" i="5"/>
  <c r="D100" i="5"/>
  <c r="C100" i="5"/>
  <c r="E95" i="5"/>
  <c r="E94" i="5"/>
  <c r="D95" i="5"/>
  <c r="C95" i="5"/>
  <c r="C94" i="5" s="1"/>
  <c r="D94" i="5"/>
  <c r="E89" i="5"/>
  <c r="D89" i="5"/>
  <c r="C89" i="5"/>
  <c r="E87" i="5"/>
  <c r="D87" i="5"/>
  <c r="C87" i="5"/>
  <c r="E84" i="5"/>
  <c r="E79" i="5" s="1"/>
  <c r="D84" i="5"/>
  <c r="C84" i="5"/>
  <c r="E83" i="5"/>
  <c r="D83" i="5"/>
  <c r="D79" i="5"/>
  <c r="C83" i="5"/>
  <c r="C79" i="5"/>
  <c r="E75" i="5"/>
  <c r="E77" i="5" s="1"/>
  <c r="E71" i="5" s="1"/>
  <c r="D75" i="5"/>
  <c r="D88" i="5" s="1"/>
  <c r="D77" i="5"/>
  <c r="D71" i="5" s="1"/>
  <c r="C75" i="5"/>
  <c r="C77" i="5" s="1"/>
  <c r="C71" i="5" s="1"/>
  <c r="E74" i="5"/>
  <c r="D74" i="5"/>
  <c r="C74" i="5"/>
  <c r="E67" i="5"/>
  <c r="D67" i="5"/>
  <c r="C67" i="5"/>
  <c r="E38" i="5"/>
  <c r="E53" i="5"/>
  <c r="D38" i="5"/>
  <c r="D57" i="5" s="1"/>
  <c r="D62" i="5" s="1"/>
  <c r="D49" i="5"/>
  <c r="C38" i="5"/>
  <c r="C43" i="5"/>
  <c r="E33" i="5"/>
  <c r="E34" i="5"/>
  <c r="D33" i="5"/>
  <c r="D34" i="5"/>
  <c r="E26" i="5"/>
  <c r="D26" i="5"/>
  <c r="C26" i="5"/>
  <c r="C15" i="5"/>
  <c r="C24" i="5" s="1"/>
  <c r="E13" i="5"/>
  <c r="E25" i="5" s="1"/>
  <c r="E27" i="5" s="1"/>
  <c r="D13" i="5"/>
  <c r="D15" i="5"/>
  <c r="C13" i="5"/>
  <c r="C25" i="5"/>
  <c r="C27" i="5" s="1"/>
  <c r="F174" i="4"/>
  <c r="E174" i="4"/>
  <c r="D171" i="4"/>
  <c r="E171" i="4" s="1"/>
  <c r="F171" i="4" s="1"/>
  <c r="C171" i="4"/>
  <c r="F170" i="4"/>
  <c r="E170" i="4"/>
  <c r="E169" i="4"/>
  <c r="F169" i="4" s="1"/>
  <c r="F168" i="4"/>
  <c r="E168" i="4"/>
  <c r="E167" i="4"/>
  <c r="F167" i="4" s="1"/>
  <c r="E166" i="4"/>
  <c r="F166" i="4" s="1"/>
  <c r="E165" i="4"/>
  <c r="F165" i="4" s="1"/>
  <c r="F164" i="4"/>
  <c r="E164" i="4"/>
  <c r="E163" i="4"/>
  <c r="F163" i="4" s="1"/>
  <c r="E162" i="4"/>
  <c r="F162" i="4" s="1"/>
  <c r="E161" i="4"/>
  <c r="F161" i="4" s="1"/>
  <c r="F160" i="4"/>
  <c r="E160" i="4"/>
  <c r="E159" i="4"/>
  <c r="F159" i="4" s="1"/>
  <c r="E158" i="4"/>
  <c r="F158" i="4" s="1"/>
  <c r="D155" i="4"/>
  <c r="E155" i="4" s="1"/>
  <c r="C155" i="4"/>
  <c r="E154" i="4"/>
  <c r="F154" i="4" s="1"/>
  <c r="E153" i="4"/>
  <c r="F153" i="4" s="1"/>
  <c r="E152" i="4"/>
  <c r="F152" i="4" s="1"/>
  <c r="E151" i="4"/>
  <c r="F151" i="4" s="1"/>
  <c r="F150" i="4"/>
  <c r="E150" i="4"/>
  <c r="E149" i="4"/>
  <c r="F149" i="4" s="1"/>
  <c r="E148" i="4"/>
  <c r="F148" i="4" s="1"/>
  <c r="F147" i="4"/>
  <c r="E147" i="4"/>
  <c r="E146" i="4"/>
  <c r="F146" i="4" s="1"/>
  <c r="E145" i="4"/>
  <c r="F145" i="4" s="1"/>
  <c r="E144" i="4"/>
  <c r="F144" i="4" s="1"/>
  <c r="E143" i="4"/>
  <c r="F143" i="4" s="1"/>
  <c r="E142" i="4"/>
  <c r="F142" i="4" s="1"/>
  <c r="E141" i="4"/>
  <c r="F141" i="4" s="1"/>
  <c r="E140" i="4"/>
  <c r="F140" i="4" s="1"/>
  <c r="E139" i="4"/>
  <c r="F139" i="4" s="1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 s="1"/>
  <c r="F118" i="4" s="1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 s="1"/>
  <c r="F109" i="4" s="1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D83" i="4" s="1"/>
  <c r="C78" i="4"/>
  <c r="C83" i="4" s="1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 s="1"/>
  <c r="F59" i="4" s="1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 s="1"/>
  <c r="F41" i="4" s="1"/>
  <c r="C41" i="4"/>
  <c r="F40" i="4"/>
  <c r="E40" i="4"/>
  <c r="F39" i="4"/>
  <c r="E39" i="4"/>
  <c r="F38" i="4"/>
  <c r="E38" i="4"/>
  <c r="D35" i="4"/>
  <c r="E35" i="4" s="1"/>
  <c r="F35" i="4" s="1"/>
  <c r="C35" i="4"/>
  <c r="F34" i="4"/>
  <c r="E34" i="4"/>
  <c r="F33" i="4"/>
  <c r="E33" i="4"/>
  <c r="D30" i="4"/>
  <c r="E30" i="4" s="1"/>
  <c r="F30" i="4" s="1"/>
  <c r="C30" i="4"/>
  <c r="F29" i="4"/>
  <c r="E29" i="4"/>
  <c r="F28" i="4"/>
  <c r="E28" i="4"/>
  <c r="F27" i="4"/>
  <c r="E27" i="4"/>
  <c r="D24" i="4"/>
  <c r="E24" i="4" s="1"/>
  <c r="F24" i="4" s="1"/>
  <c r="C24" i="4"/>
  <c r="F23" i="4"/>
  <c r="E23" i="4"/>
  <c r="F22" i="4"/>
  <c r="E22" i="4"/>
  <c r="F21" i="4"/>
  <c r="E21" i="4"/>
  <c r="D18" i="4"/>
  <c r="E18" i="4" s="1"/>
  <c r="F18" i="4" s="1"/>
  <c r="C18" i="4"/>
  <c r="F17" i="4"/>
  <c r="E17" i="4"/>
  <c r="F16" i="4"/>
  <c r="E16" i="4"/>
  <c r="F15" i="4"/>
  <c r="E15" i="4"/>
  <c r="D179" i="3"/>
  <c r="E179" i="3" s="1"/>
  <c r="F179" i="3" s="1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 s="1"/>
  <c r="F166" i="3" s="1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 s="1"/>
  <c r="F137" i="3" s="1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 s="1"/>
  <c r="F124" i="3" s="1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 s="1"/>
  <c r="F111" i="3" s="1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 s="1"/>
  <c r="F94" i="3" s="1"/>
  <c r="C94" i="3"/>
  <c r="D93" i="3"/>
  <c r="E93" i="3" s="1"/>
  <c r="F93" i="3" s="1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E88" i="3" s="1"/>
  <c r="F88" i="3" s="1"/>
  <c r="C88" i="3"/>
  <c r="D87" i="3"/>
  <c r="E87" i="3" s="1"/>
  <c r="F87" i="3" s="1"/>
  <c r="C87" i="3"/>
  <c r="D86" i="3"/>
  <c r="E86" i="3" s="1"/>
  <c r="F86" i="3" s="1"/>
  <c r="C86" i="3"/>
  <c r="D85" i="3"/>
  <c r="E85" i="3" s="1"/>
  <c r="F85" i="3" s="1"/>
  <c r="C85" i="3"/>
  <c r="D84" i="3"/>
  <c r="E84" i="3" s="1"/>
  <c r="F84" i="3" s="1"/>
  <c r="C84" i="3"/>
  <c r="C95" i="3"/>
  <c r="D81" i="3"/>
  <c r="C81" i="3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38" i="3"/>
  <c r="E38" i="3" s="1"/>
  <c r="F38" i="3" s="1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 s="1"/>
  <c r="F25" i="3" s="1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F46" i="2"/>
  <c r="D46" i="2"/>
  <c r="E46" i="2"/>
  <c r="C46" i="2"/>
  <c r="F45" i="2"/>
  <c r="E45" i="2"/>
  <c r="F44" i="2"/>
  <c r="E44" i="2"/>
  <c r="D39" i="2"/>
  <c r="E39" i="2" s="1"/>
  <c r="F39" i="2" s="1"/>
  <c r="C39" i="2"/>
  <c r="F38" i="2"/>
  <c r="E38" i="2"/>
  <c r="F37" i="2"/>
  <c r="E37" i="2"/>
  <c r="F36" i="2"/>
  <c r="E36" i="2"/>
  <c r="D31" i="2"/>
  <c r="E31" i="2" s="1"/>
  <c r="F31" i="2" s="1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D19" i="2" s="1"/>
  <c r="C16" i="2"/>
  <c r="C19" i="2" s="1"/>
  <c r="F15" i="2"/>
  <c r="E15" i="2"/>
  <c r="F14" i="2"/>
  <c r="E14" i="2"/>
  <c r="F13" i="2"/>
  <c r="E13" i="2"/>
  <c r="F12" i="2"/>
  <c r="E12" i="2"/>
  <c r="D73" i="1"/>
  <c r="E73" i="1" s="1"/>
  <c r="F73" i="1" s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D65" i="1" s="1"/>
  <c r="C61" i="1"/>
  <c r="C65" i="1"/>
  <c r="E60" i="1"/>
  <c r="F60" i="1" s="1"/>
  <c r="F59" i="1"/>
  <c r="E59" i="1"/>
  <c r="D56" i="1"/>
  <c r="C56" i="1"/>
  <c r="F55" i="1"/>
  <c r="E55" i="1"/>
  <c r="F54" i="1"/>
  <c r="E54" i="1"/>
  <c r="F53" i="1"/>
  <c r="E53" i="1"/>
  <c r="F52" i="1"/>
  <c r="E52" i="1"/>
  <c r="F51" i="1"/>
  <c r="E51" i="1"/>
  <c r="A51" i="1"/>
  <c r="A52" i="1" s="1"/>
  <c r="A53" i="1" s="1"/>
  <c r="A54" i="1" s="1"/>
  <c r="A55" i="1" s="1"/>
  <c r="E50" i="1"/>
  <c r="F50" i="1"/>
  <c r="A50" i="1"/>
  <c r="F49" i="1"/>
  <c r="E49" i="1"/>
  <c r="F40" i="1"/>
  <c r="E40" i="1"/>
  <c r="D38" i="1"/>
  <c r="E38" i="1" s="1"/>
  <c r="F38" i="1" s="1"/>
  <c r="C38" i="1"/>
  <c r="C41" i="1" s="1"/>
  <c r="F37" i="1"/>
  <c r="E37" i="1"/>
  <c r="F36" i="1"/>
  <c r="E36" i="1"/>
  <c r="F33" i="1"/>
  <c r="E33" i="1"/>
  <c r="F32" i="1"/>
  <c r="E32" i="1"/>
  <c r="F31" i="1"/>
  <c r="E31" i="1"/>
  <c r="F29" i="1"/>
  <c r="D29" i="1"/>
  <c r="E29" i="1"/>
  <c r="C29" i="1"/>
  <c r="F28" i="1"/>
  <c r="E28" i="1"/>
  <c r="F27" i="1"/>
  <c r="E27" i="1"/>
  <c r="F26" i="1"/>
  <c r="E26" i="1"/>
  <c r="F25" i="1"/>
  <c r="E25" i="1"/>
  <c r="D22" i="1"/>
  <c r="C22" i="1"/>
  <c r="F21" i="1"/>
  <c r="E21" i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E14" i="1"/>
  <c r="F14" i="1" s="1"/>
  <c r="E13" i="1"/>
  <c r="F13" i="1" s="1"/>
  <c r="E31" i="14"/>
  <c r="E76" i="14"/>
  <c r="F94" i="14"/>
  <c r="E188" i="14"/>
  <c r="F307" i="14"/>
  <c r="D37" i="14"/>
  <c r="D137" i="14"/>
  <c r="D207" i="14" s="1"/>
  <c r="F17" i="14"/>
  <c r="F30" i="14"/>
  <c r="F36" i="14"/>
  <c r="E109" i="14"/>
  <c r="F145" i="14"/>
  <c r="E296" i="14"/>
  <c r="D239" i="14"/>
  <c r="D24" i="5"/>
  <c r="D17" i="5"/>
  <c r="C156" i="5"/>
  <c r="C152" i="5"/>
  <c r="C154" i="5"/>
  <c r="C157" i="5"/>
  <c r="C155" i="5"/>
  <c r="C153" i="5"/>
  <c r="E83" i="4"/>
  <c r="C21" i="5"/>
  <c r="C20" i="5"/>
  <c r="F83" i="4"/>
  <c r="E21" i="5"/>
  <c r="E139" i="5"/>
  <c r="E135" i="5"/>
  <c r="E138" i="5"/>
  <c r="E136" i="5"/>
  <c r="E140" i="5"/>
  <c r="E137" i="5"/>
  <c r="C137" i="5"/>
  <c r="C135" i="5"/>
  <c r="C139" i="5"/>
  <c r="C136" i="5"/>
  <c r="C140" i="5"/>
  <c r="C138" i="5"/>
  <c r="E154" i="5"/>
  <c r="E156" i="5"/>
  <c r="E152" i="5"/>
  <c r="E24" i="10"/>
  <c r="E17" i="10"/>
  <c r="E28" i="10" s="1"/>
  <c r="E70" i="10" s="1"/>
  <c r="E72" i="10" s="1"/>
  <c r="E69" i="10" s="1"/>
  <c r="D59" i="10"/>
  <c r="D61" i="10" s="1"/>
  <c r="D57" i="10" s="1"/>
  <c r="D48" i="10"/>
  <c r="D42" i="10"/>
  <c r="D52" i="3"/>
  <c r="D95" i="3"/>
  <c r="E95" i="3"/>
  <c r="F95" i="3" s="1"/>
  <c r="D176" i="4"/>
  <c r="D25" i="5"/>
  <c r="D27" i="5"/>
  <c r="E43" i="5"/>
  <c r="E22" i="1"/>
  <c r="F22" i="1" s="1"/>
  <c r="E61" i="1"/>
  <c r="F61" i="1" s="1"/>
  <c r="E16" i="2"/>
  <c r="F16" i="2" s="1"/>
  <c r="E78" i="4"/>
  <c r="F78" i="4" s="1"/>
  <c r="D43" i="5"/>
  <c r="C53" i="5"/>
  <c r="E57" i="5"/>
  <c r="E62" i="5"/>
  <c r="D109" i="5"/>
  <c r="D106" i="5"/>
  <c r="D139" i="5"/>
  <c r="E155" i="5"/>
  <c r="D122" i="7"/>
  <c r="D207" i="6"/>
  <c r="E207" i="6" s="1"/>
  <c r="F207" i="6" s="1"/>
  <c r="D19" i="9"/>
  <c r="D157" i="5"/>
  <c r="D153" i="5"/>
  <c r="D155" i="5"/>
  <c r="I33" i="11"/>
  <c r="I36" i="11"/>
  <c r="I38" i="11" s="1"/>
  <c r="I40" i="11" s="1"/>
  <c r="G36" i="11"/>
  <c r="G38" i="11" s="1"/>
  <c r="G40" i="11" s="1"/>
  <c r="E49" i="5"/>
  <c r="C17" i="5"/>
  <c r="C49" i="5"/>
  <c r="C57" i="5"/>
  <c r="C62" i="5"/>
  <c r="D90" i="5"/>
  <c r="D86" i="5"/>
  <c r="D140" i="5"/>
  <c r="D121" i="7"/>
  <c r="E121" i="7" s="1"/>
  <c r="F121" i="7" s="1"/>
  <c r="D41" i="8"/>
  <c r="E41" i="8"/>
  <c r="F41" i="8" s="1"/>
  <c r="D75" i="8"/>
  <c r="E50" i="10"/>
  <c r="D15" i="10"/>
  <c r="D25" i="10"/>
  <c r="D27" i="10" s="1"/>
  <c r="H33" i="11"/>
  <c r="H36" i="11" s="1"/>
  <c r="H38" i="11" s="1"/>
  <c r="H40" i="11" s="1"/>
  <c r="F36" i="11"/>
  <c r="F38" i="11" s="1"/>
  <c r="F40" i="11" s="1"/>
  <c r="D136" i="5"/>
  <c r="C146" i="14"/>
  <c r="F144" i="14"/>
  <c r="D33" i="15"/>
  <c r="E32" i="15"/>
  <c r="E251" i="15"/>
  <c r="C108" i="19"/>
  <c r="C109" i="19"/>
  <c r="D109" i="19"/>
  <c r="D108" i="19"/>
  <c r="D104" i="14"/>
  <c r="D174" i="14"/>
  <c r="E278" i="14"/>
  <c r="I17" i="11"/>
  <c r="F31" i="11"/>
  <c r="H31" i="11"/>
  <c r="C21" i="14"/>
  <c r="E29" i="14"/>
  <c r="F29" i="14" s="1"/>
  <c r="C32" i="14"/>
  <c r="E47" i="14"/>
  <c r="F47" i="14" s="1"/>
  <c r="E58" i="14"/>
  <c r="F58" i="14" s="1"/>
  <c r="C61" i="14"/>
  <c r="C77" i="14"/>
  <c r="E77" i="14"/>
  <c r="C89" i="14"/>
  <c r="E101" i="14"/>
  <c r="F101" i="14" s="1"/>
  <c r="C193" i="14"/>
  <c r="C282" i="14" s="1"/>
  <c r="F158" i="14"/>
  <c r="F164" i="14"/>
  <c r="E191" i="14"/>
  <c r="F198" i="14"/>
  <c r="F230" i="14"/>
  <c r="C290" i="14"/>
  <c r="F294" i="14"/>
  <c r="F296" i="14"/>
  <c r="F298" i="14"/>
  <c r="F311" i="14"/>
  <c r="C43" i="15"/>
  <c r="C235" i="15"/>
  <c r="D222" i="15"/>
  <c r="D223" i="15"/>
  <c r="C277" i="14"/>
  <c r="C261" i="14"/>
  <c r="C254" i="14"/>
  <c r="D55" i="15"/>
  <c r="E55" i="15" s="1"/>
  <c r="E54" i="15"/>
  <c r="C163" i="15"/>
  <c r="E163" i="15"/>
  <c r="C156" i="15"/>
  <c r="D189" i="15"/>
  <c r="D261" i="15"/>
  <c r="E261" i="15" s="1"/>
  <c r="E188" i="15"/>
  <c r="E205" i="15"/>
  <c r="D210" i="15"/>
  <c r="E218" i="15"/>
  <c r="D217" i="15"/>
  <c r="D175" i="14"/>
  <c r="D62" i="14"/>
  <c r="D105" i="14"/>
  <c r="D254" i="14"/>
  <c r="H17" i="11"/>
  <c r="F23" i="14"/>
  <c r="F31" i="14"/>
  <c r="F52" i="14"/>
  <c r="F60" i="14"/>
  <c r="F66" i="14"/>
  <c r="C68" i="14"/>
  <c r="F76" i="14"/>
  <c r="F88" i="14"/>
  <c r="F95" i="14"/>
  <c r="F109" i="14"/>
  <c r="C111" i="14"/>
  <c r="F120" i="14"/>
  <c r="F179" i="14"/>
  <c r="C181" i="14"/>
  <c r="E181" i="14" s="1"/>
  <c r="F181" i="14" s="1"/>
  <c r="F191" i="14"/>
  <c r="C200" i="14"/>
  <c r="C214" i="14"/>
  <c r="C304" i="14" s="1"/>
  <c r="C264" i="14"/>
  <c r="E264" i="14" s="1"/>
  <c r="F264" i="14" s="1"/>
  <c r="C44" i="15"/>
  <c r="E69" i="15"/>
  <c r="E221" i="15"/>
  <c r="E265" i="15"/>
  <c r="C38" i="16"/>
  <c r="C127" i="16" s="1"/>
  <c r="C129" i="16" s="1"/>
  <c r="C133" i="16" s="1"/>
  <c r="C41" i="17"/>
  <c r="E156" i="15"/>
  <c r="D157" i="15"/>
  <c r="D320" i="15"/>
  <c r="E320" i="15"/>
  <c r="E316" i="15"/>
  <c r="D330" i="15"/>
  <c r="E330" i="15" s="1"/>
  <c r="E326" i="15"/>
  <c r="D41" i="17"/>
  <c r="E39" i="17"/>
  <c r="E109" i="19"/>
  <c r="E108" i="19"/>
  <c r="D31" i="11"/>
  <c r="E20" i="14"/>
  <c r="F20" i="14" s="1"/>
  <c r="C48" i="14"/>
  <c r="C102" i="14"/>
  <c r="F130" i="14"/>
  <c r="F237" i="14"/>
  <c r="C274" i="14"/>
  <c r="F278" i="14"/>
  <c r="D43" i="15"/>
  <c r="C239" i="15"/>
  <c r="E239" i="15"/>
  <c r="E302" i="15"/>
  <c r="C283" i="15"/>
  <c r="E283" i="15" s="1"/>
  <c r="E20" i="17"/>
  <c r="F20" i="17" s="1"/>
  <c r="E40" i="17"/>
  <c r="F40" i="17" s="1"/>
  <c r="E290" i="14"/>
  <c r="C285" i="14"/>
  <c r="E204" i="14"/>
  <c r="F204" i="14"/>
  <c r="C269" i="14"/>
  <c r="D71" i="15"/>
  <c r="D76" i="15" s="1"/>
  <c r="D65" i="15"/>
  <c r="D289" i="15"/>
  <c r="E289" i="15"/>
  <c r="E60" i="15"/>
  <c r="D144" i="15"/>
  <c r="D175" i="15"/>
  <c r="E175" i="15"/>
  <c r="E139" i="15"/>
  <c r="D252" i="15"/>
  <c r="E231" i="15"/>
  <c r="F35" i="14"/>
  <c r="C37" i="14"/>
  <c r="F155" i="14"/>
  <c r="F188" i="14"/>
  <c r="C190" i="14"/>
  <c r="C199" i="14"/>
  <c r="C206" i="14"/>
  <c r="C215" i="14"/>
  <c r="C239" i="14"/>
  <c r="E239" i="14" s="1"/>
  <c r="F239" i="14" s="1"/>
  <c r="E151" i="15"/>
  <c r="C253" i="15"/>
  <c r="D240" i="15"/>
  <c r="D242" i="15"/>
  <c r="E242" i="15" s="1"/>
  <c r="E244" i="15"/>
  <c r="C252" i="15"/>
  <c r="C254" i="15"/>
  <c r="E260" i="15"/>
  <c r="C303" i="15"/>
  <c r="C306" i="15" s="1"/>
  <c r="C22" i="16"/>
  <c r="C33" i="19"/>
  <c r="D34" i="19"/>
  <c r="C101" i="19"/>
  <c r="C103" i="19"/>
  <c r="D102" i="19"/>
  <c r="D103" i="19"/>
  <c r="D125" i="14"/>
  <c r="D138" i="14"/>
  <c r="D140" i="14"/>
  <c r="D161" i="14"/>
  <c r="D267" i="14"/>
  <c r="D277" i="14"/>
  <c r="D285" i="14"/>
  <c r="D306" i="14"/>
  <c r="E306" i="14"/>
  <c r="D303" i="15"/>
  <c r="E314" i="15"/>
  <c r="D22" i="19"/>
  <c r="C54" i="19"/>
  <c r="D160" i="14"/>
  <c r="D200" i="14"/>
  <c r="E200" i="14"/>
  <c r="D206" i="14"/>
  <c r="E206" i="14"/>
  <c r="D262" i="14"/>
  <c r="D274" i="14"/>
  <c r="D300" i="14" s="1"/>
  <c r="E300" i="14" s="1"/>
  <c r="F300" i="14" s="1"/>
  <c r="D280" i="14"/>
  <c r="C222" i="15"/>
  <c r="E324" i="15"/>
  <c r="E19" i="17"/>
  <c r="F19" i="17"/>
  <c r="E43" i="17"/>
  <c r="D23" i="19"/>
  <c r="C111" i="19"/>
  <c r="D49" i="14"/>
  <c r="D91" i="14"/>
  <c r="D199" i="14"/>
  <c r="E199" i="14" s="1"/>
  <c r="F199" i="14" s="1"/>
  <c r="D205" i="14"/>
  <c r="E205" i="14"/>
  <c r="F205" i="14" s="1"/>
  <c r="D215" i="14"/>
  <c r="D216" i="14" s="1"/>
  <c r="E216" i="14" s="1"/>
  <c r="F216" i="14" s="1"/>
  <c r="D261" i="14"/>
  <c r="D271" i="14" s="1"/>
  <c r="C30" i="19"/>
  <c r="C36" i="19"/>
  <c r="C40" i="19"/>
  <c r="D190" i="14"/>
  <c r="E190" i="14" s="1"/>
  <c r="F190" i="14" s="1"/>
  <c r="D268" i="14"/>
  <c r="D263" i="14"/>
  <c r="D287" i="14"/>
  <c r="D279" i="14"/>
  <c r="D284" i="14"/>
  <c r="E277" i="14"/>
  <c r="F277" i="14" s="1"/>
  <c r="E269" i="14"/>
  <c r="F269" i="14"/>
  <c r="E43" i="15"/>
  <c r="D44" i="15"/>
  <c r="C56" i="19"/>
  <c r="C48" i="19"/>
  <c r="C38" i="19"/>
  <c r="C113" i="19"/>
  <c r="D53" i="19"/>
  <c r="D45" i="19"/>
  <c r="D39" i="19"/>
  <c r="D35" i="19"/>
  <c r="D29" i="19"/>
  <c r="D110" i="19"/>
  <c r="E240" i="15"/>
  <c r="D253" i="15"/>
  <c r="E253" i="15" s="1"/>
  <c r="D168" i="15"/>
  <c r="D180" i="15"/>
  <c r="D145" i="15"/>
  <c r="C216" i="14"/>
  <c r="D63" i="14"/>
  <c r="C279" i="14"/>
  <c r="C194" i="14"/>
  <c r="E61" i="14"/>
  <c r="F61" i="14" s="1"/>
  <c r="E146" i="14"/>
  <c r="F146" i="14" s="1"/>
  <c r="D20" i="5"/>
  <c r="D21" i="5"/>
  <c r="E252" i="15"/>
  <c r="E274" i="14"/>
  <c r="F274" i="14" s="1"/>
  <c r="E285" i="14"/>
  <c r="D286" i="14"/>
  <c r="E214" i="14"/>
  <c r="F214" i="14"/>
  <c r="D284" i="15"/>
  <c r="E284" i="15"/>
  <c r="D288" i="14"/>
  <c r="E46" i="17"/>
  <c r="F46" i="17"/>
  <c r="F43" i="17"/>
  <c r="D162" i="14"/>
  <c r="E37" i="14"/>
  <c r="F37" i="14"/>
  <c r="F285" i="14"/>
  <c r="C90" i="14"/>
  <c r="E48" i="14"/>
  <c r="F48" i="14" s="1"/>
  <c r="C195" i="14"/>
  <c r="C300" i="14"/>
  <c r="D241" i="15"/>
  <c r="E241" i="15" s="1"/>
  <c r="E217" i="15"/>
  <c r="C271" i="14"/>
  <c r="C268" i="14"/>
  <c r="E32" i="14"/>
  <c r="F32" i="14"/>
  <c r="C62" i="14"/>
  <c r="D112" i="5"/>
  <c r="D111" i="5" s="1"/>
  <c r="D28" i="5"/>
  <c r="D99" i="5" s="1"/>
  <c r="D101" i="5" s="1"/>
  <c r="D98" i="5" s="1"/>
  <c r="C270" i="14"/>
  <c r="C223" i="15"/>
  <c r="E141" i="5"/>
  <c r="D50" i="14"/>
  <c r="E280" i="14"/>
  <c r="F280" i="14" s="1"/>
  <c r="D66" i="15"/>
  <c r="D255" i="14"/>
  <c r="E255" i="14"/>
  <c r="F255" i="14" s="1"/>
  <c r="E215" i="14"/>
  <c r="F215" i="14" s="1"/>
  <c r="D92" i="14"/>
  <c r="D46" i="19"/>
  <c r="D40" i="19"/>
  <c r="D36" i="19"/>
  <c r="D30" i="19"/>
  <c r="D111" i="19"/>
  <c r="D54" i="19"/>
  <c r="D272" i="14"/>
  <c r="D306" i="15"/>
  <c r="E303" i="15"/>
  <c r="D270" i="14"/>
  <c r="E270" i="14"/>
  <c r="E267" i="14"/>
  <c r="F267" i="14"/>
  <c r="C103" i="14"/>
  <c r="C105" i="14"/>
  <c r="E102" i="14"/>
  <c r="F102" i="14"/>
  <c r="E41" i="17"/>
  <c r="F41" i="17"/>
  <c r="F39" i="17"/>
  <c r="E68" i="14"/>
  <c r="F68" i="14"/>
  <c r="D106" i="14"/>
  <c r="D176" i="14"/>
  <c r="C157" i="15"/>
  <c r="E157" i="15"/>
  <c r="E89" i="14"/>
  <c r="F89" i="14" s="1"/>
  <c r="E33" i="15"/>
  <c r="D33" i="9"/>
  <c r="F206" i="14"/>
  <c r="F200" i="14"/>
  <c r="D43" i="8"/>
  <c r="C258" i="15"/>
  <c r="C98" i="15"/>
  <c r="C87" i="15"/>
  <c r="C83" i="15"/>
  <c r="C100" i="15"/>
  <c r="C96" i="15"/>
  <c r="C102" i="15" s="1"/>
  <c r="C103" i="15" s="1"/>
  <c r="C89" i="15"/>
  <c r="C85" i="15"/>
  <c r="C97" i="15"/>
  <c r="C86" i="15"/>
  <c r="C95" i="15"/>
  <c r="C84" i="15"/>
  <c r="C90" i="15"/>
  <c r="C101" i="15"/>
  <c r="C99" i="15"/>
  <c r="C88" i="15"/>
  <c r="E111" i="14"/>
  <c r="F111" i="14" s="1"/>
  <c r="E254" i="14"/>
  <c r="F254" i="14" s="1"/>
  <c r="D141" i="14"/>
  <c r="D234" i="15"/>
  <c r="E210" i="15"/>
  <c r="D211" i="15"/>
  <c r="E222" i="15"/>
  <c r="D246" i="15"/>
  <c r="C49" i="14"/>
  <c r="E21" i="14"/>
  <c r="F21" i="14" s="1"/>
  <c r="C196" i="14"/>
  <c r="C91" i="14"/>
  <c r="E91" i="14" s="1"/>
  <c r="F91" i="14" s="1"/>
  <c r="D17" i="10"/>
  <c r="D28" i="10" s="1"/>
  <c r="D70" i="10" s="1"/>
  <c r="D72" i="10" s="1"/>
  <c r="D69" i="10" s="1"/>
  <c r="D24" i="10"/>
  <c r="C28" i="5"/>
  <c r="C112" i="5"/>
  <c r="C111" i="5" s="1"/>
  <c r="F290" i="14"/>
  <c r="D139" i="14"/>
  <c r="D294" i="15"/>
  <c r="C288" i="14"/>
  <c r="C141" i="5"/>
  <c r="C158" i="5"/>
  <c r="C106" i="14"/>
  <c r="E105" i="14"/>
  <c r="F105" i="14" s="1"/>
  <c r="C99" i="5"/>
  <c r="C101" i="5" s="1"/>
  <c r="C98" i="5" s="1"/>
  <c r="C22" i="5"/>
  <c r="D322" i="14"/>
  <c r="D148" i="14"/>
  <c r="D41" i="9"/>
  <c r="C50" i="14"/>
  <c r="E50" i="14" s="1"/>
  <c r="F50" i="14" s="1"/>
  <c r="D324" i="14"/>
  <c r="D113" i="14"/>
  <c r="D70" i="14"/>
  <c r="E90" i="14"/>
  <c r="F90" i="14" s="1"/>
  <c r="D183" i="14"/>
  <c r="D323" i="14"/>
  <c r="D295" i="15"/>
  <c r="F270" i="14"/>
  <c r="D22" i="5"/>
  <c r="D247" i="15"/>
  <c r="D113" i="19"/>
  <c r="D56" i="19"/>
  <c r="D48" i="19"/>
  <c r="D38" i="19"/>
  <c r="C63" i="14"/>
  <c r="D181" i="15"/>
  <c r="D169" i="15"/>
  <c r="D99" i="15"/>
  <c r="E99" i="15" s="1"/>
  <c r="D95" i="15"/>
  <c r="D88" i="15"/>
  <c r="E88" i="15"/>
  <c r="D84" i="15"/>
  <c r="E44" i="15"/>
  <c r="D101" i="15"/>
  <c r="E101" i="15"/>
  <c r="D97" i="15"/>
  <c r="E97" i="15"/>
  <c r="D86" i="15"/>
  <c r="E86" i="15"/>
  <c r="D83" i="15"/>
  <c r="D258" i="15"/>
  <c r="D100" i="15"/>
  <c r="E100" i="15"/>
  <c r="D89" i="15"/>
  <c r="E89" i="15"/>
  <c r="D98" i="15"/>
  <c r="E98" i="15"/>
  <c r="D87" i="15"/>
  <c r="E87" i="15"/>
  <c r="D96" i="15"/>
  <c r="D85" i="15"/>
  <c r="E85" i="15" s="1"/>
  <c r="D291" i="14"/>
  <c r="D305" i="14" s="1"/>
  <c r="D309" i="14" s="1"/>
  <c r="D289" i="14"/>
  <c r="E49" i="14"/>
  <c r="F49" i="14"/>
  <c r="E63" i="14"/>
  <c r="E223" i="15"/>
  <c r="E103" i="14"/>
  <c r="F103" i="14" s="1"/>
  <c r="D310" i="15"/>
  <c r="D47" i="19"/>
  <c r="D37" i="19"/>
  <c r="D112" i="19"/>
  <c r="D55" i="19"/>
  <c r="E106" i="14"/>
  <c r="F106" i="14" s="1"/>
  <c r="E62" i="14"/>
  <c r="F62" i="14"/>
  <c r="E279" i="14"/>
  <c r="F279" i="14"/>
  <c r="C92" i="14"/>
  <c r="E92" i="14"/>
  <c r="E211" i="15"/>
  <c r="D235" i="15"/>
  <c r="E235" i="15"/>
  <c r="C91" i="15"/>
  <c r="C105" i="15"/>
  <c r="E288" i="14"/>
  <c r="F288" i="14"/>
  <c r="C104" i="14"/>
  <c r="E268" i="14"/>
  <c r="F268" i="14" s="1"/>
  <c r="E96" i="15"/>
  <c r="D102" i="15"/>
  <c r="E102" i="15" s="1"/>
  <c r="D48" i="9"/>
  <c r="E84" i="15"/>
  <c r="C324" i="14"/>
  <c r="C113" i="14"/>
  <c r="F92" i="14"/>
  <c r="E104" i="14"/>
  <c r="F104" i="14" s="1"/>
  <c r="E83" i="15"/>
  <c r="C70" i="14"/>
  <c r="F63" i="14"/>
  <c r="E70" i="14"/>
  <c r="E258" i="15"/>
  <c r="D103" i="15"/>
  <c r="E103" i="15" s="1"/>
  <c r="E95" i="15"/>
  <c r="D325" i="14"/>
  <c r="F70" i="14"/>
  <c r="E113" i="14"/>
  <c r="F113" i="14" s="1"/>
  <c r="D273" i="14" l="1"/>
  <c r="D304" i="14"/>
  <c r="E271" i="14"/>
  <c r="F271" i="14" s="1"/>
  <c r="C310" i="15"/>
  <c r="E306" i="15"/>
  <c r="D77" i="15"/>
  <c r="D259" i="15"/>
  <c r="C281" i="14"/>
  <c r="D208" i="14"/>
  <c r="C43" i="1"/>
  <c r="C33" i="2"/>
  <c r="E324" i="14"/>
  <c r="F324" i="14"/>
  <c r="E310" i="15"/>
  <c r="D21" i="10"/>
  <c r="D20" i="10"/>
  <c r="D22" i="10"/>
  <c r="D75" i="1"/>
  <c r="E65" i="1"/>
  <c r="F65" i="1" s="1"/>
  <c r="D33" i="2"/>
  <c r="E19" i="2"/>
  <c r="F19" i="2" s="1"/>
  <c r="C266" i="14"/>
  <c r="D41" i="1"/>
  <c r="E41" i="1" s="1"/>
  <c r="F41" i="1" s="1"/>
  <c r="E56" i="1"/>
  <c r="F56" i="1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68" i="3"/>
  <c r="F68" i="3" s="1"/>
  <c r="E81" i="3"/>
  <c r="F81" i="3" s="1"/>
  <c r="D135" i="5"/>
  <c r="D138" i="5"/>
  <c r="D137" i="5"/>
  <c r="E157" i="5"/>
  <c r="E153" i="5"/>
  <c r="E158" i="5" s="1"/>
  <c r="D154" i="5"/>
  <c r="D152" i="5"/>
  <c r="D158" i="5" s="1"/>
  <c r="D156" i="5"/>
  <c r="F205" i="6"/>
  <c r="D90" i="15"/>
  <c r="D254" i="15"/>
  <c r="E254" i="15" s="1"/>
  <c r="E261" i="14"/>
  <c r="F261" i="14" s="1"/>
  <c r="C75" i="1"/>
  <c r="C52" i="3"/>
  <c r="E52" i="3" s="1"/>
  <c r="E153" i="3"/>
  <c r="F153" i="3" s="1"/>
  <c r="F155" i="4"/>
  <c r="F24" i="6"/>
  <c r="F63" i="6"/>
  <c r="F128" i="6"/>
  <c r="F193" i="6"/>
  <c r="C176" i="4"/>
  <c r="E15" i="5"/>
  <c r="D53" i="5"/>
  <c r="C88" i="5"/>
  <c r="C90" i="5" s="1"/>
  <c r="C86" i="5" s="1"/>
  <c r="E88" i="5"/>
  <c r="E90" i="5" s="1"/>
  <c r="E86" i="5" s="1"/>
  <c r="F23" i="6"/>
  <c r="F49" i="6"/>
  <c r="F62" i="6"/>
  <c r="F75" i="6"/>
  <c r="F127" i="6"/>
  <c r="F153" i="6"/>
  <c r="F192" i="6"/>
  <c r="C208" i="6"/>
  <c r="E199" i="6"/>
  <c r="F199" i="6" s="1"/>
  <c r="F200" i="6"/>
  <c r="F202" i="6"/>
  <c r="F204" i="6"/>
  <c r="F206" i="6"/>
  <c r="F107" i="7"/>
  <c r="E108" i="7"/>
  <c r="F108" i="7" s="1"/>
  <c r="F114" i="7"/>
  <c r="F116" i="7"/>
  <c r="F118" i="7"/>
  <c r="F119" i="7"/>
  <c r="F120" i="7"/>
  <c r="F29" i="8"/>
  <c r="F73" i="8"/>
  <c r="F31" i="9"/>
  <c r="E113" i="7"/>
  <c r="F113" i="7" s="1"/>
  <c r="E115" i="7"/>
  <c r="F115" i="7" s="1"/>
  <c r="E117" i="7"/>
  <c r="F117" i="7" s="1"/>
  <c r="C43" i="8"/>
  <c r="F22" i="8"/>
  <c r="F38" i="8"/>
  <c r="C65" i="8"/>
  <c r="F61" i="8"/>
  <c r="C19" i="9"/>
  <c r="F16" i="9"/>
  <c r="F39" i="9"/>
  <c r="C15" i="10"/>
  <c r="E25" i="10"/>
  <c r="E27" i="10" s="1"/>
  <c r="E48" i="10"/>
  <c r="E42" i="10" s="1"/>
  <c r="F16" i="12"/>
  <c r="E245" i="15"/>
  <c r="C122" i="7"/>
  <c r="E38" i="8"/>
  <c r="F30" i="12"/>
  <c r="F45" i="12"/>
  <c r="F55" i="12"/>
  <c r="F70" i="12"/>
  <c r="F100" i="14"/>
  <c r="E172" i="14"/>
  <c r="F172" i="14" s="1"/>
  <c r="C173" i="14"/>
  <c r="E31" i="11"/>
  <c r="G31" i="11"/>
  <c r="I31" i="11" s="1"/>
  <c r="E16" i="12"/>
  <c r="E23" i="12"/>
  <c r="F23" i="12" s="1"/>
  <c r="E30" i="12"/>
  <c r="E37" i="12"/>
  <c r="F37" i="12" s="1"/>
  <c r="E45" i="12"/>
  <c r="E50" i="12"/>
  <c r="F50" i="12" s="1"/>
  <c r="E55" i="12"/>
  <c r="E65" i="12"/>
  <c r="F65" i="12" s="1"/>
  <c r="E70" i="12"/>
  <c r="E84" i="12"/>
  <c r="F84" i="12" s="1"/>
  <c r="E92" i="12"/>
  <c r="F92" i="12" s="1"/>
  <c r="E99" i="12"/>
  <c r="F99" i="12" s="1"/>
  <c r="E13" i="13"/>
  <c r="F13" i="13" s="1"/>
  <c r="E17" i="13"/>
  <c r="F17" i="13" s="1"/>
  <c r="E21" i="13"/>
  <c r="F21" i="13" s="1"/>
  <c r="E44" i="14"/>
  <c r="F44" i="14" s="1"/>
  <c r="E53" i="14"/>
  <c r="F53" i="14" s="1"/>
  <c r="E67" i="14"/>
  <c r="F67" i="14" s="1"/>
  <c r="E100" i="14"/>
  <c r="E123" i="14"/>
  <c r="F123" i="14" s="1"/>
  <c r="E136" i="14"/>
  <c r="F136" i="14" s="1"/>
  <c r="E170" i="14"/>
  <c r="F170" i="14" s="1"/>
  <c r="C262" i="14"/>
  <c r="C283" i="14"/>
  <c r="E299" i="14"/>
  <c r="F299" i="14" s="1"/>
  <c r="C189" i="15"/>
  <c r="E189" i="15" s="1"/>
  <c r="C234" i="15"/>
  <c r="E234" i="15" s="1"/>
  <c r="E227" i="14"/>
  <c r="F227" i="14" s="1"/>
  <c r="E60" i="12"/>
  <c r="F60" i="12" s="1"/>
  <c r="E75" i="12"/>
  <c r="F75" i="12" s="1"/>
  <c r="E59" i="14"/>
  <c r="F59" i="14" s="1"/>
  <c r="C124" i="14"/>
  <c r="C137" i="14"/>
  <c r="C159" i="14"/>
  <c r="F165" i="14"/>
  <c r="E189" i="14"/>
  <c r="F189" i="14" s="1"/>
  <c r="E226" i="14"/>
  <c r="F226" i="14" s="1"/>
  <c r="F238" i="14"/>
  <c r="E238" i="14"/>
  <c r="F297" i="14"/>
  <c r="C65" i="15"/>
  <c r="C246" i="15" s="1"/>
  <c r="E246" i="15" s="1"/>
  <c r="C71" i="15"/>
  <c r="C76" i="15" s="1"/>
  <c r="C144" i="15"/>
  <c r="E195" i="15"/>
  <c r="E215" i="15"/>
  <c r="E219" i="15"/>
  <c r="E283" i="14"/>
  <c r="C64" i="16"/>
  <c r="C65" i="16" s="1"/>
  <c r="C114" i="16" s="1"/>
  <c r="C116" i="16" s="1"/>
  <c r="C119" i="16" s="1"/>
  <c r="C123" i="16" s="1"/>
  <c r="C34" i="19"/>
  <c r="E36" i="17"/>
  <c r="F36" i="17" s="1"/>
  <c r="C22" i="19"/>
  <c r="E33" i="19"/>
  <c r="E22" i="19"/>
  <c r="E23" i="19"/>
  <c r="D192" i="14"/>
  <c r="E192" i="14" l="1"/>
  <c r="F192" i="14" s="1"/>
  <c r="D193" i="14"/>
  <c r="C77" i="15"/>
  <c r="C259" i="15"/>
  <c r="C263" i="15" s="1"/>
  <c r="C264" i="15" s="1"/>
  <c r="C266" i="15" s="1"/>
  <c r="C267" i="15" s="1"/>
  <c r="E159" i="14"/>
  <c r="F159" i="14"/>
  <c r="C160" i="14"/>
  <c r="C161" i="14"/>
  <c r="E262" i="14"/>
  <c r="C272" i="14"/>
  <c r="C263" i="14"/>
  <c r="F262" i="14"/>
  <c r="E122" i="7"/>
  <c r="F122" i="7" s="1"/>
  <c r="E21" i="10"/>
  <c r="E20" i="10"/>
  <c r="E22" i="10"/>
  <c r="C33" i="9"/>
  <c r="E19" i="9"/>
  <c r="F19" i="9"/>
  <c r="E65" i="8"/>
  <c r="F65" i="8" s="1"/>
  <c r="E208" i="6"/>
  <c r="F208" i="6" s="1"/>
  <c r="D91" i="15"/>
  <c r="E90" i="15"/>
  <c r="D141" i="5"/>
  <c r="C265" i="14"/>
  <c r="D43" i="1"/>
  <c r="E43" i="1" s="1"/>
  <c r="F43" i="1"/>
  <c r="D210" i="14"/>
  <c r="D209" i="14"/>
  <c r="E176" i="4"/>
  <c r="F176" i="4" s="1"/>
  <c r="E259" i="15"/>
  <c r="D263" i="15"/>
  <c r="D126" i="15"/>
  <c r="D122" i="15"/>
  <c r="D125" i="15"/>
  <c r="D114" i="15"/>
  <c r="D123" i="15"/>
  <c r="D112" i="15"/>
  <c r="D121" i="15"/>
  <c r="D127" i="15"/>
  <c r="E77" i="15"/>
  <c r="D115" i="15"/>
  <c r="D111" i="15"/>
  <c r="D124" i="15"/>
  <c r="D113" i="15"/>
  <c r="D109" i="15"/>
  <c r="D110" i="15"/>
  <c r="E304" i="14"/>
  <c r="F304" i="14" s="1"/>
  <c r="D310" i="14"/>
  <c r="E110" i="19"/>
  <c r="E29" i="19"/>
  <c r="E39" i="19"/>
  <c r="E53" i="19"/>
  <c r="E35" i="19"/>
  <c r="E45" i="19"/>
  <c r="C45" i="19"/>
  <c r="C35" i="19"/>
  <c r="C110" i="19"/>
  <c r="C39" i="19"/>
  <c r="C29" i="19"/>
  <c r="C53" i="19"/>
  <c r="E124" i="14"/>
  <c r="C125" i="14"/>
  <c r="F124" i="14"/>
  <c r="C126" i="14"/>
  <c r="E54" i="19"/>
  <c r="E111" i="19"/>
  <c r="E36" i="19"/>
  <c r="E46" i="19"/>
  <c r="E30" i="19"/>
  <c r="E40" i="19"/>
  <c r="C180" i="15"/>
  <c r="E180" i="15" s="1"/>
  <c r="E144" i="15"/>
  <c r="C145" i="15"/>
  <c r="C168" i="15"/>
  <c r="E168" i="15" s="1"/>
  <c r="C66" i="15"/>
  <c r="C294" i="15"/>
  <c r="E294" i="15" s="1"/>
  <c r="E65" i="15"/>
  <c r="C207" i="14"/>
  <c r="C138" i="14"/>
  <c r="E137" i="14"/>
  <c r="F137" i="14" s="1"/>
  <c r="F283" i="14"/>
  <c r="C287" i="14"/>
  <c r="C284" i="14"/>
  <c r="C286" i="14"/>
  <c r="F173" i="14"/>
  <c r="E173" i="14"/>
  <c r="C174" i="14"/>
  <c r="C175" i="14"/>
  <c r="C24" i="10"/>
  <c r="C20" i="10" s="1"/>
  <c r="C17" i="10"/>
  <c r="C28" i="10" s="1"/>
  <c r="C75" i="8"/>
  <c r="E24" i="5"/>
  <c r="E20" i="5" s="1"/>
  <c r="E17" i="5"/>
  <c r="F52" i="3"/>
  <c r="E71" i="15"/>
  <c r="E33" i="2"/>
  <c r="D41" i="2"/>
  <c r="E75" i="1"/>
  <c r="F75" i="1" s="1"/>
  <c r="F33" i="2"/>
  <c r="C41" i="2"/>
  <c r="E76" i="15"/>
  <c r="E43" i="8"/>
  <c r="F43" i="8" s="1"/>
  <c r="D48" i="2" l="1"/>
  <c r="E41" i="2"/>
  <c r="E112" i="5"/>
  <c r="E111" i="5" s="1"/>
  <c r="E28" i="5"/>
  <c r="F75" i="8"/>
  <c r="E75" i="8"/>
  <c r="E174" i="14"/>
  <c r="F174" i="14" s="1"/>
  <c r="F284" i="14"/>
  <c r="E284" i="14"/>
  <c r="C139" i="14"/>
  <c r="C140" i="14"/>
  <c r="E138" i="14"/>
  <c r="F138" i="14" s="1"/>
  <c r="C208" i="14"/>
  <c r="E207" i="14"/>
  <c r="F207" i="14" s="1"/>
  <c r="E126" i="14"/>
  <c r="F126" i="14" s="1"/>
  <c r="C127" i="14"/>
  <c r="E125" i="14"/>
  <c r="F125" i="14" s="1"/>
  <c r="E47" i="19"/>
  <c r="E112" i="19"/>
  <c r="E37" i="19"/>
  <c r="E55" i="19"/>
  <c r="D312" i="14"/>
  <c r="D128" i="15"/>
  <c r="E263" i="15"/>
  <c r="D264" i="15"/>
  <c r="D105" i="15"/>
  <c r="E105" i="15" s="1"/>
  <c r="E91" i="15"/>
  <c r="C41" i="9"/>
  <c r="E33" i="9"/>
  <c r="F33" i="9"/>
  <c r="E272" i="14"/>
  <c r="F272" i="14"/>
  <c r="C273" i="14"/>
  <c r="E161" i="14"/>
  <c r="C162" i="14"/>
  <c r="F161" i="14"/>
  <c r="C268" i="15"/>
  <c r="C269" i="15"/>
  <c r="D194" i="14"/>
  <c r="D266" i="14"/>
  <c r="D282" i="14"/>
  <c r="E193" i="14"/>
  <c r="F193" i="14" s="1"/>
  <c r="C48" i="2"/>
  <c r="F41" i="2"/>
  <c r="C70" i="10"/>
  <c r="C72" i="10" s="1"/>
  <c r="C69" i="10" s="1"/>
  <c r="C22" i="10"/>
  <c r="E175" i="14"/>
  <c r="C176" i="14"/>
  <c r="F175" i="14"/>
  <c r="F286" i="14"/>
  <c r="E286" i="14"/>
  <c r="C289" i="14"/>
  <c r="C291" i="14"/>
  <c r="E287" i="14"/>
  <c r="F287" i="14" s="1"/>
  <c r="E66" i="15"/>
  <c r="C247" i="15"/>
  <c r="E247" i="15" s="1"/>
  <c r="C295" i="15"/>
  <c r="E295" i="15" s="1"/>
  <c r="C169" i="15"/>
  <c r="E169" i="15" s="1"/>
  <c r="C181" i="15"/>
  <c r="E181" i="15" s="1"/>
  <c r="E145" i="15"/>
  <c r="E38" i="19"/>
  <c r="E56" i="19"/>
  <c r="E48" i="19"/>
  <c r="E113" i="19"/>
  <c r="C112" i="19"/>
  <c r="C47" i="19"/>
  <c r="C55" i="19"/>
  <c r="C37" i="19"/>
  <c r="D116" i="15"/>
  <c r="D129" i="15"/>
  <c r="D211" i="14"/>
  <c r="E263" i="14"/>
  <c r="F263" i="14" s="1"/>
  <c r="E160" i="14"/>
  <c r="F160" i="14" s="1"/>
  <c r="C125" i="15"/>
  <c r="E125" i="15" s="1"/>
  <c r="C114" i="15"/>
  <c r="E114" i="15" s="1"/>
  <c r="C127" i="15"/>
  <c r="E127" i="15" s="1"/>
  <c r="C112" i="15"/>
  <c r="E112" i="15" s="1"/>
  <c r="C126" i="15"/>
  <c r="E126" i="15" s="1"/>
  <c r="C124" i="15"/>
  <c r="E124" i="15" s="1"/>
  <c r="C122" i="15"/>
  <c r="C111" i="15"/>
  <c r="E111" i="15" s="1"/>
  <c r="C121" i="15"/>
  <c r="E121" i="15" s="1"/>
  <c r="C110" i="15"/>
  <c r="C116" i="15" s="1"/>
  <c r="C123" i="15"/>
  <c r="E123" i="15" s="1"/>
  <c r="C109" i="15"/>
  <c r="C117" i="15" s="1"/>
  <c r="C115" i="15"/>
  <c r="E115" i="15" s="1"/>
  <c r="C113" i="15"/>
  <c r="E113" i="15" s="1"/>
  <c r="E116" i="15" l="1"/>
  <c r="C305" i="14"/>
  <c r="E291" i="14"/>
  <c r="F291" i="14" s="1"/>
  <c r="E282" i="14"/>
  <c r="F282" i="14" s="1"/>
  <c r="D281" i="14"/>
  <c r="E281" i="14" s="1"/>
  <c r="F281" i="14" s="1"/>
  <c r="D195" i="14"/>
  <c r="E195" i="14" s="1"/>
  <c r="F195" i="14" s="1"/>
  <c r="D196" i="14"/>
  <c r="E194" i="14"/>
  <c r="F194" i="14" s="1"/>
  <c r="C271" i="15"/>
  <c r="C323" i="14"/>
  <c r="C183" i="14"/>
  <c r="E162" i="14"/>
  <c r="F162" i="14" s="1"/>
  <c r="E273" i="14"/>
  <c r="F273" i="14" s="1"/>
  <c r="D117" i="15"/>
  <c r="C197" i="14"/>
  <c r="E127" i="14"/>
  <c r="F127" i="14" s="1"/>
  <c r="C209" i="14"/>
  <c r="C210" i="14"/>
  <c r="E208" i="14"/>
  <c r="F208" i="14" s="1"/>
  <c r="E140" i="14"/>
  <c r="F140" i="14" s="1"/>
  <c r="C141" i="14"/>
  <c r="E22" i="5"/>
  <c r="E99" i="5"/>
  <c r="E101" i="5" s="1"/>
  <c r="E98" i="5" s="1"/>
  <c r="C128" i="15"/>
  <c r="C129" i="15" s="1"/>
  <c r="E110" i="15"/>
  <c r="E289" i="14"/>
  <c r="F289" i="14" s="1"/>
  <c r="E176" i="14"/>
  <c r="F176" i="14"/>
  <c r="E266" i="14"/>
  <c r="F266" i="14" s="1"/>
  <c r="D265" i="14"/>
  <c r="E265" i="14" s="1"/>
  <c r="F265" i="14" s="1"/>
  <c r="C48" i="9"/>
  <c r="F41" i="9"/>
  <c r="E41" i="9"/>
  <c r="E264" i="15"/>
  <c r="D266" i="15"/>
  <c r="E122" i="15"/>
  <c r="E109" i="15"/>
  <c r="D313" i="14"/>
  <c r="F139" i="14"/>
  <c r="E139" i="14"/>
  <c r="E48" i="2"/>
  <c r="F48" i="2" s="1"/>
  <c r="C131" i="15" l="1"/>
  <c r="E129" i="15"/>
  <c r="E141" i="14"/>
  <c r="C322" i="14"/>
  <c r="F141" i="14"/>
  <c r="C211" i="14"/>
  <c r="F210" i="14"/>
  <c r="E210" i="14"/>
  <c r="E128" i="15"/>
  <c r="F323" i="14"/>
  <c r="E323" i="14"/>
  <c r="C309" i="14"/>
  <c r="E305" i="14"/>
  <c r="F305" i="14" s="1"/>
  <c r="D315" i="14"/>
  <c r="D256" i="14"/>
  <c r="D314" i="14"/>
  <c r="D251" i="14"/>
  <c r="E266" i="15"/>
  <c r="D267" i="15"/>
  <c r="F48" i="9"/>
  <c r="E48" i="9"/>
  <c r="F209" i="14"/>
  <c r="E209" i="14"/>
  <c r="C148" i="14"/>
  <c r="D131" i="15"/>
  <c r="E131" i="15" s="1"/>
  <c r="E117" i="15"/>
  <c r="E183" i="14"/>
  <c r="F183" i="14" s="1"/>
  <c r="E196" i="14"/>
  <c r="F196" i="14" s="1"/>
  <c r="D197" i="14"/>
  <c r="E197" i="14" s="1"/>
  <c r="F197" i="14" s="1"/>
  <c r="D269" i="15" l="1"/>
  <c r="E269" i="15" s="1"/>
  <c r="E267" i="15"/>
  <c r="D268" i="15"/>
  <c r="D318" i="14"/>
  <c r="F211" i="14"/>
  <c r="E211" i="14"/>
  <c r="E322" i="14"/>
  <c r="F322" i="14" s="1"/>
  <c r="C325" i="14"/>
  <c r="E148" i="14"/>
  <c r="F148" i="14"/>
  <c r="D257" i="14"/>
  <c r="C310" i="14"/>
  <c r="E309" i="14"/>
  <c r="F309" i="14" s="1"/>
  <c r="E325" i="14" l="1"/>
  <c r="F325" i="14" s="1"/>
  <c r="C312" i="14"/>
  <c r="E310" i="14"/>
  <c r="F310" i="14" s="1"/>
  <c r="E268" i="15"/>
  <c r="D271" i="15"/>
  <c r="E271" i="15" s="1"/>
  <c r="C313" i="14" l="1"/>
  <c r="E312" i="14"/>
  <c r="F312" i="14" s="1"/>
  <c r="C314" i="14" l="1"/>
  <c r="C256" i="14"/>
  <c r="C251" i="14"/>
  <c r="C315" i="14"/>
  <c r="E313" i="14"/>
  <c r="F313" i="14" s="1"/>
  <c r="F251" i="14" l="1"/>
  <c r="E251" i="14"/>
  <c r="C318" i="14"/>
  <c r="E314" i="14"/>
  <c r="F314" i="14" s="1"/>
  <c r="E315" i="14"/>
  <c r="F315" i="14" s="1"/>
  <c r="C257" i="14"/>
  <c r="F256" i="14"/>
  <c r="E256" i="14"/>
  <c r="F257" i="14" l="1"/>
  <c r="E257" i="14"/>
  <c r="F318" i="14"/>
  <c r="E318" i="14"/>
</calcChain>
</file>

<file path=xl/sharedStrings.xml><?xml version="1.0" encoding="utf-8"?>
<sst xmlns="http://schemas.openxmlformats.org/spreadsheetml/2006/main" count="2307" uniqueCount="983">
  <si>
    <t>DANBURY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</si>
  <si>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</si>
  <si>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</si>
  <si>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</si>
  <si>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</si>
  <si>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</si>
  <si>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</si>
  <si>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</si>
  <si>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</si>
  <si>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</si>
  <si>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</si>
  <si>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</si>
  <si>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</si>
  <si>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</si>
  <si>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</si>
  <si>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</si>
  <si>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</si>
  <si>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</si>
  <si>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</si>
  <si>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</si>
  <si>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</si>
  <si>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</si>
  <si>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</si>
  <si>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</si>
  <si>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</si>
  <si>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</si>
  <si>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</si>
  <si>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</si>
  <si>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</si>
  <si>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</si>
  <si>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</si>
  <si>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</si>
  <si>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</si>
  <si>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</si>
  <si>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</si>
  <si>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</si>
  <si>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</si>
  <si>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</si>
  <si>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</si>
  <si>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</si>
  <si>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</si>
  <si>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</si>
  <si>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</si>
  <si>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</si>
  <si>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</si>
  <si>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</si>
  <si>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</si>
  <si>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</si>
  <si>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</si>
  <si>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</si>
  <si>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</si>
  <si>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</si>
  <si>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</si>
  <si>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</si>
  <si>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</si>
  <si>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</si>
  <si>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</si>
  <si>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</si>
  <si>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</si>
  <si>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</si>
  <si>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</si>
  <si>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</si>
  <si>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</si>
  <si>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</si>
  <si>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</si>
  <si>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</si>
  <si>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</si>
  <si>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</si>
  <si>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</si>
  <si>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</si>
  <si>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</si>
  <si>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</si>
  <si>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</si>
  <si>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</si>
  <si>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</si>
  <si>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</si>
  <si>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</si>
  <si>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</si>
  <si>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</si>
  <si>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</si>
  <si>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</si>
  <si>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</si>
  <si>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</si>
  <si>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</si>
  <si>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</si>
  <si>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</si>
  <si>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</si>
  <si>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</si>
  <si>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</si>
  <si>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</si>
  <si>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</si>
  <si>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</si>
  <si>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</si>
  <si>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</si>
  <si>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</si>
  <si>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</si>
  <si>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</si>
  <si>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</si>
  <si>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</si>
  <si>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</si>
  <si>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</si>
  <si>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</si>
  <si>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</si>
  <si>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</si>
  <si>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</si>
  <si>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</si>
  <si>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</si>
  <si>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</si>
  <si>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</si>
  <si>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</si>
  <si>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</si>
  <si>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</si>
  <si>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</si>
  <si>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</si>
  <si>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</si>
  <si>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</si>
  <si>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</si>
  <si>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</si>
  <si>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</si>
  <si>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</si>
  <si>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</si>
  <si>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</si>
  <si>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</si>
  <si>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</si>
  <si>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</si>
  <si>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</si>
  <si>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</si>
  <si>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</si>
  <si>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</si>
  <si>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</si>
  <si>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</si>
  <si>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</si>
  <si>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</si>
  <si>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</si>
  <si>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</si>
  <si>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</si>
  <si>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</si>
  <si>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</si>
  <si>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</si>
  <si>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</si>
  <si>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</si>
  <si>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</si>
  <si>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</si>
  <si>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</si>
  <si>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</si>
  <si>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</si>
  <si>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</si>
  <si>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</si>
  <si>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</si>
  <si>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</si>
  <si>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</si>
  <si>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</si>
  <si>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</si>
  <si>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</si>
  <si>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</si>
  <si>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</si>
  <si>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</si>
  <si>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</si>
  <si>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</si>
  <si>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</si>
  <si>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</si>
  <si>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</si>
  <si>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</si>
  <si>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</si>
  <si>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</si>
  <si>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</si>
  <si>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</si>
  <si>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</si>
  <si>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</si>
  <si>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</si>
  <si>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</si>
  <si>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</si>
  <si>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</si>
  <si>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</si>
  <si>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</si>
  <si>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</si>
  <si>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</si>
  <si>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</si>
  <si>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</si>
  <si>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</si>
  <si>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</si>
  <si>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</si>
  <si>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</si>
  <si>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</si>
  <si>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</si>
  <si>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</si>
  <si>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</si>
  <si>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</si>
  <si>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</si>
  <si>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</si>
  <si>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</si>
  <si>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</si>
  <si>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</si>
  <si>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</si>
  <si>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</si>
  <si>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</si>
  <si>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</si>
  <si>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</si>
  <si>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</si>
  <si>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</si>
  <si>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</si>
  <si>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</si>
  <si>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</si>
  <si>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</si>
  <si>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</si>
  <si>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</si>
  <si>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</si>
  <si>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</si>
  <si>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</si>
  <si>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</si>
  <si>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</si>
  <si>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</si>
  <si>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</si>
  <si>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</si>
  <si>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</si>
  <si>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</si>
  <si>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</si>
  <si>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</si>
  <si>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</si>
  <si>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</si>
  <si>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</si>
  <si>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</si>
  <si>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</si>
  <si>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</si>
  <si>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</si>
  <si>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</si>
  <si>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</si>
  <si>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</si>
  <si>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</si>
  <si>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</si>
  <si>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</si>
  <si>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</si>
  <si>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</si>
  <si>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</si>
  <si>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</si>
  <si>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</si>
  <si>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</si>
  <si>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</si>
  <si>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</si>
  <si>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</si>
  <si>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</si>
  <si>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</si>
  <si>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</si>
  <si>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</si>
  <si>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</si>
  <si>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</si>
  <si>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</si>
  <si>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</si>
  <si>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</si>
  <si>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</si>
  <si>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</si>
  <si>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</si>
  <si>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</si>
  <si>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</si>
  <si>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</si>
  <si>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</si>
  <si>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</si>
  <si>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</si>
  <si>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</si>
  <si>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</si>
  <si>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</si>
  <si>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</si>
  <si>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</si>
  <si>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</si>
  <si>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</si>
  <si>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</si>
  <si>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</si>
  <si>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</si>
  <si>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</si>
  <si>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</si>
  <si>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</si>
  <si>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</si>
  <si>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</si>
  <si>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</si>
  <si>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</si>
  <si>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</si>
  <si>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</si>
  <si>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</si>
  <si>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</si>
  <si>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</si>
  <si>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</si>
  <si>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</si>
  <si>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</si>
  <si>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</si>
  <si>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</si>
  <si>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</si>
  <si>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</si>
  <si>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</si>
  <si>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</si>
  <si>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</si>
  <si>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</si>
  <si>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</si>
  <si>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</si>
  <si>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</si>
  <si>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</si>
  <si>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</si>
  <si>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</si>
  <si>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</si>
  <si>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</si>
  <si>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</si>
  <si>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</si>
  <si>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</si>
  <si>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</si>
  <si>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</si>
  <si>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</si>
  <si>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</si>
  <si>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</si>
  <si>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</si>
  <si>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</si>
  <si>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</si>
  <si>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</si>
  <si>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</si>
  <si>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</si>
  <si>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</si>
  <si>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</si>
  <si>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</si>
  <si>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</si>
  <si>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</si>
  <si>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</si>
  <si>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</si>
  <si>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</si>
  <si>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</si>
  <si>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</si>
  <si>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</si>
  <si>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</si>
  <si>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</si>
  <si>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</si>
  <si>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</si>
  <si>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</si>
  <si>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</si>
  <si>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</si>
  <si>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</si>
  <si>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</si>
  <si>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</si>
  <si>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</si>
  <si>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</si>
  <si>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</si>
  <si>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</si>
  <si>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</si>
  <si>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</si>
  <si>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</si>
  <si>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</si>
  <si>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</si>
  <si>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</si>
  <si>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</si>
  <si>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</si>
  <si>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</si>
  <si>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</si>
  <si>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</si>
  <si>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</si>
  <si>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</si>
  <si>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</si>
  <si>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</si>
  <si>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</si>
  <si>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</si>
  <si>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</si>
  <si>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</si>
  <si>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</si>
  <si>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</si>
  <si>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</si>
  <si>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</si>
  <si>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</si>
  <si>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</si>
  <si>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</si>
  <si>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</si>
  <si>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</si>
  <si>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</si>
  <si>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</si>
  <si>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</si>
  <si>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</si>
  <si>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</si>
  <si>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</si>
  <si>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</si>
  <si>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</si>
  <si>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</si>
  <si>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</si>
  <si>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</si>
  <si>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</si>
  <si>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</si>
  <si>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</si>
  <si>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</si>
  <si>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</si>
  <si>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</si>
  <si>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</si>
  <si>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</si>
  <si>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</si>
  <si>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</si>
  <si>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</si>
  <si>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</si>
  <si>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</si>
  <si>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</si>
  <si>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</si>
  <si>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</si>
  <si>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</si>
  <si>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</si>
  <si>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</si>
  <si>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</si>
  <si>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</si>
  <si>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</si>
  <si>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</si>
  <si>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</si>
  <si>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</si>
  <si>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</si>
  <si>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</si>
  <si>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</si>
  <si>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</si>
  <si>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</si>
  <si>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</si>
  <si>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</si>
  <si>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</si>
  <si>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</si>
  <si>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</si>
  <si>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</si>
  <si>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</si>
  <si>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</si>
  <si>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</si>
  <si>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</si>
  <si>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</si>
  <si>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</si>
  <si>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</si>
  <si>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</si>
  <si>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</si>
  <si>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</si>
  <si>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</si>
  <si>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</si>
  <si>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</si>
  <si>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</si>
  <si>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</si>
  <si>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</si>
  <si>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</si>
  <si>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</si>
  <si>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</si>
  <si>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</si>
  <si>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</si>
  <si>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</si>
  <si>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</si>
  <si>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</si>
  <si>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</si>
  <si>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</si>
  <si>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</si>
  <si>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</si>
  <si>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</si>
  <si>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</si>
  <si>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</si>
  <si>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</si>
  <si>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</si>
  <si>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</si>
  <si>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</si>
  <si>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</si>
  <si>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</si>
  <si>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</si>
  <si>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</si>
  <si>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</si>
  <si>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</si>
  <si>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</si>
  <si>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</si>
  <si>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</si>
  <si>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</si>
  <si>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</si>
  <si>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</si>
  <si>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</si>
  <si>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</si>
  <si>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</si>
  <si>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</si>
  <si>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</si>
  <si>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</si>
  <si>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</si>
  <si>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</si>
  <si>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</si>
  <si>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</si>
  <si>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</si>
  <si>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</si>
  <si>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</si>
  <si>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</si>
  <si>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</si>
  <si>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</si>
  <si>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</si>
  <si>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</si>
  <si>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</si>
  <si>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WESTERN CONNECTICUT HEALTH NETWORK , INC.(FORMERLY WESTERN CONNECTICUT HEALTHCARE,INC.)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</si>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</sst>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12" xfId="0" applyNumberFormat="1" applyFont="1" applyBorder="1" applyAlignment="1">
      <alignment horizontal="center"/>
    </xf>
    <xf numFmtId="168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8" fontId="1" fillId="0" borderId="12" xfId="0" applyNumberFormat="1" applyFont="1" applyBorder="1" applyAlignment="1">
      <alignment horizontal="center" vertical="center"/>
    </xf>
    <xf numFmtId="168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7" xfId="0" applyNumberFormat="1" applyFont="1" applyFill="1" applyBorder="1" applyAlignment="1">
      <alignment horizontal="center"/>
    </xf>
    <xf numFmtId="168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8" fontId="3" fillId="0" borderId="12" xfId="0" applyNumberFormat="1" applyFont="1" applyBorder="1" applyAlignment="1">
      <alignment horizontal="right"/>
    </xf>
    <xf numFmtId="168" fontId="1" fillId="0" borderId="19" xfId="0" applyNumberFormat="1" applyFont="1" applyFill="1" applyBorder="1" applyAlignment="1">
      <alignment horizontal="center"/>
    </xf>
    <xf numFmtId="168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12" xfId="0" applyNumberFormat="1" applyFont="1" applyBorder="1" applyAlignment="1">
      <alignment horizontal="center"/>
    </xf>
    <xf numFmtId="168" fontId="10" fillId="0" borderId="20" xfId="0" applyNumberFormat="1" applyFont="1" applyBorder="1" applyAlignment="1">
      <alignment horizontal="center"/>
    </xf>
    <xf numFmtId="168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8" fontId="10" fillId="0" borderId="20" xfId="0" applyNumberFormat="1" applyFont="1" applyBorder="1" applyAlignment="1">
      <alignment horizontal="center" wrapText="1"/>
    </xf>
    <xf numFmtId="168" fontId="12" fillId="0" borderId="20" xfId="0" applyNumberFormat="1" applyFont="1" applyBorder="1" applyAlignment="1">
      <alignment horizontal="center"/>
    </xf>
    <xf numFmtId="168" fontId="12" fillId="0" borderId="20" xfId="0" applyNumberFormat="1" applyFont="1" applyBorder="1" applyAlignment="1">
      <alignment horizontal="left"/>
    </xf>
    <xf numFmtId="168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8" fontId="10" fillId="0" borderId="12" xfId="0" applyNumberFormat="1" applyFont="1" applyBorder="1" applyAlignment="1"/>
    <xf numFmtId="168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8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8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8" fontId="15" fillId="0" borderId="12" xfId="0" applyNumberFormat="1" applyFont="1" applyBorder="1" applyAlignment="1">
      <alignment horizontal="center"/>
    </xf>
    <xf numFmtId="168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21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22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8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12" xfId="0" applyNumberFormat="1" applyFont="1" applyFill="1" applyBorder="1" applyAlignment="1">
      <alignment horizontal="right"/>
    </xf>
    <xf numFmtId="168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8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8" fontId="6" fillId="0" borderId="22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0" xfId="0" applyNumberFormat="1" applyFont="1" applyFill="1" applyBorder="1" applyAlignment="1">
      <alignment horizontal="left"/>
    </xf>
    <xf numFmtId="168" fontId="6" fillId="33" borderId="9" xfId="0" applyNumberFormat="1" applyFont="1" applyFill="1" applyBorder="1" applyAlignment="1">
      <alignment horizontal="center" wrapText="1"/>
    </xf>
    <xf numFmtId="168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8" fontId="12" fillId="0" borderId="12" xfId="0" applyNumberFormat="1" applyFont="1" applyBorder="1" applyAlignment="1"/>
    <xf numFmtId="168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8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6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6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8" fontId="7" fillId="0" borderId="12" xfId="0" applyNumberFormat="1" applyFont="1" applyBorder="1" applyAlignment="1"/>
    <xf numFmtId="168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8" fontId="8" fillId="0" borderId="12" xfId="0" applyNumberFormat="1" applyFont="1" applyBorder="1" applyAlignment="1"/>
    <xf numFmtId="170" fontId="8" fillId="0" borderId="12" xfId="0" applyNumberFormat="1" applyFont="1" applyBorder="1" applyAlignment="1">
      <alignment horizontal="right"/>
    </xf>
    <xf numFmtId="170" fontId="8" fillId="0" borderId="12" xfId="28" applyNumberFormat="1" applyFont="1" applyBorder="1" applyAlignment="1">
      <alignment horizontal="right"/>
    </xf>
    <xf numFmtId="170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6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8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8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70" fontId="13" fillId="0" borderId="12" xfId="0" applyNumberFormat="1" applyFont="1" applyBorder="1" applyAlignment="1">
      <alignment vertical="top"/>
    </xf>
    <xf numFmtId="175" fontId="13" fillId="0" borderId="12" xfId="28" applyNumberFormat="1" applyFont="1" applyBorder="1" applyAlignment="1">
      <alignment vertical="top"/>
    </xf>
    <xf numFmtId="170" fontId="19" fillId="0" borderId="12" xfId="0" applyNumberFormat="1" applyFont="1" applyBorder="1" applyAlignment="1">
      <alignment vertical="top"/>
    </xf>
    <xf numFmtId="175" fontId="19" fillId="0" borderId="12" xfId="28" applyNumberFormat="1" applyFont="1" applyBorder="1" applyAlignment="1">
      <alignment vertical="top"/>
    </xf>
    <xf numFmtId="175" fontId="13" fillId="0" borderId="12" xfId="0" applyNumberFormat="1" applyFont="1" applyBorder="1" applyAlignment="1">
      <alignment vertical="top"/>
    </xf>
    <xf numFmtId="185" fontId="13" fillId="0" borderId="12" xfId="0" applyNumberFormat="1" applyFont="1" applyBorder="1" applyAlignment="1">
      <alignment horizontal="right" vertical="top"/>
    </xf>
    <xf numFmtId="172" fontId="13" fillId="0" borderId="12" xfId="28" applyNumberFormat="1" applyFont="1" applyBorder="1" applyAlignment="1">
      <alignment vertical="top"/>
    </xf>
    <xf numFmtId="185" fontId="19" fillId="0" borderId="12" xfId="0" applyNumberFormat="1" applyFont="1" applyBorder="1" applyAlignment="1">
      <alignment horizontal="right" vertical="top"/>
    </xf>
    <xf numFmtId="172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4" fontId="13" fillId="0" borderId="12" xfId="28" applyNumberFormat="1" applyFont="1" applyBorder="1" applyProtection="1">
      <protection locked="0"/>
    </xf>
    <xf numFmtId="174" fontId="13" fillId="0" borderId="12" xfId="0" applyNumberFormat="1" applyFont="1" applyBorder="1" applyProtection="1">
      <protection locked="0"/>
    </xf>
    <xf numFmtId="174" fontId="19" fillId="0" borderId="12" xfId="28" applyNumberFormat="1" applyFont="1" applyBorder="1" applyProtection="1">
      <protection locked="0"/>
    </xf>
    <xf numFmtId="174" fontId="19" fillId="0" borderId="12" xfId="0" applyNumberFormat="1" applyFont="1" applyBorder="1" applyProtection="1">
      <protection locked="0"/>
    </xf>
    <xf numFmtId="186" fontId="13" fillId="0" borderId="12" xfId="0" applyNumberFormat="1" applyFont="1" applyBorder="1" applyProtection="1">
      <protection locked="0"/>
    </xf>
    <xf numFmtId="186" fontId="19" fillId="0" borderId="12" xfId="0" applyNumberFormat="1" applyFont="1" applyBorder="1" applyProtection="1">
      <protection locked="0"/>
    </xf>
    <xf numFmtId="187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8" fontId="13" fillId="0" borderId="12" xfId="28" applyNumberFormat="1" applyFont="1" applyBorder="1" applyProtection="1">
      <protection locked="0"/>
    </xf>
    <xf numFmtId="189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90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13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13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9" xfId="0" applyNumberFormat="1" applyFont="1" applyFill="1" applyBorder="1" applyAlignment="1"/>
    <xf numFmtId="168" fontId="1" fillId="33" borderId="11" xfId="0" applyNumberFormat="1" applyFont="1" applyFill="1" applyBorder="1" applyAlignment="1"/>
    <xf numFmtId="168" fontId="1" fillId="33" borderId="10" xfId="0" applyNumberFormat="1" applyFont="1" applyFill="1" applyBorder="1" applyAlignment="1"/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14" xfId="0" applyNumberFormat="1" applyFont="1" applyBorder="1" applyAlignment="1">
      <alignment horizontal="center" wrapText="1"/>
    </xf>
    <xf numFmtId="168" fontId="6" fillId="0" borderId="15" xfId="0" applyNumberFormat="1" applyFont="1" applyBorder="1" applyAlignment="1">
      <alignment horizontal="center" wrapText="1"/>
    </xf>
    <xf numFmtId="168" fontId="6" fillId="0" borderId="16" xfId="0" applyNumberFormat="1" applyFont="1" applyBorder="1" applyAlignment="1">
      <alignment horizontal="center" wrapText="1"/>
    </xf>
    <xf numFmtId="168" fontId="6" fillId="0" borderId="9" xfId="0" applyNumberFormat="1" applyFont="1" applyBorder="1" applyAlignment="1">
      <alignment horizontal="center" wrapText="1"/>
    </xf>
    <xf numFmtId="168" fontId="6" fillId="0" borderId="11" xfId="0" applyNumberFormat="1" applyFont="1" applyBorder="1" applyAlignment="1">
      <alignment horizontal="center" wrapText="1"/>
    </xf>
    <xf numFmtId="168" fontId="6" fillId="0" borderId="10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4" xfId="0" applyNumberFormat="1" applyFont="1" applyFill="1" applyBorder="1" applyAlignment="1">
      <alignment horizontal="center" wrapText="1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8" fontId="6" fillId="0" borderId="2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8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9" xfId="0" applyNumberFormat="1" applyFont="1" applyBorder="1" applyAlignment="1"/>
    <xf numFmtId="168" fontId="10" fillId="0" borderId="31" xfId="0" applyNumberFormat="1" applyFont="1" applyBorder="1" applyAlignment="1"/>
    <xf numFmtId="168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7.8554687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26334940</v>
      </c>
      <c r="D13" s="23">
        <v>36603282</v>
      </c>
      <c r="E13" s="23">
        <f t="shared" ref="E13:E22" si="0">D13-C13</f>
        <v>10268342</v>
      </c>
      <c r="F13" s="24">
        <f t="shared" ref="F13:F22" si="1">IF(C13=0,0,E13/C13)</f>
        <v>0.38991324833092461</v>
      </c>
    </row>
    <row r="14" spans="1:8" ht="24" customHeight="1" x14ac:dyDescent="0.2">
      <c r="A14" s="21">
        <v>2</v>
      </c>
      <c r="B14" s="22" t="s">
        <v>17</v>
      </c>
      <c r="C14" s="23">
        <v>173186305</v>
      </c>
      <c r="D14" s="23">
        <v>0</v>
      </c>
      <c r="E14" s="23">
        <f t="shared" si="0"/>
        <v>-173186305</v>
      </c>
      <c r="F14" s="24">
        <f t="shared" si="1"/>
        <v>-1</v>
      </c>
    </row>
    <row r="15" spans="1:8" ht="32.25" customHeight="1" x14ac:dyDescent="0.2">
      <c r="A15" s="21">
        <v>3</v>
      </c>
      <c r="B15" s="22" t="s">
        <v>18</v>
      </c>
      <c r="C15" s="23">
        <v>51429630</v>
      </c>
      <c r="D15" s="23">
        <v>53313528</v>
      </c>
      <c r="E15" s="23">
        <f t="shared" si="0"/>
        <v>1883898</v>
      </c>
      <c r="F15" s="24">
        <f t="shared" si="1"/>
        <v>3.6630596020231915E-2</v>
      </c>
    </row>
    <row r="16" spans="1:8" ht="24" customHeight="1" x14ac:dyDescent="0.2">
      <c r="A16" s="21">
        <v>4</v>
      </c>
      <c r="B16" s="22" t="s">
        <v>19</v>
      </c>
      <c r="C16" s="23">
        <v>1679707</v>
      </c>
      <c r="D16" s="23">
        <v>1273013</v>
      </c>
      <c r="E16" s="23">
        <f t="shared" si="0"/>
        <v>-406694</v>
      </c>
      <c r="F16" s="24">
        <f t="shared" si="1"/>
        <v>-0.2421219891326285</v>
      </c>
    </row>
    <row r="17" spans="1:11" ht="24" customHeight="1" x14ac:dyDescent="0.2">
      <c r="A17" s="21">
        <v>5</v>
      </c>
      <c r="B17" s="22" t="s">
        <v>20</v>
      </c>
      <c r="C17" s="23">
        <v>4041813</v>
      </c>
      <c r="D17" s="23">
        <v>6177652</v>
      </c>
      <c r="E17" s="23">
        <f t="shared" si="0"/>
        <v>2135839</v>
      </c>
      <c r="F17" s="24">
        <f t="shared" si="1"/>
        <v>0.52843587766183142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7538558</v>
      </c>
      <c r="D19" s="23">
        <v>8853966</v>
      </c>
      <c r="E19" s="23">
        <f t="shared" si="0"/>
        <v>1315408</v>
      </c>
      <c r="F19" s="24">
        <f t="shared" si="1"/>
        <v>0.17449066519087603</v>
      </c>
    </row>
    <row r="20" spans="1:11" ht="24" customHeight="1" x14ac:dyDescent="0.2">
      <c r="A20" s="21">
        <v>8</v>
      </c>
      <c r="B20" s="22" t="s">
        <v>23</v>
      </c>
      <c r="C20" s="23">
        <v>5454623</v>
      </c>
      <c r="D20" s="23">
        <v>9816103</v>
      </c>
      <c r="E20" s="23">
        <f t="shared" si="0"/>
        <v>4361480</v>
      </c>
      <c r="F20" s="24">
        <f t="shared" si="1"/>
        <v>0.79959329911526422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269665576</v>
      </c>
      <c r="D22" s="27">
        <f>SUM(D13:D21)</f>
        <v>116037544</v>
      </c>
      <c r="E22" s="27">
        <f t="shared" si="0"/>
        <v>-153628032</v>
      </c>
      <c r="F22" s="28">
        <f t="shared" si="1"/>
        <v>-0.56969834369960515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151523870</v>
      </c>
      <c r="E28" s="23">
        <f>D28-C28</f>
        <v>151523870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151523870</v>
      </c>
      <c r="E29" s="27">
        <f>D29-C29</f>
        <v>151523870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150579966</v>
      </c>
      <c r="D33" s="23">
        <v>227259186</v>
      </c>
      <c r="E33" s="23">
        <f>D33-C33</f>
        <v>76679220</v>
      </c>
      <c r="F33" s="24">
        <f>IF(C33=0,0,E33/C33)</f>
        <v>0.50922590857803751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438070317</v>
      </c>
      <c r="D36" s="23">
        <v>492540194</v>
      </c>
      <c r="E36" s="23">
        <f>D36-C36</f>
        <v>54469877</v>
      </c>
      <c r="F36" s="24">
        <f>IF(C36=0,0,E36/C36)</f>
        <v>0.12434048801348027</v>
      </c>
    </row>
    <row r="37" spans="1:8" ht="24" customHeight="1" x14ac:dyDescent="0.2">
      <c r="A37" s="21">
        <v>2</v>
      </c>
      <c r="B37" s="22" t="s">
        <v>39</v>
      </c>
      <c r="C37" s="23">
        <v>274705979</v>
      </c>
      <c r="D37" s="23">
        <v>299833683</v>
      </c>
      <c r="E37" s="23">
        <f>D37-C37</f>
        <v>25127704</v>
      </c>
      <c r="F37" s="24">
        <f>IF(C37=0,0,E37/C37)</f>
        <v>9.1471267176168741E-2</v>
      </c>
    </row>
    <row r="38" spans="1:8" ht="24" customHeight="1" x14ac:dyDescent="0.25">
      <c r="A38" s="25"/>
      <c r="B38" s="26" t="s">
        <v>40</v>
      </c>
      <c r="C38" s="27">
        <f>C36-C37</f>
        <v>163364338</v>
      </c>
      <c r="D38" s="27">
        <f>D36-D37</f>
        <v>192706511</v>
      </c>
      <c r="E38" s="27">
        <f>D38-C38</f>
        <v>29342173</v>
      </c>
      <c r="F38" s="28">
        <f>IF(C38=0,0,E38/C38)</f>
        <v>0.17961186241271335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19811944</v>
      </c>
      <c r="D40" s="23">
        <v>27578848</v>
      </c>
      <c r="E40" s="23">
        <f>D40-C40</f>
        <v>7766904</v>
      </c>
      <c r="F40" s="24">
        <f>IF(C40=0,0,E40/C40)</f>
        <v>0.39203139278003207</v>
      </c>
    </row>
    <row r="41" spans="1:8" ht="24" customHeight="1" x14ac:dyDescent="0.25">
      <c r="A41" s="25"/>
      <c r="B41" s="26" t="s">
        <v>42</v>
      </c>
      <c r="C41" s="27">
        <f>+C38+C40</f>
        <v>183176282</v>
      </c>
      <c r="D41" s="27">
        <f>+D38+D40</f>
        <v>220285359</v>
      </c>
      <c r="E41" s="27">
        <f>D41-C41</f>
        <v>37109077</v>
      </c>
      <c r="F41" s="28">
        <f>IF(C41=0,0,E41/C41)</f>
        <v>0.20258669187313236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603421824</v>
      </c>
      <c r="D43" s="27">
        <f>D22+D29+D31+D32+D33+D41</f>
        <v>715105959</v>
      </c>
      <c r="E43" s="27">
        <f>D43-C43</f>
        <v>111684135</v>
      </c>
      <c r="F43" s="28">
        <f>IF(C43=0,0,E43/C43)</f>
        <v>0.18508467966846356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20675079</v>
      </c>
      <c r="D49" s="23">
        <v>27356488</v>
      </c>
      <c r="E49" s="23">
        <f t="shared" ref="E49:E56" si="2">D49-C49</f>
        <v>6681409</v>
      </c>
      <c r="F49" s="24">
        <f t="shared" ref="F49:F56" si="3">IF(C49=0,0,E49/C49)</f>
        <v>0.32316244112053938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14821485</v>
      </c>
      <c r="D50" s="23">
        <v>12263559</v>
      </c>
      <c r="E50" s="23">
        <f t="shared" si="2"/>
        <v>-2557926</v>
      </c>
      <c r="F50" s="24">
        <f t="shared" si="3"/>
        <v>-0.17258230197581417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11079973</v>
      </c>
      <c r="D51" s="23">
        <v>11107547</v>
      </c>
      <c r="E51" s="23">
        <f t="shared" si="2"/>
        <v>27574</v>
      </c>
      <c r="F51" s="24">
        <f t="shared" si="3"/>
        <v>2.4886342232061398E-3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2545000</v>
      </c>
      <c r="D53" s="23">
        <v>2515000</v>
      </c>
      <c r="E53" s="23">
        <f t="shared" si="2"/>
        <v>-30000</v>
      </c>
      <c r="F53" s="24">
        <f t="shared" si="3"/>
        <v>-1.1787819253438114E-2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34856735</v>
      </c>
      <c r="D55" s="23">
        <v>5874479</v>
      </c>
      <c r="E55" s="23">
        <f t="shared" si="2"/>
        <v>-28982256</v>
      </c>
      <c r="F55" s="24">
        <f t="shared" si="3"/>
        <v>-0.83146789279030298</v>
      </c>
    </row>
    <row r="56" spans="1:6" ht="24" customHeight="1" x14ac:dyDescent="0.25">
      <c r="A56" s="25"/>
      <c r="B56" s="26" t="s">
        <v>54</v>
      </c>
      <c r="C56" s="27">
        <f>SUM(C49:C55)</f>
        <v>83978272</v>
      </c>
      <c r="D56" s="27">
        <f>SUM(D49:D55)</f>
        <v>59117073</v>
      </c>
      <c r="E56" s="27">
        <f t="shared" si="2"/>
        <v>-24861199</v>
      </c>
      <c r="F56" s="28">
        <f t="shared" si="3"/>
        <v>-0.29604323127772858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81260000</v>
      </c>
      <c r="D60" s="23">
        <v>252100000</v>
      </c>
      <c r="E60" s="23">
        <f>D60-C60</f>
        <v>170840000</v>
      </c>
      <c r="F60" s="24">
        <f>IF(C60=0,0,E60/C60)</f>
        <v>2.102387398474034</v>
      </c>
    </row>
    <row r="61" spans="1:6" ht="24" customHeight="1" x14ac:dyDescent="0.25">
      <c r="A61" s="25"/>
      <c r="B61" s="26" t="s">
        <v>58</v>
      </c>
      <c r="C61" s="27">
        <f>SUM(C59:C60)</f>
        <v>81260000</v>
      </c>
      <c r="D61" s="27">
        <f>SUM(D59:D60)</f>
        <v>252100000</v>
      </c>
      <c r="E61" s="27">
        <f>D61-C61</f>
        <v>170840000</v>
      </c>
      <c r="F61" s="28">
        <f>IF(C61=0,0,E61/C61)</f>
        <v>2.102387398474034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14178425</v>
      </c>
      <c r="D64" s="23">
        <v>15647308</v>
      </c>
      <c r="E64" s="23">
        <f>D64-C64</f>
        <v>1468883</v>
      </c>
      <c r="F64" s="24">
        <f>IF(C64=0,0,E64/C64)</f>
        <v>0.10359987093065696</v>
      </c>
    </row>
    <row r="65" spans="1:6" ht="24" customHeight="1" x14ac:dyDescent="0.25">
      <c r="A65" s="25"/>
      <c r="B65" s="26" t="s">
        <v>61</v>
      </c>
      <c r="C65" s="27">
        <f>SUM(C61:C64)</f>
        <v>95438425</v>
      </c>
      <c r="D65" s="27">
        <f>SUM(D61:D64)</f>
        <v>267747308</v>
      </c>
      <c r="E65" s="27">
        <f>D65-C65</f>
        <v>172308883</v>
      </c>
      <c r="F65" s="28">
        <f>IF(C65=0,0,E65/C65)</f>
        <v>1.8054455844173873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368034236</v>
      </c>
      <c r="D70" s="23">
        <v>332255763</v>
      </c>
      <c r="E70" s="23">
        <f>D70-C70</f>
        <v>-35778473</v>
      </c>
      <c r="F70" s="24">
        <f>IF(C70=0,0,E70/C70)</f>
        <v>-9.7215067241733455E-2</v>
      </c>
    </row>
    <row r="71" spans="1:6" ht="24" customHeight="1" x14ac:dyDescent="0.2">
      <c r="A71" s="21">
        <v>2</v>
      </c>
      <c r="B71" s="22" t="s">
        <v>65</v>
      </c>
      <c r="C71" s="23">
        <v>28224280</v>
      </c>
      <c r="D71" s="23">
        <v>27787449</v>
      </c>
      <c r="E71" s="23">
        <f>D71-C71</f>
        <v>-436831</v>
      </c>
      <c r="F71" s="24">
        <f>IF(C71=0,0,E71/C71)</f>
        <v>-1.5477135289190725E-2</v>
      </c>
    </row>
    <row r="72" spans="1:6" ht="24" customHeight="1" x14ac:dyDescent="0.2">
      <c r="A72" s="21">
        <v>3</v>
      </c>
      <c r="B72" s="22" t="s">
        <v>66</v>
      </c>
      <c r="C72" s="23">
        <v>27746611</v>
      </c>
      <c r="D72" s="23">
        <v>28198366</v>
      </c>
      <c r="E72" s="23">
        <f>D72-C72</f>
        <v>451755</v>
      </c>
      <c r="F72" s="24">
        <f>IF(C72=0,0,E72/C72)</f>
        <v>1.6281447849613058E-2</v>
      </c>
    </row>
    <row r="73" spans="1:6" ht="24" customHeight="1" x14ac:dyDescent="0.25">
      <c r="A73" s="21"/>
      <c r="B73" s="26" t="s">
        <v>67</v>
      </c>
      <c r="C73" s="27">
        <f>SUM(C70:C72)</f>
        <v>424005127</v>
      </c>
      <c r="D73" s="27">
        <f>SUM(D70:D72)</f>
        <v>388241578</v>
      </c>
      <c r="E73" s="27">
        <f>D73-C73</f>
        <v>-35763549</v>
      </c>
      <c r="F73" s="28">
        <f>IF(C73=0,0,E73/C73)</f>
        <v>-8.434697300252221E-2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603421824</v>
      </c>
      <c r="D75" s="27">
        <f>D56+D65+D67+D73</f>
        <v>715105959</v>
      </c>
      <c r="E75" s="27">
        <f>D75-C75</f>
        <v>111684135</v>
      </c>
      <c r="F75" s="28">
        <f>IF(C75=0,0,E75/C75)</f>
        <v>0.18508467966846356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500116851</v>
      </c>
      <c r="D11" s="51">
        <v>702067144</v>
      </c>
      <c r="E11" s="51">
        <v>720525178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12259910</v>
      </c>
      <c r="D12" s="49">
        <v>14892893</v>
      </c>
      <c r="E12" s="49">
        <v>17176189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512376761</v>
      </c>
      <c r="D13" s="51">
        <f>+D11+D12</f>
        <v>716960037</v>
      </c>
      <c r="E13" s="51">
        <f>+E11+E12</f>
        <v>737701367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486012841</v>
      </c>
      <c r="D14" s="49">
        <v>699978062</v>
      </c>
      <c r="E14" s="49">
        <v>746101320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26363920</v>
      </c>
      <c r="D15" s="51">
        <f>+D13-D14</f>
        <v>16981975</v>
      </c>
      <c r="E15" s="51">
        <f>+E13-E14</f>
        <v>-8399953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11775650</v>
      </c>
      <c r="D16" s="49">
        <v>21776718</v>
      </c>
      <c r="E16" s="49">
        <v>5592784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38139570</v>
      </c>
      <c r="D17" s="51">
        <f>D15+D16</f>
        <v>38758693</v>
      </c>
      <c r="E17" s="51">
        <f>E15+E16</f>
        <v>-2807169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5.0298194660026087E-2</v>
      </c>
      <c r="D20" s="169">
        <f>IF(+D27=0,0,+D24/+D27)</f>
        <v>2.2987857156234227E-2</v>
      </c>
      <c r="E20" s="169">
        <f>IF(+E27=0,0,+E24/+E27)</f>
        <v>-1.1300980895247217E-2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2.2466080004352018E-2</v>
      </c>
      <c r="D21" s="169">
        <f>IF(+D27=0,0,+D26/+D27)</f>
        <v>2.9478319377787016E-2</v>
      </c>
      <c r="E21" s="169">
        <f>IF(+E27=0,0,+E26/+E27)</f>
        <v>7.524321283136264E-3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7.2764274664378112E-2</v>
      </c>
      <c r="D22" s="169">
        <f>IF(+D27=0,0,+D28/+D27)</f>
        <v>5.246617653402124E-2</v>
      </c>
      <c r="E22" s="169">
        <f>IF(+E27=0,0,+E28/+E27)</f>
        <v>-3.776659612110953E-3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26363920</v>
      </c>
      <c r="D24" s="51">
        <f>+D15</f>
        <v>16981975</v>
      </c>
      <c r="E24" s="51">
        <f>+E15</f>
        <v>-8399953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512376761</v>
      </c>
      <c r="D25" s="51">
        <f>+D13</f>
        <v>716960037</v>
      </c>
      <c r="E25" s="51">
        <f>+E13</f>
        <v>737701367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11775650</v>
      </c>
      <c r="D26" s="51">
        <f>+D16</f>
        <v>21776718</v>
      </c>
      <c r="E26" s="51">
        <f>+E16</f>
        <v>5592784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524152411</v>
      </c>
      <c r="D27" s="51">
        <f>SUM(D25:D26)</f>
        <v>738736755</v>
      </c>
      <c r="E27" s="51">
        <f>SUM(E25:E26)</f>
        <v>743294151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38139570</v>
      </c>
      <c r="D28" s="51">
        <f>+D17</f>
        <v>38758693</v>
      </c>
      <c r="E28" s="51">
        <f>+E17</f>
        <v>-2807169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183488285</v>
      </c>
      <c r="D31" s="51">
        <v>244887741</v>
      </c>
      <c r="E31" s="52">
        <v>286369831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239197827</v>
      </c>
      <c r="D32" s="51">
        <v>310380664</v>
      </c>
      <c r="E32" s="51">
        <v>348404442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-50206909</v>
      </c>
      <c r="D33" s="51">
        <f>+D32-C32</f>
        <v>71182837</v>
      </c>
      <c r="E33" s="51">
        <f>+E32-D32</f>
        <v>38023778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0.82650000000000001</v>
      </c>
      <c r="D34" s="171">
        <f>IF(C32=0,0,+D33/C32)</f>
        <v>0.29758981464325762</v>
      </c>
      <c r="E34" s="171">
        <f>IF(D32=0,0,+E33/D32)</f>
        <v>0.12250691621692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2.0003343595187641</v>
      </c>
      <c r="D38" s="269">
        <f>IF(+D40=0,0,+D39/+D40)</f>
        <v>1.2906982860525396</v>
      </c>
      <c r="E38" s="269">
        <f>IF(+E40=0,0,+E39/+E40)</f>
        <v>1.8760989261589514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122696843</v>
      </c>
      <c r="D39" s="270">
        <v>148919595</v>
      </c>
      <c r="E39" s="270">
        <v>164310318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61338167</v>
      </c>
      <c r="D40" s="270">
        <v>115379091</v>
      </c>
      <c r="E40" s="270">
        <v>87580839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36.854361149208216</v>
      </c>
      <c r="D42" s="271">
        <f>IF((D48/365)=0,0,+D45/(D48/365))</f>
        <v>24.477863684241054</v>
      </c>
      <c r="E42" s="271">
        <f>IF((E48/365)=0,0,+E45/(E48/365))</f>
        <v>29.199329444295312</v>
      </c>
    </row>
    <row r="43" spans="1:14" ht="24" customHeight="1" x14ac:dyDescent="0.2">
      <c r="A43" s="17">
        <v>5</v>
      </c>
      <c r="B43" s="188" t="s">
        <v>16</v>
      </c>
      <c r="C43" s="272">
        <v>46525880</v>
      </c>
      <c r="D43" s="272">
        <v>44650227</v>
      </c>
      <c r="E43" s="272">
        <v>56787869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46525880</v>
      </c>
      <c r="D45" s="270">
        <f>+D43+D44</f>
        <v>44650227</v>
      </c>
      <c r="E45" s="270">
        <f>+E43+E44</f>
        <v>56787869</v>
      </c>
    </row>
    <row r="46" spans="1:14" ht="24" customHeight="1" x14ac:dyDescent="0.2">
      <c r="A46" s="17">
        <v>8</v>
      </c>
      <c r="B46" s="45" t="s">
        <v>324</v>
      </c>
      <c r="C46" s="270">
        <f>+C14</f>
        <v>486012841</v>
      </c>
      <c r="D46" s="270">
        <f>+D14</f>
        <v>699978062</v>
      </c>
      <c r="E46" s="270">
        <f>+E14</f>
        <v>746101320</v>
      </c>
    </row>
    <row r="47" spans="1:14" ht="24" customHeight="1" x14ac:dyDescent="0.2">
      <c r="A47" s="17">
        <v>9</v>
      </c>
      <c r="B47" s="45" t="s">
        <v>347</v>
      </c>
      <c r="C47" s="270">
        <v>25227586</v>
      </c>
      <c r="D47" s="270">
        <v>34179238</v>
      </c>
      <c r="E47" s="270">
        <v>36236656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460785255</v>
      </c>
      <c r="D48" s="270">
        <f>+D46-D47</f>
        <v>665798824</v>
      </c>
      <c r="E48" s="270">
        <f>+E46-E47</f>
        <v>709864664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26.644518222802294</v>
      </c>
      <c r="D50" s="278">
        <f>IF((D55/365)=0,0,+D54/(D55/365))</f>
        <v>32.139971871408356</v>
      </c>
      <c r="E50" s="278">
        <f>IF((E55/365)=0,0,+E54/(E55/365))</f>
        <v>29.917490336472323</v>
      </c>
    </row>
    <row r="51" spans="1:5" ht="24" customHeight="1" x14ac:dyDescent="0.2">
      <c r="A51" s="17">
        <v>12</v>
      </c>
      <c r="B51" s="188" t="s">
        <v>350</v>
      </c>
      <c r="C51" s="279">
        <v>45303281</v>
      </c>
      <c r="D51" s="279">
        <v>76702649</v>
      </c>
      <c r="E51" s="279">
        <v>74395713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8795411</v>
      </c>
      <c r="D53" s="270">
        <v>14882325</v>
      </c>
      <c r="E53" s="270">
        <v>15337343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36507870</v>
      </c>
      <c r="D54" s="280">
        <f>+D51+D52-D53</f>
        <v>61820324</v>
      </c>
      <c r="E54" s="280">
        <f>+E51+E52-E53</f>
        <v>59058370</v>
      </c>
    </row>
    <row r="55" spans="1:5" ht="24" customHeight="1" x14ac:dyDescent="0.2">
      <c r="A55" s="17">
        <v>16</v>
      </c>
      <c r="B55" s="45" t="s">
        <v>75</v>
      </c>
      <c r="C55" s="270">
        <f>+C11</f>
        <v>500116851</v>
      </c>
      <c r="D55" s="270">
        <f>+D11</f>
        <v>702067144</v>
      </c>
      <c r="E55" s="270">
        <f>+E11</f>
        <v>720525178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48.587559415285547</v>
      </c>
      <c r="D57" s="283">
        <f>IF((D61/365)=0,0,+D58/(D61/365))</f>
        <v>63.252392009331636</v>
      </c>
      <c r="E57" s="283">
        <f>IF((E61/365)=0,0,+E58/(E61/365))</f>
        <v>45.032536279337883</v>
      </c>
    </row>
    <row r="58" spans="1:5" ht="24" customHeight="1" x14ac:dyDescent="0.2">
      <c r="A58" s="17">
        <v>18</v>
      </c>
      <c r="B58" s="45" t="s">
        <v>54</v>
      </c>
      <c r="C58" s="281">
        <f>+C40</f>
        <v>61338167</v>
      </c>
      <c r="D58" s="281">
        <f>+D40</f>
        <v>115379091</v>
      </c>
      <c r="E58" s="281">
        <f>+E40</f>
        <v>87580839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486012841</v>
      </c>
      <c r="D59" s="281">
        <f t="shared" si="0"/>
        <v>699978062</v>
      </c>
      <c r="E59" s="281">
        <f t="shared" si="0"/>
        <v>746101320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25227586</v>
      </c>
      <c r="D60" s="176">
        <f t="shared" si="0"/>
        <v>34179238</v>
      </c>
      <c r="E60" s="176">
        <f t="shared" si="0"/>
        <v>36236656</v>
      </c>
    </row>
    <row r="61" spans="1:5" ht="24" customHeight="1" x14ac:dyDescent="0.2">
      <c r="A61" s="17">
        <v>21</v>
      </c>
      <c r="B61" s="45" t="s">
        <v>353</v>
      </c>
      <c r="C61" s="281">
        <f>+C59-C60</f>
        <v>460785255</v>
      </c>
      <c r="D61" s="281">
        <f>+D59-D60</f>
        <v>665798824</v>
      </c>
      <c r="E61" s="281">
        <f>+E59-E60</f>
        <v>709864664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40.974502815285682</v>
      </c>
      <c r="D65" s="284">
        <f>IF(D67=0,0,(D66/D67)*100)</f>
        <v>43.850558188169678</v>
      </c>
      <c r="E65" s="284">
        <f>IF(E67=0,0,(E66/E67)*100)</f>
        <v>40.689135296768129</v>
      </c>
    </row>
    <row r="66" spans="1:5" ht="24" customHeight="1" x14ac:dyDescent="0.2">
      <c r="A66" s="17">
        <v>2</v>
      </c>
      <c r="B66" s="45" t="s">
        <v>67</v>
      </c>
      <c r="C66" s="281">
        <f>+C32</f>
        <v>239197827</v>
      </c>
      <c r="D66" s="281">
        <f>+D32</f>
        <v>310380664</v>
      </c>
      <c r="E66" s="281">
        <f>+E32</f>
        <v>348404442</v>
      </c>
    </row>
    <row r="67" spans="1:5" ht="24" customHeight="1" x14ac:dyDescent="0.2">
      <c r="A67" s="17">
        <v>3</v>
      </c>
      <c r="B67" s="45" t="s">
        <v>43</v>
      </c>
      <c r="C67" s="281">
        <v>583772372</v>
      </c>
      <c r="D67" s="281">
        <v>707814625</v>
      </c>
      <c r="E67" s="281">
        <v>856259145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35.00656207762669</v>
      </c>
      <c r="D69" s="284">
        <f>IF(D75=0,0,(D72/D75)*100)</f>
        <v>35.091475255617667</v>
      </c>
      <c r="E69" s="284">
        <f>IF(E75=0,0,(E72/E75)*100)</f>
        <v>9.8006222344315077</v>
      </c>
    </row>
    <row r="70" spans="1:5" ht="24" customHeight="1" x14ac:dyDescent="0.2">
      <c r="A70" s="17">
        <v>5</v>
      </c>
      <c r="B70" s="45" t="s">
        <v>358</v>
      </c>
      <c r="C70" s="281">
        <f>+C28</f>
        <v>38139570</v>
      </c>
      <c r="D70" s="281">
        <f>+D28</f>
        <v>38758693</v>
      </c>
      <c r="E70" s="281">
        <f>+E28</f>
        <v>-2807169</v>
      </c>
    </row>
    <row r="71" spans="1:5" ht="24" customHeight="1" x14ac:dyDescent="0.2">
      <c r="A71" s="17">
        <v>6</v>
      </c>
      <c r="B71" s="45" t="s">
        <v>347</v>
      </c>
      <c r="C71" s="176">
        <f>+C47</f>
        <v>25227586</v>
      </c>
      <c r="D71" s="176">
        <f>+D47</f>
        <v>34179238</v>
      </c>
      <c r="E71" s="176">
        <f>+E47</f>
        <v>36236656</v>
      </c>
    </row>
    <row r="72" spans="1:5" ht="24" customHeight="1" x14ac:dyDescent="0.2">
      <c r="A72" s="17">
        <v>7</v>
      </c>
      <c r="B72" s="45" t="s">
        <v>359</v>
      </c>
      <c r="C72" s="281">
        <f>+C70+C71</f>
        <v>63367156</v>
      </c>
      <c r="D72" s="281">
        <f>+D70+D71</f>
        <v>72937931</v>
      </c>
      <c r="E72" s="281">
        <f>+E70+E71</f>
        <v>33429487</v>
      </c>
    </row>
    <row r="73" spans="1:5" ht="24" customHeight="1" x14ac:dyDescent="0.2">
      <c r="A73" s="17">
        <v>8</v>
      </c>
      <c r="B73" s="45" t="s">
        <v>54</v>
      </c>
      <c r="C73" s="270">
        <f>+C40</f>
        <v>61338167</v>
      </c>
      <c r="D73" s="270">
        <f>+D40</f>
        <v>115379091</v>
      </c>
      <c r="E73" s="270">
        <f>+E40</f>
        <v>87580839</v>
      </c>
    </row>
    <row r="74" spans="1:5" ht="24" customHeight="1" x14ac:dyDescent="0.2">
      <c r="A74" s="17">
        <v>9</v>
      </c>
      <c r="B74" s="45" t="s">
        <v>58</v>
      </c>
      <c r="C74" s="281">
        <v>119676912</v>
      </c>
      <c r="D74" s="281">
        <v>92471763</v>
      </c>
      <c r="E74" s="281">
        <v>253514718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181015079</v>
      </c>
      <c r="D75" s="270">
        <f>+D73+D74</f>
        <v>207850854</v>
      </c>
      <c r="E75" s="270">
        <f>+E73+E74</f>
        <v>341095557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33.347822790057116</v>
      </c>
      <c r="D77" s="286">
        <f>IF(D80=0,0,(D78/D80)*100)</f>
        <v>22.954252426534342</v>
      </c>
      <c r="E77" s="286">
        <f>IF(E80=0,0,(E78/E80)*100)</f>
        <v>42.117735212150414</v>
      </c>
    </row>
    <row r="78" spans="1:5" ht="24" customHeight="1" x14ac:dyDescent="0.2">
      <c r="A78" s="17">
        <v>12</v>
      </c>
      <c r="B78" s="45" t="s">
        <v>58</v>
      </c>
      <c r="C78" s="270">
        <f>+C74</f>
        <v>119676912</v>
      </c>
      <c r="D78" s="270">
        <f>+D74</f>
        <v>92471763</v>
      </c>
      <c r="E78" s="270">
        <f>+E74</f>
        <v>253514718</v>
      </c>
    </row>
    <row r="79" spans="1:5" ht="24" customHeight="1" x14ac:dyDescent="0.2">
      <c r="A79" s="17">
        <v>13</v>
      </c>
      <c r="B79" s="45" t="s">
        <v>67</v>
      </c>
      <c r="C79" s="270">
        <f>+C32</f>
        <v>239197827</v>
      </c>
      <c r="D79" s="270">
        <f>+D32</f>
        <v>310380664</v>
      </c>
      <c r="E79" s="270">
        <f>+E32</f>
        <v>348404442</v>
      </c>
    </row>
    <row r="80" spans="1:5" ht="24" customHeight="1" x14ac:dyDescent="0.2">
      <c r="A80" s="17">
        <v>14</v>
      </c>
      <c r="B80" s="45" t="s">
        <v>362</v>
      </c>
      <c r="C80" s="270">
        <f>+C78+C79</f>
        <v>358874739</v>
      </c>
      <c r="D80" s="270">
        <f>+D78+D79</f>
        <v>402852427</v>
      </c>
      <c r="E80" s="270">
        <f>+E78+E79</f>
        <v>601919160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FILING&amp;R&amp;8WESTERN CONNECTICUT HEALTH NETWORK , INC.(FORMERLY WESTERN CONNECTICUT HEALTHCARE,INC.)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66698</v>
      </c>
      <c r="D11" s="296">
        <v>15273</v>
      </c>
      <c r="E11" s="296">
        <v>13569</v>
      </c>
      <c r="F11" s="297">
        <v>191</v>
      </c>
      <c r="G11" s="297">
        <v>227</v>
      </c>
      <c r="H11" s="298">
        <f>IF(F11=0,0,$C11/(F11*365))</f>
        <v>0.95672380405938462</v>
      </c>
      <c r="I11" s="298">
        <f>IF(G11=0,0,$C11/(G11*365))</f>
        <v>0.80499668094864518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4048</v>
      </c>
      <c r="D13" s="296">
        <v>159</v>
      </c>
      <c r="E13" s="296">
        <v>0</v>
      </c>
      <c r="F13" s="297">
        <v>13</v>
      </c>
      <c r="G13" s="297">
        <v>30</v>
      </c>
      <c r="H13" s="298">
        <f>IF(F13=0,0,$C13/(F13*365))</f>
        <v>0.85310853530031616</v>
      </c>
      <c r="I13" s="298">
        <f>IF(G13=0,0,$C13/(G13*365))</f>
        <v>0.36968036529680365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53</v>
      </c>
      <c r="D15" s="296">
        <v>14</v>
      </c>
      <c r="E15" s="296">
        <v>14</v>
      </c>
      <c r="F15" s="297">
        <v>1</v>
      </c>
      <c r="G15" s="297">
        <v>1</v>
      </c>
      <c r="H15" s="298">
        <f t="shared" ref="H15:I17" si="0">IF(F15=0,0,$C15/(F15*365))</f>
        <v>0.14520547945205478</v>
      </c>
      <c r="I15" s="298">
        <f t="shared" si="0"/>
        <v>0.14520547945205478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6217</v>
      </c>
      <c r="D16" s="296">
        <v>732</v>
      </c>
      <c r="E16" s="296">
        <v>726</v>
      </c>
      <c r="F16" s="297">
        <v>18</v>
      </c>
      <c r="G16" s="297">
        <v>22</v>
      </c>
      <c r="H16" s="298">
        <f t="shared" si="0"/>
        <v>0.94627092846270933</v>
      </c>
      <c r="I16" s="298">
        <f t="shared" si="0"/>
        <v>0.77422166874221665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6270</v>
      </c>
      <c r="D17" s="300">
        <f>SUM(D15:D16)</f>
        <v>746</v>
      </c>
      <c r="E17" s="300">
        <f>SUM(E15:E16)</f>
        <v>740</v>
      </c>
      <c r="F17" s="300">
        <f>SUM(F15:F16)</f>
        <v>19</v>
      </c>
      <c r="G17" s="300">
        <f>SUM(G15:G16)</f>
        <v>23</v>
      </c>
      <c r="H17" s="301">
        <f t="shared" si="0"/>
        <v>0.90410958904109584</v>
      </c>
      <c r="I17" s="301">
        <f t="shared" si="0"/>
        <v>0.74687313877307926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4291</v>
      </c>
      <c r="D19" s="296">
        <v>295</v>
      </c>
      <c r="E19" s="296">
        <v>294</v>
      </c>
      <c r="F19" s="297">
        <v>13</v>
      </c>
      <c r="G19" s="297">
        <v>14</v>
      </c>
      <c r="H19" s="298">
        <f>IF(F19=0,0,$C19/(F19*365))</f>
        <v>0.90432033719704952</v>
      </c>
      <c r="I19" s="298">
        <f>IF(G19=0,0,$C19/(G19*365))</f>
        <v>0.83972602739726032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6322</v>
      </c>
      <c r="D21" s="296">
        <v>2104</v>
      </c>
      <c r="E21" s="296">
        <v>2106</v>
      </c>
      <c r="F21" s="297">
        <v>20</v>
      </c>
      <c r="G21" s="297">
        <v>32</v>
      </c>
      <c r="H21" s="298">
        <f>IF(F21=0,0,$C21/(F21*365))</f>
        <v>0.866027397260274</v>
      </c>
      <c r="I21" s="298">
        <f>IF(G21=0,0,$C21/(G21*365))</f>
        <v>0.54126712328767124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4748</v>
      </c>
      <c r="D23" s="296">
        <v>1851</v>
      </c>
      <c r="E23" s="296">
        <v>1851</v>
      </c>
      <c r="F23" s="297">
        <v>15</v>
      </c>
      <c r="G23" s="297">
        <v>26</v>
      </c>
      <c r="H23" s="298">
        <f>IF(F23=0,0,$C23/(F23*365))</f>
        <v>0.8672146118721461</v>
      </c>
      <c r="I23" s="298">
        <f>IF(G23=0,0,$C23/(G23*365))</f>
        <v>0.5003161222339304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3712</v>
      </c>
      <c r="D25" s="296">
        <v>205</v>
      </c>
      <c r="E25" s="296">
        <v>0</v>
      </c>
      <c r="F25" s="297">
        <v>12</v>
      </c>
      <c r="G25" s="297">
        <v>15</v>
      </c>
      <c r="H25" s="298">
        <f>IF(F25=0,0,$C25/(F25*365))</f>
        <v>0.84748858447488584</v>
      </c>
      <c r="I25" s="298">
        <f>IF(G25=0,0,$C25/(G25*365))</f>
        <v>0.67799086757990867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574</v>
      </c>
      <c r="D27" s="296">
        <v>289</v>
      </c>
      <c r="E27" s="296">
        <v>286</v>
      </c>
      <c r="F27" s="297">
        <v>3</v>
      </c>
      <c r="G27" s="297">
        <v>4</v>
      </c>
      <c r="H27" s="298">
        <f>IF(F27=0,0,$C27/(F27*365))</f>
        <v>0.52420091324200913</v>
      </c>
      <c r="I27" s="298">
        <f>IF(G27=0,0,$C27/(G27*365))</f>
        <v>0.39315068493150684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91915</v>
      </c>
      <c r="D31" s="300">
        <f>SUM(D10:D29)-D13-D17-D23</f>
        <v>18912</v>
      </c>
      <c r="E31" s="300">
        <f>SUM(E10:E29)-E17-E23</f>
        <v>16995</v>
      </c>
      <c r="F31" s="300">
        <f>SUM(F10:F29)-F17-F23</f>
        <v>271</v>
      </c>
      <c r="G31" s="300">
        <f>SUM(G10:G29)-G17-G23</f>
        <v>345</v>
      </c>
      <c r="H31" s="301">
        <f>IF(F31=0,0,$C31/(F31*365))</f>
        <v>0.92923216903401906</v>
      </c>
      <c r="I31" s="301">
        <f>IF(G31=0,0,$C31/(G31*365))</f>
        <v>0.72991860234266426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96663</v>
      </c>
      <c r="D33" s="300">
        <f>SUM(D10:D29)-D13-D17</f>
        <v>20763</v>
      </c>
      <c r="E33" s="300">
        <f>SUM(E10:E29)-E17</f>
        <v>18846</v>
      </c>
      <c r="F33" s="300">
        <f>SUM(F10:F29)-F17</f>
        <v>286</v>
      </c>
      <c r="G33" s="300">
        <f>SUM(G10:G29)-G17</f>
        <v>371</v>
      </c>
      <c r="H33" s="301">
        <f>IF(F33=0,0,$C33/(F33*365))</f>
        <v>0.92597949995210271</v>
      </c>
      <c r="I33" s="301">
        <f>IF(G33=0,0,$C33/(G33*365))</f>
        <v>0.71382786249676922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96663</v>
      </c>
      <c r="D36" s="300">
        <f t="shared" si="1"/>
        <v>20763</v>
      </c>
      <c r="E36" s="300">
        <f t="shared" si="1"/>
        <v>18846</v>
      </c>
      <c r="F36" s="300">
        <f t="shared" si="1"/>
        <v>286</v>
      </c>
      <c r="G36" s="300">
        <f t="shared" si="1"/>
        <v>371</v>
      </c>
      <c r="H36" s="301">
        <f t="shared" si="1"/>
        <v>0.92597949995210271</v>
      </c>
      <c r="I36" s="301">
        <f t="shared" si="1"/>
        <v>0.71382786249676922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95884</v>
      </c>
      <c r="D37" s="300">
        <v>0</v>
      </c>
      <c r="E37" s="300">
        <v>0</v>
      </c>
      <c r="F37" s="302">
        <v>278</v>
      </c>
      <c r="G37" s="302">
        <v>365</v>
      </c>
      <c r="H37" s="301">
        <f>IF(F37=0,0,$C37/(F37*365))</f>
        <v>0.94494924608258601</v>
      </c>
      <c r="I37" s="301">
        <f>IF(G37=0,0,$C37/(G37*365))</f>
        <v>0.71971476824920244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779</v>
      </c>
      <c r="D38" s="300">
        <f t="shared" si="2"/>
        <v>20763</v>
      </c>
      <c r="E38" s="300">
        <f t="shared" si="2"/>
        <v>18846</v>
      </c>
      <c r="F38" s="300">
        <f t="shared" si="2"/>
        <v>8</v>
      </c>
      <c r="G38" s="300">
        <f t="shared" si="2"/>
        <v>6</v>
      </c>
      <c r="H38" s="301">
        <f t="shared" si="2"/>
        <v>-1.89697461304833E-2</v>
      </c>
      <c r="I38" s="301">
        <f t="shared" si="2"/>
        <v>-5.8869057524332247E-3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8.1244003170497688E-3</v>
      </c>
      <c r="D40" s="148">
        <f t="shared" si="3"/>
        <v>0</v>
      </c>
      <c r="E40" s="148">
        <f t="shared" si="3"/>
        <v>0</v>
      </c>
      <c r="F40" s="148">
        <f t="shared" si="3"/>
        <v>2.8776978417266189E-2</v>
      </c>
      <c r="G40" s="148">
        <f t="shared" si="3"/>
        <v>1.643835616438356E-2</v>
      </c>
      <c r="H40" s="148">
        <f t="shared" si="3"/>
        <v>-2.0074883607902678E-2</v>
      </c>
      <c r="I40" s="148">
        <f t="shared" si="3"/>
        <v>-8.1794983403687422E-3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371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FILING&amp;RDANBURY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F30" sqref="F30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11998</v>
      </c>
      <c r="D12" s="296">
        <v>12277</v>
      </c>
      <c r="E12" s="296">
        <f>+D12-C12</f>
        <v>279</v>
      </c>
      <c r="F12" s="316">
        <f>IF(C12=0,0,+E12/C12)</f>
        <v>2.3253875645940988E-2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13625</v>
      </c>
      <c r="D13" s="296">
        <v>13597</v>
      </c>
      <c r="E13" s="296">
        <f>+D13-C13</f>
        <v>-28</v>
      </c>
      <c r="F13" s="316">
        <f>IF(C13=0,0,+E13/C13)</f>
        <v>-2.0550458715596332E-3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11040</v>
      </c>
      <c r="D14" s="296">
        <v>10103</v>
      </c>
      <c r="E14" s="296">
        <f>+D14-C14</f>
        <v>-937</v>
      </c>
      <c r="F14" s="316">
        <f>IF(C14=0,0,+E14/C14)</f>
        <v>-8.4873188405797106E-2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8814</v>
      </c>
      <c r="D15" s="296">
        <v>6793</v>
      </c>
      <c r="E15" s="296">
        <f>+D15-C15</f>
        <v>-2021</v>
      </c>
      <c r="F15" s="316">
        <f>IF(C15=0,0,+E15/C15)</f>
        <v>-0.22929430451554345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45477</v>
      </c>
      <c r="D16" s="300">
        <f>SUM(D12:D15)</f>
        <v>42770</v>
      </c>
      <c r="E16" s="300">
        <f>+D16-C16</f>
        <v>-2707</v>
      </c>
      <c r="F16" s="309">
        <f>IF(C16=0,0,+E16/C16)</f>
        <v>-5.9524594850144032E-2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1413</v>
      </c>
      <c r="D19" s="296">
        <v>1309</v>
      </c>
      <c r="E19" s="296">
        <f>+D19-C19</f>
        <v>-104</v>
      </c>
      <c r="F19" s="316">
        <f>IF(C19=0,0,+E19/C19)</f>
        <v>-7.360226468506724E-2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6897</v>
      </c>
      <c r="D20" s="296">
        <v>6963</v>
      </c>
      <c r="E20" s="296">
        <f>+D20-C20</f>
        <v>66</v>
      </c>
      <c r="F20" s="316">
        <f>IF(C20=0,0,+E20/C20)</f>
        <v>9.5693779904306216E-3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163</v>
      </c>
      <c r="D21" s="296">
        <v>157</v>
      </c>
      <c r="E21" s="296">
        <f>+D21-C21</f>
        <v>-6</v>
      </c>
      <c r="F21" s="316">
        <f>IF(C21=0,0,+E21/C21)</f>
        <v>-3.6809815950920248E-2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6554</v>
      </c>
      <c r="D22" s="296">
        <v>6606</v>
      </c>
      <c r="E22" s="296">
        <f>+D22-C22</f>
        <v>52</v>
      </c>
      <c r="F22" s="316">
        <f>IF(C22=0,0,+E22/C22)</f>
        <v>7.9340860543179736E-3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15027</v>
      </c>
      <c r="D23" s="300">
        <f>SUM(D19:D22)</f>
        <v>15035</v>
      </c>
      <c r="E23" s="300">
        <f>+D23-C23</f>
        <v>8</v>
      </c>
      <c r="F23" s="309">
        <f>IF(C23=0,0,+E23/C23)</f>
        <v>5.3237505822852202E-4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5</v>
      </c>
      <c r="E26" s="296">
        <f>+D26-C26</f>
        <v>5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167</v>
      </c>
      <c r="D27" s="296">
        <v>183</v>
      </c>
      <c r="E27" s="296">
        <f>+D27-C27</f>
        <v>16</v>
      </c>
      <c r="F27" s="316">
        <f>IF(C27=0,0,+E27/C27)</f>
        <v>9.580838323353294E-2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167</v>
      </c>
      <c r="D30" s="300">
        <f>SUM(D26:D29)</f>
        <v>188</v>
      </c>
      <c r="E30" s="300">
        <f>+D30-C30</f>
        <v>21</v>
      </c>
      <c r="F30" s="309">
        <f>IF(C30=0,0,+E30/C30)</f>
        <v>0.12574850299401197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7</v>
      </c>
      <c r="D33" s="296">
        <v>8</v>
      </c>
      <c r="E33" s="296">
        <f>+D33-C33</f>
        <v>1</v>
      </c>
      <c r="F33" s="316">
        <f>IF(C33=0,0,+E33/C33)</f>
        <v>0.14285714285714285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567</v>
      </c>
      <c r="D34" s="296">
        <v>663</v>
      </c>
      <c r="E34" s="296">
        <f>+D34-C34</f>
        <v>96</v>
      </c>
      <c r="F34" s="316">
        <f>IF(C34=0,0,+E34/C34)</f>
        <v>0.1693121693121693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574</v>
      </c>
      <c r="D37" s="300">
        <f>SUM(D33:D36)</f>
        <v>671</v>
      </c>
      <c r="E37" s="300">
        <f>+D37-C37</f>
        <v>97</v>
      </c>
      <c r="F37" s="309">
        <f>IF(C37=0,0,+E37/C37)</f>
        <v>0.16898954703832753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479</v>
      </c>
      <c r="D43" s="296">
        <v>322</v>
      </c>
      <c r="E43" s="296">
        <f>+D43-C43</f>
        <v>-157</v>
      </c>
      <c r="F43" s="316">
        <f>IF(C43=0,0,+E43/C43)</f>
        <v>-0.3277661795407098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10168</v>
      </c>
      <c r="D44" s="296">
        <v>11654</v>
      </c>
      <c r="E44" s="296">
        <f>+D44-C44</f>
        <v>1486</v>
      </c>
      <c r="F44" s="316">
        <f>IF(C44=0,0,+E44/C44)</f>
        <v>0.1461447678992919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10647</v>
      </c>
      <c r="D45" s="300">
        <f>SUM(D43:D44)</f>
        <v>11976</v>
      </c>
      <c r="E45" s="300">
        <f>+D45-C45</f>
        <v>1329</v>
      </c>
      <c r="F45" s="309">
        <f>IF(C45=0,0,+E45/C45)</f>
        <v>0.12482389405466328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871</v>
      </c>
      <c r="D48" s="296">
        <v>856</v>
      </c>
      <c r="E48" s="296">
        <f>+D48-C48</f>
        <v>-15</v>
      </c>
      <c r="F48" s="316">
        <f>IF(C48=0,0,+E48/C48)</f>
        <v>-1.7221584385763489E-2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800</v>
      </c>
      <c r="D49" s="296">
        <v>856</v>
      </c>
      <c r="E49" s="296">
        <f>+D49-C49</f>
        <v>56</v>
      </c>
      <c r="F49" s="316">
        <f>IF(C49=0,0,+E49/C49)</f>
        <v>7.0000000000000007E-2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1671</v>
      </c>
      <c r="D50" s="300">
        <f>SUM(D48:D49)</f>
        <v>1712</v>
      </c>
      <c r="E50" s="300">
        <f>+D50-C50</f>
        <v>41</v>
      </c>
      <c r="F50" s="309">
        <f>IF(C50=0,0,+E50/C50)</f>
        <v>2.4536205864751647E-2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100</v>
      </c>
      <c r="D53" s="296">
        <v>107</v>
      </c>
      <c r="E53" s="296">
        <f>+D53-C53</f>
        <v>7</v>
      </c>
      <c r="F53" s="316">
        <f>IF(C53=0,0,+E53/C53)</f>
        <v>7.0000000000000007E-2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305</v>
      </c>
      <c r="D54" s="296">
        <v>318</v>
      </c>
      <c r="E54" s="296">
        <f>+D54-C54</f>
        <v>13</v>
      </c>
      <c r="F54" s="316">
        <f>IF(C54=0,0,+E54/C54)</f>
        <v>4.2622950819672129E-2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405</v>
      </c>
      <c r="D55" s="300">
        <f>SUM(D53:D54)</f>
        <v>425</v>
      </c>
      <c r="E55" s="300">
        <f>+D55-C55</f>
        <v>20</v>
      </c>
      <c r="F55" s="309">
        <f>IF(C55=0,0,+E55/C55)</f>
        <v>4.9382716049382713E-2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19</v>
      </c>
      <c r="D58" s="296">
        <v>24</v>
      </c>
      <c r="E58" s="296">
        <f>+D58-C58</f>
        <v>5</v>
      </c>
      <c r="F58" s="316">
        <f>IF(C58=0,0,+E58/C58)</f>
        <v>0.26315789473684209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100</v>
      </c>
      <c r="D59" s="296">
        <v>115</v>
      </c>
      <c r="E59" s="296">
        <f>+D59-C59</f>
        <v>15</v>
      </c>
      <c r="F59" s="316">
        <f>IF(C59=0,0,+E59/C59)</f>
        <v>0.15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119</v>
      </c>
      <c r="D60" s="300">
        <f>SUM(D58:D59)</f>
        <v>139</v>
      </c>
      <c r="E60" s="300">
        <f>SUM(E58:E59)</f>
        <v>20</v>
      </c>
      <c r="F60" s="309">
        <f>IF(C60=0,0,+E60/C60)</f>
        <v>0.16806722689075632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4625</v>
      </c>
      <c r="D63" s="296">
        <v>4442</v>
      </c>
      <c r="E63" s="296">
        <f>+D63-C63</f>
        <v>-183</v>
      </c>
      <c r="F63" s="316">
        <f>IF(C63=0,0,+E63/C63)</f>
        <v>-3.9567567567567567E-2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7615</v>
      </c>
      <c r="D64" s="296">
        <v>7776</v>
      </c>
      <c r="E64" s="296">
        <f>+D64-C64</f>
        <v>161</v>
      </c>
      <c r="F64" s="316">
        <f>IF(C64=0,0,+E64/C64)</f>
        <v>2.1142481943532503E-2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12240</v>
      </c>
      <c r="D65" s="300">
        <f>SUM(D63:D64)</f>
        <v>12218</v>
      </c>
      <c r="E65" s="300">
        <f>+D65-C65</f>
        <v>-22</v>
      </c>
      <c r="F65" s="309">
        <f>IF(C65=0,0,+E65/C65)</f>
        <v>-1.7973856209150326E-3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834</v>
      </c>
      <c r="D68" s="296">
        <v>909</v>
      </c>
      <c r="E68" s="296">
        <f>+D68-C68</f>
        <v>75</v>
      </c>
      <c r="F68" s="316">
        <f>IF(C68=0,0,+E68/C68)</f>
        <v>8.9928057553956831E-2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9891</v>
      </c>
      <c r="D69" s="296">
        <v>9777</v>
      </c>
      <c r="E69" s="296">
        <f>+D69-C69</f>
        <v>-114</v>
      </c>
      <c r="F69" s="318">
        <f>IF(C69=0,0,+E69/C69)</f>
        <v>-1.1525629360024265E-2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10725</v>
      </c>
      <c r="D70" s="300">
        <f>SUM(D68:D69)</f>
        <v>10686</v>
      </c>
      <c r="E70" s="300">
        <f>+D70-C70</f>
        <v>-39</v>
      </c>
      <c r="F70" s="309">
        <f>IF(C70=0,0,+E70/C70)</f>
        <v>-3.6363636363636364E-3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14124</v>
      </c>
      <c r="D73" s="319">
        <v>14603</v>
      </c>
      <c r="E73" s="296">
        <f>+D73-C73</f>
        <v>479</v>
      </c>
      <c r="F73" s="316">
        <f>IF(C73=0,0,+E73/C73)</f>
        <v>3.391390540923251E-2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56136</v>
      </c>
      <c r="D74" s="319">
        <v>54992</v>
      </c>
      <c r="E74" s="296">
        <f>+D74-C74</f>
        <v>-1144</v>
      </c>
      <c r="F74" s="316">
        <f>IF(C74=0,0,+E74/C74)</f>
        <v>-2.0379079378651844E-2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70260</v>
      </c>
      <c r="D75" s="300">
        <f>SUM(D73:D74)</f>
        <v>69595</v>
      </c>
      <c r="E75" s="300">
        <f>SUM(E73:E74)</f>
        <v>-665</v>
      </c>
      <c r="F75" s="309">
        <f>IF(C75=0,0,+E75/C75)</f>
        <v>-9.4648448619413603E-3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12450</v>
      </c>
      <c r="D80" s="319">
        <v>12421</v>
      </c>
      <c r="E80" s="296">
        <f t="shared" si="0"/>
        <v>-29</v>
      </c>
      <c r="F80" s="316">
        <f t="shared" si="1"/>
        <v>-2.3293172690763051E-3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21803</v>
      </c>
      <c r="D81" s="319">
        <v>20411</v>
      </c>
      <c r="E81" s="296">
        <f t="shared" si="0"/>
        <v>-1392</v>
      </c>
      <c r="F81" s="316">
        <f t="shared" si="1"/>
        <v>-6.3844425079117556E-2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39551</v>
      </c>
      <c r="D82" s="319">
        <v>45970</v>
      </c>
      <c r="E82" s="296">
        <f t="shared" si="0"/>
        <v>6419</v>
      </c>
      <c r="F82" s="316">
        <f t="shared" si="1"/>
        <v>0.16229678137088821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3067</v>
      </c>
      <c r="D83" s="319">
        <v>2569</v>
      </c>
      <c r="E83" s="296">
        <f t="shared" si="0"/>
        <v>-498</v>
      </c>
      <c r="F83" s="316">
        <f t="shared" si="1"/>
        <v>-0.16237365503749593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76871</v>
      </c>
      <c r="D84" s="320">
        <f>SUM(D79:D83)</f>
        <v>81371</v>
      </c>
      <c r="E84" s="300">
        <f t="shared" si="0"/>
        <v>4500</v>
      </c>
      <c r="F84" s="309">
        <f t="shared" si="1"/>
        <v>5.8539631330410687E-2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41425</v>
      </c>
      <c r="D87" s="322">
        <v>42519</v>
      </c>
      <c r="E87" s="323">
        <f t="shared" ref="E87:E92" si="2">+D87-C87</f>
        <v>1094</v>
      </c>
      <c r="F87" s="318">
        <f t="shared" ref="F87:F92" si="3">IF(C87=0,0,+E87/C87)</f>
        <v>2.6409173204586602E-2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6715</v>
      </c>
      <c r="D88" s="322">
        <v>6501</v>
      </c>
      <c r="E88" s="296">
        <f t="shared" si="2"/>
        <v>-214</v>
      </c>
      <c r="F88" s="316">
        <f t="shared" si="3"/>
        <v>-3.1868950111690247E-2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2931</v>
      </c>
      <c r="D89" s="322">
        <v>2931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0</v>
      </c>
      <c r="D91" s="322">
        <v>0</v>
      </c>
      <c r="E91" s="296">
        <f t="shared" si="2"/>
        <v>0</v>
      </c>
      <c r="F91" s="316">
        <f t="shared" si="3"/>
        <v>0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51071</v>
      </c>
      <c r="D92" s="320">
        <f>SUM(D87:D91)</f>
        <v>51951</v>
      </c>
      <c r="E92" s="300">
        <f t="shared" si="2"/>
        <v>880</v>
      </c>
      <c r="F92" s="309">
        <f t="shared" si="3"/>
        <v>1.7230913825850288E-2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564.29999999999995</v>
      </c>
      <c r="D96" s="325">
        <v>572.29999999999995</v>
      </c>
      <c r="E96" s="326">
        <f>+D96-C96</f>
        <v>8</v>
      </c>
      <c r="F96" s="316">
        <f>IF(C96=0,0,+E96/C96)</f>
        <v>1.417685628211944E-2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87.4</v>
      </c>
      <c r="D97" s="325">
        <v>97.8</v>
      </c>
      <c r="E97" s="326">
        <f>+D97-C97</f>
        <v>10.399999999999991</v>
      </c>
      <c r="F97" s="316">
        <f>IF(C97=0,0,+E97/C97)</f>
        <v>0.11899313501144154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1841.1</v>
      </c>
      <c r="D98" s="325">
        <v>1871.2</v>
      </c>
      <c r="E98" s="326">
        <f>+D98-C98</f>
        <v>30.100000000000136</v>
      </c>
      <c r="F98" s="316">
        <f>IF(C98=0,0,+E98/C98)</f>
        <v>1.6348921840204301E-2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2492.7999999999997</v>
      </c>
      <c r="D99" s="327">
        <f>SUM(D96:D98)</f>
        <v>2541.3000000000002</v>
      </c>
      <c r="E99" s="327">
        <f>+D99-C99</f>
        <v>48.500000000000455</v>
      </c>
      <c r="F99" s="309">
        <f>IF(C99=0,0,+E99/C99)</f>
        <v>1.9456033376123418E-2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FILING&amp;RDANBURY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7615</v>
      </c>
      <c r="D12" s="296">
        <v>7776</v>
      </c>
      <c r="E12" s="296">
        <f>+D12-C12</f>
        <v>161</v>
      </c>
      <c r="F12" s="316">
        <f>IF(C12=0,0,+E12/C12)</f>
        <v>2.1142481943532503E-2</v>
      </c>
    </row>
    <row r="13" spans="1:16" ht="15.75" customHeight="1" x14ac:dyDescent="0.25">
      <c r="A13" s="294"/>
      <c r="B13" s="135" t="s">
        <v>589</v>
      </c>
      <c r="C13" s="300">
        <f>SUM(C11:C12)</f>
        <v>7615</v>
      </c>
      <c r="D13" s="300">
        <f>SUM(D11:D12)</f>
        <v>7776</v>
      </c>
      <c r="E13" s="300">
        <f>+D13-C13</f>
        <v>161</v>
      </c>
      <c r="F13" s="309">
        <f>IF(C13=0,0,+E13/C13)</f>
        <v>2.1142481943532503E-2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9891</v>
      </c>
      <c r="D16" s="296">
        <v>9777</v>
      </c>
      <c r="E16" s="296">
        <f>+D16-C16</f>
        <v>-114</v>
      </c>
      <c r="F16" s="316">
        <f>IF(C16=0,0,+E16/C16)</f>
        <v>-1.1525629360024265E-2</v>
      </c>
    </row>
    <row r="17" spans="1:6" ht="15.75" customHeight="1" x14ac:dyDescent="0.25">
      <c r="A17" s="294"/>
      <c r="B17" s="135" t="s">
        <v>590</v>
      </c>
      <c r="C17" s="300">
        <f>SUM(C15:C16)</f>
        <v>9891</v>
      </c>
      <c r="D17" s="300">
        <f>SUM(D15:D16)</f>
        <v>9777</v>
      </c>
      <c r="E17" s="300">
        <f>+D17-C17</f>
        <v>-114</v>
      </c>
      <c r="F17" s="309">
        <f>IF(C17=0,0,+E17/C17)</f>
        <v>-1.1525629360024265E-2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56136</v>
      </c>
      <c r="D20" s="296">
        <v>54992</v>
      </c>
      <c r="E20" s="296">
        <f>+D20-C20</f>
        <v>-1144</v>
      </c>
      <c r="F20" s="316">
        <f>IF(C20=0,0,+E20/C20)</f>
        <v>-2.0379079378651844E-2</v>
      </c>
    </row>
    <row r="21" spans="1:6" ht="15.75" customHeight="1" x14ac:dyDescent="0.25">
      <c r="A21" s="294"/>
      <c r="B21" s="135" t="s">
        <v>592</v>
      </c>
      <c r="C21" s="300">
        <f>SUM(C19:C20)</f>
        <v>56136</v>
      </c>
      <c r="D21" s="300">
        <f>SUM(D19:D20)</f>
        <v>54992</v>
      </c>
      <c r="E21" s="300">
        <f>+D21-C21</f>
        <v>-1144</v>
      </c>
      <c r="F21" s="309">
        <f>IF(C21=0,0,+E21/C21)</f>
        <v>-2.0379079378651844E-2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593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FILING&amp;RDANBURY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B329" sqref="B329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262457541</v>
      </c>
      <c r="D15" s="361">
        <v>291864516</v>
      </c>
      <c r="E15" s="361">
        <f t="shared" ref="E15:E24" si="0">D15-C15</f>
        <v>29406975</v>
      </c>
      <c r="F15" s="362">
        <f t="shared" ref="F15:F24" si="1">IF(C15=0,0,E15/C15)</f>
        <v>0.1120446944978426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90713748</v>
      </c>
      <c r="D16" s="361">
        <v>98949663</v>
      </c>
      <c r="E16" s="361">
        <f t="shared" si="0"/>
        <v>8235915</v>
      </c>
      <c r="F16" s="362">
        <f t="shared" si="1"/>
        <v>9.0790152337217947E-2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0.34563208835367393</v>
      </c>
      <c r="D17" s="366">
        <f>IF(LN_IA1=0,0,LN_IA2/LN_IA1)</f>
        <v>0.33902601232963858</v>
      </c>
      <c r="E17" s="367">
        <f t="shared" si="0"/>
        <v>-6.6060760240353456E-3</v>
      </c>
      <c r="F17" s="362">
        <f t="shared" si="1"/>
        <v>-1.9113028699104945E-2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8917</v>
      </c>
      <c r="D18" s="369">
        <v>9495</v>
      </c>
      <c r="E18" s="369">
        <f t="shared" si="0"/>
        <v>578</v>
      </c>
      <c r="F18" s="362">
        <f t="shared" si="1"/>
        <v>6.4820006728720417E-2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1.3485</v>
      </c>
      <c r="D19" s="372">
        <v>1.3328</v>
      </c>
      <c r="E19" s="373">
        <f t="shared" si="0"/>
        <v>-1.5700000000000047E-2</v>
      </c>
      <c r="F19" s="362">
        <f t="shared" si="1"/>
        <v>-1.1642565813867295E-2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12024.574500000001</v>
      </c>
      <c r="D20" s="376">
        <f>LN_IA4*LN_IA5</f>
        <v>12654.936</v>
      </c>
      <c r="E20" s="376">
        <f t="shared" si="0"/>
        <v>630.36149999999907</v>
      </c>
      <c r="F20" s="362">
        <f t="shared" si="1"/>
        <v>5.2422769720458638E-2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7544.02977003469</v>
      </c>
      <c r="D21" s="378">
        <f>IF(LN_IA6=0,0,LN_IA2/LN_IA6)</f>
        <v>7819.0567696272819</v>
      </c>
      <c r="E21" s="378">
        <f t="shared" si="0"/>
        <v>275.02699959259189</v>
      </c>
      <c r="F21" s="362">
        <f t="shared" si="1"/>
        <v>3.6456245266291841E-2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49996</v>
      </c>
      <c r="D22" s="369">
        <v>52749</v>
      </c>
      <c r="E22" s="369">
        <f t="shared" si="0"/>
        <v>2753</v>
      </c>
      <c r="F22" s="362">
        <f t="shared" si="1"/>
        <v>5.5064405152412191E-2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1814.4201136090887</v>
      </c>
      <c r="D23" s="378">
        <f>IF(LN_IA8=0,0,LN_IA2/LN_IA8)</f>
        <v>1875.8585565603139</v>
      </c>
      <c r="E23" s="378">
        <f t="shared" si="0"/>
        <v>61.43844295122517</v>
      </c>
      <c r="F23" s="362">
        <f t="shared" si="1"/>
        <v>3.3861200330841293E-2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5.6068184366939553</v>
      </c>
      <c r="D24" s="379">
        <f>IF(LN_IA4=0,0,LN_IA8/LN_IA4)</f>
        <v>5.5554502369668244</v>
      </c>
      <c r="E24" s="379">
        <f t="shared" si="0"/>
        <v>-5.1368199727130914E-2</v>
      </c>
      <c r="F24" s="362">
        <f t="shared" si="1"/>
        <v>-9.1617376783507953E-3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189128726</v>
      </c>
      <c r="D27" s="361">
        <v>198092097</v>
      </c>
      <c r="E27" s="361">
        <f t="shared" ref="E27:E32" si="2">D27-C27</f>
        <v>8963371</v>
      </c>
      <c r="F27" s="362">
        <f t="shared" ref="F27:F32" si="3">IF(C27=0,0,E27/C27)</f>
        <v>4.7392964514549739E-2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65361297</v>
      </c>
      <c r="D28" s="361">
        <v>67074143</v>
      </c>
      <c r="E28" s="361">
        <f t="shared" si="2"/>
        <v>1712846</v>
      </c>
      <c r="F28" s="362">
        <f t="shared" si="3"/>
        <v>2.6205814122690987E-2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0.34559158929669942</v>
      </c>
      <c r="D29" s="366">
        <f>IF(LN_IA11=0,0,LN_IA12/LN_IA11)</f>
        <v>0.33860080243382956</v>
      </c>
      <c r="E29" s="367">
        <f t="shared" si="2"/>
        <v>-6.9907868628698577E-3</v>
      </c>
      <c r="F29" s="362">
        <f t="shared" si="3"/>
        <v>-2.0228463537253751E-2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0.72060694190531949</v>
      </c>
      <c r="D30" s="366">
        <f>IF(LN_IA1=0,0,LN_IA11/LN_IA1)</f>
        <v>0.67871250577099962</v>
      </c>
      <c r="E30" s="367">
        <f t="shared" si="2"/>
        <v>-4.1894436134319868E-2</v>
      </c>
      <c r="F30" s="362">
        <f t="shared" si="3"/>
        <v>-5.8137708226275148E-2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6425.6521009697335</v>
      </c>
      <c r="D31" s="376">
        <f>LN_IA14*LN_IA4</f>
        <v>6444.3752422956413</v>
      </c>
      <c r="E31" s="376">
        <f t="shared" si="2"/>
        <v>18.723141325907818</v>
      </c>
      <c r="F31" s="362">
        <f t="shared" si="3"/>
        <v>2.9138118640257846E-3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10171.932120342453</v>
      </c>
      <c r="D32" s="378">
        <f>IF(LN_IA15=0,0,LN_IA12/LN_IA15)</f>
        <v>10408.168438079123</v>
      </c>
      <c r="E32" s="378">
        <f t="shared" si="2"/>
        <v>236.23631773666966</v>
      </c>
      <c r="F32" s="362">
        <f t="shared" si="3"/>
        <v>2.3224330927673984E-2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451586267</v>
      </c>
      <c r="D35" s="361">
        <f>LN_IA1+LN_IA11</f>
        <v>489956613</v>
      </c>
      <c r="E35" s="361">
        <f>D35-C35</f>
        <v>38370346</v>
      </c>
      <c r="F35" s="362">
        <f>IF(C35=0,0,E35/C35)</f>
        <v>8.4967920426154142E-2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156075045</v>
      </c>
      <c r="D36" s="361">
        <f>LN_IA2+LN_IA12</f>
        <v>166023806</v>
      </c>
      <c r="E36" s="361">
        <f>D36-C36</f>
        <v>9948761</v>
      </c>
      <c r="F36" s="362">
        <f>IF(C36=0,0,E36/C36)</f>
        <v>6.3743444699951871E-2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295511222</v>
      </c>
      <c r="D37" s="361">
        <f>LN_IA17-LN_IA18</f>
        <v>323932807</v>
      </c>
      <c r="E37" s="361">
        <f>D37-C37</f>
        <v>28421585</v>
      </c>
      <c r="F37" s="362">
        <f>IF(C37=0,0,E37/C37)</f>
        <v>9.6177684243747605E-2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197098422</v>
      </c>
      <c r="D42" s="361">
        <v>190380782</v>
      </c>
      <c r="E42" s="361">
        <f t="shared" ref="E42:E53" si="4">D42-C42</f>
        <v>-6717640</v>
      </c>
      <c r="F42" s="362">
        <f t="shared" ref="F42:F53" si="5">IF(C42=0,0,E42/C42)</f>
        <v>-3.4082667592336177E-2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116901612</v>
      </c>
      <c r="D43" s="361">
        <v>112612777</v>
      </c>
      <c r="E43" s="361">
        <f t="shared" si="4"/>
        <v>-4288835</v>
      </c>
      <c r="F43" s="362">
        <f t="shared" si="5"/>
        <v>-3.6687560818237479E-2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0.59311287636792953</v>
      </c>
      <c r="D44" s="366">
        <f>IF(LN_IB1=0,0,LN_IB2/LN_IB1)</f>
        <v>0.59151336504122565</v>
      </c>
      <c r="E44" s="367">
        <f t="shared" si="4"/>
        <v>-1.5995113267038841E-3</v>
      </c>
      <c r="F44" s="362">
        <f t="shared" si="5"/>
        <v>-2.6968076237003646E-3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8752</v>
      </c>
      <c r="D45" s="369">
        <v>8068</v>
      </c>
      <c r="E45" s="369">
        <f t="shared" si="4"/>
        <v>-684</v>
      </c>
      <c r="F45" s="362">
        <f t="shared" si="5"/>
        <v>-7.815356489945155E-2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1.1614</v>
      </c>
      <c r="D46" s="372">
        <v>1.1952</v>
      </c>
      <c r="E46" s="373">
        <f t="shared" si="4"/>
        <v>3.3800000000000052E-2</v>
      </c>
      <c r="F46" s="362">
        <f t="shared" si="5"/>
        <v>2.9102806957120763E-2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10164.5728</v>
      </c>
      <c r="D47" s="376">
        <f>LN_IB4*LN_IB5</f>
        <v>9642.8736000000008</v>
      </c>
      <c r="E47" s="376">
        <f t="shared" si="4"/>
        <v>-521.69919999999911</v>
      </c>
      <c r="F47" s="362">
        <f t="shared" si="5"/>
        <v>-5.1325246054610293E-2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11500.887868105978</v>
      </c>
      <c r="D48" s="378">
        <f>IF(LN_IB6=0,0,LN_IB2/LN_IB6)</f>
        <v>11678.342128222026</v>
      </c>
      <c r="E48" s="378">
        <f t="shared" si="4"/>
        <v>177.45426011604832</v>
      </c>
      <c r="F48" s="362">
        <f t="shared" si="5"/>
        <v>1.5429613969905817E-2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-3956.8580980712877</v>
      </c>
      <c r="D49" s="378">
        <f>LN_IA7-LN_IB7</f>
        <v>-3859.2853585947441</v>
      </c>
      <c r="E49" s="378">
        <f t="shared" si="4"/>
        <v>97.572739476543575</v>
      </c>
      <c r="F49" s="362">
        <f t="shared" si="5"/>
        <v>-2.465914547810142E-2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-40219772.197115146</v>
      </c>
      <c r="D50" s="391">
        <f>LN_IB8*LN_IB6</f>
        <v>-37214600.899259791</v>
      </c>
      <c r="E50" s="391">
        <f t="shared" si="4"/>
        <v>3005171.2978553548</v>
      </c>
      <c r="F50" s="362">
        <f t="shared" si="5"/>
        <v>-7.4718754823551878E-2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32965</v>
      </c>
      <c r="D51" s="369">
        <v>30391</v>
      </c>
      <c r="E51" s="369">
        <f t="shared" si="4"/>
        <v>-2574</v>
      </c>
      <c r="F51" s="362">
        <f t="shared" si="5"/>
        <v>-7.8082815106931588E-2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3546.2342484453206</v>
      </c>
      <c r="D52" s="378">
        <f>IF(LN_IB10=0,0,LN_IB2/LN_IB10)</f>
        <v>3705.4646770425456</v>
      </c>
      <c r="E52" s="378">
        <f t="shared" si="4"/>
        <v>159.230428597225</v>
      </c>
      <c r="F52" s="362">
        <f t="shared" si="5"/>
        <v>4.4901272009042294E-2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3.7665676416819012</v>
      </c>
      <c r="D53" s="379">
        <f>IF(LN_IB4=0,0,LN_IB10/LN_IB4)</f>
        <v>3.766856717897868</v>
      </c>
      <c r="E53" s="379">
        <f t="shared" si="4"/>
        <v>2.8907621596685473E-4</v>
      </c>
      <c r="F53" s="362">
        <f t="shared" si="5"/>
        <v>7.6747915733108227E-5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279872948</v>
      </c>
      <c r="D56" s="361">
        <v>302829736</v>
      </c>
      <c r="E56" s="361">
        <f t="shared" ref="E56:E63" si="6">D56-C56</f>
        <v>22956788</v>
      </c>
      <c r="F56" s="362">
        <f t="shared" ref="F56:F63" si="7">IF(C56=0,0,E56/C56)</f>
        <v>8.2025748340636334E-2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161524726</v>
      </c>
      <c r="D57" s="361">
        <v>171413135</v>
      </c>
      <c r="E57" s="361">
        <f t="shared" si="6"/>
        <v>9888409</v>
      </c>
      <c r="F57" s="362">
        <f t="shared" si="7"/>
        <v>6.1219165912716048E-2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0.57713590096603407</v>
      </c>
      <c r="D58" s="366">
        <f>IF(LN_IB13=0,0,LN_IB14/LN_IB13)</f>
        <v>0.56603798974351716</v>
      </c>
      <c r="E58" s="367">
        <f t="shared" si="6"/>
        <v>-1.109791122251691E-2</v>
      </c>
      <c r="F58" s="362">
        <f t="shared" si="7"/>
        <v>-1.9229285864803703E-2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1.419965442442761</v>
      </c>
      <c r="D59" s="366">
        <f>IF(LN_IB1=0,0,LN_IB13/LN_IB1)</f>
        <v>1.5906528632706216</v>
      </c>
      <c r="E59" s="367">
        <f t="shared" si="6"/>
        <v>0.17068742082786059</v>
      </c>
      <c r="F59" s="362">
        <f t="shared" si="7"/>
        <v>0.1202053343877353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12427.537552259044</v>
      </c>
      <c r="D60" s="376">
        <f>LN_IB16*LN_IB4</f>
        <v>12833.387300867375</v>
      </c>
      <c r="E60" s="376">
        <f t="shared" si="6"/>
        <v>405.84974860833063</v>
      </c>
      <c r="F60" s="362">
        <f t="shared" si="7"/>
        <v>3.2657294085951596E-2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12997.32351004954</v>
      </c>
      <c r="D61" s="378">
        <f>IF(LN_IB17=0,0,LN_IB14/LN_IB17)</f>
        <v>13356.8114934406</v>
      </c>
      <c r="E61" s="378">
        <f t="shared" si="6"/>
        <v>359.48798339105997</v>
      </c>
      <c r="F61" s="362">
        <f t="shared" si="7"/>
        <v>2.7658616261502116E-2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-2825.391389707087</v>
      </c>
      <c r="D62" s="378">
        <f>LN_IA16-LN_IB18</f>
        <v>-2948.6430553614773</v>
      </c>
      <c r="E62" s="378">
        <f t="shared" si="6"/>
        <v>-123.25166565439031</v>
      </c>
      <c r="F62" s="362">
        <f t="shared" si="7"/>
        <v>4.3622864465219457E-2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-35112657.595414191</v>
      </c>
      <c r="D63" s="361">
        <f>LN_IB19*LN_IB17</f>
        <v>-37841078.341466755</v>
      </c>
      <c r="E63" s="361">
        <f t="shared" si="6"/>
        <v>-2728420.7460525632</v>
      </c>
      <c r="F63" s="362">
        <f t="shared" si="7"/>
        <v>7.7704763264883209E-2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476971370</v>
      </c>
      <c r="D66" s="361">
        <f>LN_IB1+LN_IB13</f>
        <v>493210518</v>
      </c>
      <c r="E66" s="361">
        <f>D66-C66</f>
        <v>16239148</v>
      </c>
      <c r="F66" s="362">
        <f>IF(C66=0,0,E66/C66)</f>
        <v>3.4046378926265532E-2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278426338</v>
      </c>
      <c r="D67" s="361">
        <f>LN_IB2+LN_IB14</f>
        <v>284025912</v>
      </c>
      <c r="E67" s="361">
        <f>D67-C67</f>
        <v>5599574</v>
      </c>
      <c r="F67" s="362">
        <f>IF(C67=0,0,E67/C67)</f>
        <v>2.0111509709257461E-2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198545032</v>
      </c>
      <c r="D68" s="361">
        <f>LN_IB21-LN_IB22</f>
        <v>209184606</v>
      </c>
      <c r="E68" s="361">
        <f>D68-C68</f>
        <v>10639574</v>
      </c>
      <c r="F68" s="362">
        <f>IF(C68=0,0,E68/C68)</f>
        <v>5.3587712030991538E-2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-75332429.792529345</v>
      </c>
      <c r="D70" s="353">
        <f>LN_IB9+LN_IB20</f>
        <v>-75055679.240726545</v>
      </c>
      <c r="E70" s="361">
        <f>D70-C70</f>
        <v>276750.55180279911</v>
      </c>
      <c r="F70" s="362">
        <f>IF(C70=0,0,E70/C70)</f>
        <v>-3.6737239534817743E-3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427508232</v>
      </c>
      <c r="D73" s="400">
        <v>440484262</v>
      </c>
      <c r="E73" s="400">
        <f>D73-C73</f>
        <v>12976030</v>
      </c>
      <c r="F73" s="401">
        <f>IF(C73=0,0,E73/C73)</f>
        <v>3.0352702073816441E-2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264490798</v>
      </c>
      <c r="D74" s="400">
        <v>274413100</v>
      </c>
      <c r="E74" s="400">
        <f>D74-C74</f>
        <v>9922302</v>
      </c>
      <c r="F74" s="401">
        <f>IF(C74=0,0,E74/C74)</f>
        <v>3.7514734255518406E-2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163017434</v>
      </c>
      <c r="D76" s="353">
        <f>LN_IB32-LN_IB33</f>
        <v>166071162</v>
      </c>
      <c r="E76" s="400">
        <f>D76-C76</f>
        <v>3053728</v>
      </c>
      <c r="F76" s="401">
        <f>IF(C76=0,0,E76/C76)</f>
        <v>1.8732524031754787E-2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0.38131998824293983</v>
      </c>
      <c r="D77" s="366">
        <f>IF(LN_IB1=0,0,LN_IB34/LN_IB32)</f>
        <v>0.37701951312848492</v>
      </c>
      <c r="E77" s="405">
        <f>D77-C77</f>
        <v>-4.3004751144549158E-3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6593905</v>
      </c>
      <c r="D83" s="361">
        <v>5413243</v>
      </c>
      <c r="E83" s="361">
        <f t="shared" ref="E83:E95" si="8">D83-C83</f>
        <v>-1180662</v>
      </c>
      <c r="F83" s="362">
        <f t="shared" ref="F83:F95" si="9">IF(C83=0,0,E83/C83)</f>
        <v>-0.1790535350448634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1946025</v>
      </c>
      <c r="D84" s="361">
        <v>613179</v>
      </c>
      <c r="E84" s="361">
        <f t="shared" si="8"/>
        <v>-1332846</v>
      </c>
      <c r="F84" s="362">
        <f t="shared" si="9"/>
        <v>-0.68490692565614519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0.29512481602328211</v>
      </c>
      <c r="D85" s="366">
        <f>IF(LN_IC1=0,0,LN_IC2/LN_IC1)</f>
        <v>0.11327387298150111</v>
      </c>
      <c r="E85" s="367">
        <f t="shared" si="8"/>
        <v>-0.18185094304178101</v>
      </c>
      <c r="F85" s="362">
        <f t="shared" si="9"/>
        <v>-0.61618316443926213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298</v>
      </c>
      <c r="D86" s="369">
        <v>248</v>
      </c>
      <c r="E86" s="369">
        <f t="shared" si="8"/>
        <v>-50</v>
      </c>
      <c r="F86" s="362">
        <f t="shared" si="9"/>
        <v>-0.16778523489932887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1.2416</v>
      </c>
      <c r="D87" s="372">
        <v>1.2153</v>
      </c>
      <c r="E87" s="373">
        <f t="shared" si="8"/>
        <v>-2.629999999999999E-2</v>
      </c>
      <c r="F87" s="362">
        <f t="shared" si="9"/>
        <v>-2.1182345360824733E-2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369.99680000000001</v>
      </c>
      <c r="D88" s="376">
        <f>LN_IC4*LN_IC5</f>
        <v>301.39440000000002</v>
      </c>
      <c r="E88" s="376">
        <f t="shared" si="8"/>
        <v>-68.602399999999989</v>
      </c>
      <c r="F88" s="362">
        <f t="shared" si="9"/>
        <v>-0.18541349546806887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5259.5725152217528</v>
      </c>
      <c r="D89" s="378">
        <f>IF(LN_IC6=0,0,LN_IC2/LN_IC6)</f>
        <v>2034.4737659359296</v>
      </c>
      <c r="E89" s="378">
        <f t="shared" si="8"/>
        <v>-3225.098749285823</v>
      </c>
      <c r="F89" s="362">
        <f t="shared" si="9"/>
        <v>-0.61318647854973951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6241.3153528842249</v>
      </c>
      <c r="D90" s="378">
        <f>LN_IB7-LN_IC7</f>
        <v>9643.8683622860972</v>
      </c>
      <c r="E90" s="378">
        <f t="shared" si="8"/>
        <v>3402.5530094018723</v>
      </c>
      <c r="F90" s="362">
        <f t="shared" si="9"/>
        <v>0.54516601341566417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2284.4572548129372</v>
      </c>
      <c r="D91" s="378">
        <f>LN_IA7-LN_IC7</f>
        <v>5784.5830036913521</v>
      </c>
      <c r="E91" s="378">
        <f t="shared" si="8"/>
        <v>3500.1257488784149</v>
      </c>
      <c r="F91" s="362">
        <f t="shared" si="9"/>
        <v>1.532147621280409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845241.87401757133</v>
      </c>
      <c r="D92" s="353">
        <f>LN_IC9*LN_IC6</f>
        <v>1743440.923647753</v>
      </c>
      <c r="E92" s="353">
        <f t="shared" si="8"/>
        <v>898199.04963018163</v>
      </c>
      <c r="F92" s="362">
        <f t="shared" si="9"/>
        <v>1.0626532797776527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1120</v>
      </c>
      <c r="D93" s="369">
        <v>960</v>
      </c>
      <c r="E93" s="369">
        <f t="shared" si="8"/>
        <v>-160</v>
      </c>
      <c r="F93" s="362">
        <f t="shared" si="9"/>
        <v>-0.14285714285714285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1737.5223214285713</v>
      </c>
      <c r="D94" s="411">
        <f>IF(LN_IC11=0,0,LN_IC2/LN_IC11)</f>
        <v>638.72812499999998</v>
      </c>
      <c r="E94" s="411">
        <f t="shared" si="8"/>
        <v>-1098.7941964285715</v>
      </c>
      <c r="F94" s="362">
        <f t="shared" si="9"/>
        <v>-0.63239141326550286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3.7583892617449663</v>
      </c>
      <c r="D95" s="379">
        <f>IF(LN_IC4=0,0,LN_IC11/LN_IC4)</f>
        <v>3.870967741935484</v>
      </c>
      <c r="E95" s="379">
        <f t="shared" si="8"/>
        <v>0.11257848019051764</v>
      </c>
      <c r="F95" s="362">
        <f t="shared" si="9"/>
        <v>2.9953917050691302E-2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20616388</v>
      </c>
      <c r="D98" s="361">
        <v>22935833</v>
      </c>
      <c r="E98" s="361">
        <f t="shared" ref="E98:E106" si="10">D98-C98</f>
        <v>2319445</v>
      </c>
      <c r="F98" s="362">
        <f t="shared" ref="F98:F106" si="11">IF(C98=0,0,E98/C98)</f>
        <v>0.11250491599207388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6084409</v>
      </c>
      <c r="D99" s="361">
        <v>2598031</v>
      </c>
      <c r="E99" s="361">
        <f t="shared" si="10"/>
        <v>-3486378</v>
      </c>
      <c r="F99" s="362">
        <f t="shared" si="11"/>
        <v>-0.57300191357944541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0.29512487832495199</v>
      </c>
      <c r="D100" s="366">
        <f>IF(LN_IC14=0,0,LN_IC15/LN_IC14)</f>
        <v>0.11327388894050633</v>
      </c>
      <c r="E100" s="367">
        <f t="shared" si="10"/>
        <v>-0.18185098938444566</v>
      </c>
      <c r="F100" s="362">
        <f t="shared" si="11"/>
        <v>-0.61618319138861521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3.1265825030842875</v>
      </c>
      <c r="D101" s="366">
        <f>IF(LN_IC1=0,0,LN_IC14/LN_IC1)</f>
        <v>4.236985666448005</v>
      </c>
      <c r="E101" s="367">
        <f t="shared" si="10"/>
        <v>1.1104031633637175</v>
      </c>
      <c r="F101" s="362">
        <f t="shared" si="11"/>
        <v>0.35514916438902072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931.72158591911773</v>
      </c>
      <c r="D102" s="376">
        <f>LN_IC17*LN_IC4</f>
        <v>1050.7724452791053</v>
      </c>
      <c r="E102" s="376">
        <f t="shared" si="10"/>
        <v>119.05085935998761</v>
      </c>
      <c r="F102" s="362">
        <f t="shared" si="11"/>
        <v>0.12777514351837971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6530.2866134607129</v>
      </c>
      <c r="D103" s="378">
        <f>IF(LN_IC18=0,0,LN_IC15/LN_IC18)</f>
        <v>2472.4963160886018</v>
      </c>
      <c r="E103" s="378">
        <f t="shared" si="10"/>
        <v>-4057.7902973721111</v>
      </c>
      <c r="F103" s="362">
        <f t="shared" si="11"/>
        <v>-0.62138012273579102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6467.0368965888274</v>
      </c>
      <c r="D104" s="378">
        <f>LN_IB18-LN_IC19</f>
        <v>10884.315177351998</v>
      </c>
      <c r="E104" s="378">
        <f t="shared" si="10"/>
        <v>4417.2782807631711</v>
      </c>
      <c r="F104" s="362">
        <f t="shared" si="11"/>
        <v>0.68304516448532338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3641.6455068817404</v>
      </c>
      <c r="D105" s="378">
        <f>LN_IA16-LN_IC19</f>
        <v>7935.6721219905212</v>
      </c>
      <c r="E105" s="378">
        <f t="shared" si="10"/>
        <v>4294.0266151087808</v>
      </c>
      <c r="F105" s="362">
        <f t="shared" si="11"/>
        <v>1.1791445946603571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3392999.7270270847</v>
      </c>
      <c r="D106" s="361">
        <f>LN_IC21*LN_IC18</f>
        <v>8338585.6005572071</v>
      </c>
      <c r="E106" s="361">
        <f t="shared" si="10"/>
        <v>4945585.8735301225</v>
      </c>
      <c r="F106" s="362">
        <f t="shared" si="11"/>
        <v>1.4575851079903857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27210293</v>
      </c>
      <c r="D109" s="361">
        <f>LN_IC1+LN_IC14</f>
        <v>28349076</v>
      </c>
      <c r="E109" s="361">
        <f>D109-C109</f>
        <v>1138783</v>
      </c>
      <c r="F109" s="362">
        <f>IF(C109=0,0,E109/C109)</f>
        <v>4.1851184770410228E-2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8030434</v>
      </c>
      <c r="D110" s="361">
        <f>LN_IC2+LN_IC15</f>
        <v>3211210</v>
      </c>
      <c r="E110" s="361">
        <f>D110-C110</f>
        <v>-4819224</v>
      </c>
      <c r="F110" s="362">
        <f>IF(C110=0,0,E110/C110)</f>
        <v>-0.60011999351467182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19179859</v>
      </c>
      <c r="D111" s="361">
        <f>LN_IC23-LN_IC24</f>
        <v>25137866</v>
      </c>
      <c r="E111" s="361">
        <f>D111-C111</f>
        <v>5958007</v>
      </c>
      <c r="F111" s="362">
        <f>IF(C111=0,0,E111/C111)</f>
        <v>0.31063872784466245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4238241.6010446558</v>
      </c>
      <c r="D113" s="361">
        <f>LN_IC10+LN_IC22</f>
        <v>10082026.52420496</v>
      </c>
      <c r="E113" s="361">
        <f>D113-C113</f>
        <v>5843784.9231603043</v>
      </c>
      <c r="F113" s="362">
        <f>IF(C113=0,0,E113/C113)</f>
        <v>1.3788229820876443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46325316</v>
      </c>
      <c r="D118" s="361">
        <v>59876239</v>
      </c>
      <c r="E118" s="361">
        <f t="shared" ref="E118:E130" si="12">D118-C118</f>
        <v>13550923</v>
      </c>
      <c r="F118" s="362">
        <f t="shared" ref="F118:F130" si="13">IF(C118=0,0,E118/C118)</f>
        <v>0.29251657991928215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14179472</v>
      </c>
      <c r="D119" s="361">
        <v>14451349</v>
      </c>
      <c r="E119" s="361">
        <f t="shared" si="12"/>
        <v>271877</v>
      </c>
      <c r="F119" s="362">
        <f t="shared" si="13"/>
        <v>1.9173986168173257E-2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0.30608473345330228</v>
      </c>
      <c r="D120" s="366">
        <f>IF(LN_ID1=0,0,LN_1D2/LN_ID1)</f>
        <v>0.2413536528237854</v>
      </c>
      <c r="E120" s="367">
        <f t="shared" si="12"/>
        <v>-6.4731080629516879E-2</v>
      </c>
      <c r="F120" s="362">
        <f t="shared" si="13"/>
        <v>-0.2114809186959746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2727</v>
      </c>
      <c r="D121" s="369">
        <v>3069</v>
      </c>
      <c r="E121" s="369">
        <f t="shared" si="12"/>
        <v>342</v>
      </c>
      <c r="F121" s="362">
        <f t="shared" si="13"/>
        <v>0.1254125412541254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0.86580000000000001</v>
      </c>
      <c r="D122" s="372">
        <v>1.0314000000000001</v>
      </c>
      <c r="E122" s="373">
        <f t="shared" si="12"/>
        <v>0.16560000000000008</v>
      </c>
      <c r="F122" s="362">
        <f t="shared" si="13"/>
        <v>0.19126819126819136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2361.0365999999999</v>
      </c>
      <c r="D123" s="376">
        <f>LN_ID4*LN_ID5</f>
        <v>3165.3666000000003</v>
      </c>
      <c r="E123" s="376">
        <f t="shared" si="12"/>
        <v>804.33000000000038</v>
      </c>
      <c r="F123" s="362">
        <f t="shared" si="13"/>
        <v>0.34066816245034082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6005.6129583082284</v>
      </c>
      <c r="D124" s="378">
        <f>IF(LN_ID6=0,0,LN_1D2/LN_ID6)</f>
        <v>4565.4582315994612</v>
      </c>
      <c r="E124" s="378">
        <f t="shared" si="12"/>
        <v>-1440.1547267087672</v>
      </c>
      <c r="F124" s="362">
        <f t="shared" si="13"/>
        <v>-0.23980145518975576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5495.2749097977494</v>
      </c>
      <c r="D125" s="378">
        <f>LN_IB7-LN_ID7</f>
        <v>7112.8838966225649</v>
      </c>
      <c r="E125" s="378">
        <f t="shared" si="12"/>
        <v>1617.6089868248155</v>
      </c>
      <c r="F125" s="362">
        <f t="shared" si="13"/>
        <v>0.29436361481037365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1538.4168117264617</v>
      </c>
      <c r="D126" s="378">
        <f>LN_IA7-LN_ID7</f>
        <v>3253.5985380278207</v>
      </c>
      <c r="E126" s="378">
        <f t="shared" si="12"/>
        <v>1715.181726301359</v>
      </c>
      <c r="F126" s="362">
        <f t="shared" si="13"/>
        <v>1.1149005349054435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3632258.398541485</v>
      </c>
      <c r="D127" s="391">
        <f>LN_ID9*LN_ID6</f>
        <v>10298832.142082095</v>
      </c>
      <c r="E127" s="391">
        <f t="shared" si="12"/>
        <v>6666573.7435406102</v>
      </c>
      <c r="F127" s="362">
        <f t="shared" si="13"/>
        <v>1.8353798138969242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11440</v>
      </c>
      <c r="D128" s="369">
        <v>12889</v>
      </c>
      <c r="E128" s="369">
        <f t="shared" si="12"/>
        <v>1449</v>
      </c>
      <c r="F128" s="362">
        <f t="shared" si="13"/>
        <v>0.12666083916083917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1239.4643356643357</v>
      </c>
      <c r="D129" s="378">
        <f>IF(LN_ID11=0,0,LN_1D2/LN_ID11)</f>
        <v>1121.2156877957948</v>
      </c>
      <c r="E129" s="378">
        <f t="shared" si="12"/>
        <v>-118.24864786854096</v>
      </c>
      <c r="F129" s="362">
        <f t="shared" si="13"/>
        <v>-9.5403025699131005E-2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4.195086175284195</v>
      </c>
      <c r="D130" s="379">
        <f>IF(LN_ID4=0,0,LN_ID11/LN_ID4)</f>
        <v>4.199739328771587</v>
      </c>
      <c r="E130" s="379">
        <f t="shared" si="12"/>
        <v>4.6531534873919256E-3</v>
      </c>
      <c r="F130" s="362">
        <f t="shared" si="13"/>
        <v>1.1091913951151906E-3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52199740</v>
      </c>
      <c r="D133" s="361">
        <v>66075838</v>
      </c>
      <c r="E133" s="361">
        <f t="shared" ref="E133:E141" si="14">D133-C133</f>
        <v>13876098</v>
      </c>
      <c r="F133" s="362">
        <f t="shared" ref="F133:F141" si="15">IF(C133=0,0,E133/C133)</f>
        <v>0.26582695622621877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13407997</v>
      </c>
      <c r="D134" s="361">
        <v>16175876</v>
      </c>
      <c r="E134" s="361">
        <f t="shared" si="14"/>
        <v>2767879</v>
      </c>
      <c r="F134" s="362">
        <f t="shared" si="15"/>
        <v>0.20643493580733946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0.25685945945324634</v>
      </c>
      <c r="D135" s="366">
        <f>IF(LN_ID14=0,0,LN_ID15/LN_ID14)</f>
        <v>0.24480773138283921</v>
      </c>
      <c r="E135" s="367">
        <f t="shared" si="14"/>
        <v>-1.2051728070407136E-2</v>
      </c>
      <c r="F135" s="362">
        <f t="shared" si="15"/>
        <v>-4.6919541511379677E-2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1.126808071854275</v>
      </c>
      <c r="D136" s="366">
        <f>IF(LN_ID1=0,0,LN_ID14/LN_ID1)</f>
        <v>1.1035402206875418</v>
      </c>
      <c r="E136" s="367">
        <f t="shared" si="14"/>
        <v>-2.3267851166733244E-2</v>
      </c>
      <c r="F136" s="362">
        <f t="shared" si="15"/>
        <v>-2.0649347256133582E-2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3072.8056119466078</v>
      </c>
      <c r="D137" s="376">
        <f>LN_ID17*LN_ID4</f>
        <v>3386.7649372900655</v>
      </c>
      <c r="E137" s="376">
        <f t="shared" si="14"/>
        <v>313.95932534345775</v>
      </c>
      <c r="F137" s="362">
        <f t="shared" si="15"/>
        <v>0.10217350688336123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4363.4380736196645</v>
      </c>
      <c r="D138" s="378">
        <f>IF(LN_ID18=0,0,LN_ID15/LN_ID18)</f>
        <v>4776.202747907033</v>
      </c>
      <c r="E138" s="378">
        <f t="shared" si="14"/>
        <v>412.76467428736851</v>
      </c>
      <c r="F138" s="362">
        <f t="shared" si="15"/>
        <v>9.4596203113972918E-2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8633.885436429875</v>
      </c>
      <c r="D139" s="378">
        <f>LN_IB18-LN_ID19</f>
        <v>8580.6087455335673</v>
      </c>
      <c r="E139" s="378">
        <f t="shared" si="14"/>
        <v>-53.276690896307628</v>
      </c>
      <c r="F139" s="362">
        <f t="shared" si="15"/>
        <v>-6.1706506634326645E-3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5808.4940467227889</v>
      </c>
      <c r="D140" s="378">
        <f>LN_IA16-LN_ID19</f>
        <v>5631.96569017209</v>
      </c>
      <c r="E140" s="378">
        <f t="shared" si="14"/>
        <v>-176.52835655069885</v>
      </c>
      <c r="F140" s="362">
        <f t="shared" si="15"/>
        <v>-3.0391415594253374E-2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17848373.103728246</v>
      </c>
      <c r="D141" s="353">
        <f>LN_ID21*LN_ID18</f>
        <v>19074143.92749548</v>
      </c>
      <c r="E141" s="353">
        <f t="shared" si="14"/>
        <v>1225770.8237672336</v>
      </c>
      <c r="F141" s="362">
        <f t="shared" si="15"/>
        <v>6.8676893778693432E-2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98525056</v>
      </c>
      <c r="D144" s="361">
        <f>LN_ID1+LN_ID14</f>
        <v>125952077</v>
      </c>
      <c r="E144" s="361">
        <f>D144-C144</f>
        <v>27427021</v>
      </c>
      <c r="F144" s="362">
        <f>IF(C144=0,0,E144/C144)</f>
        <v>0.27837610160810261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27587469</v>
      </c>
      <c r="D145" s="361">
        <f>LN_1D2+LN_ID15</f>
        <v>30627225</v>
      </c>
      <c r="E145" s="361">
        <f>D145-C145</f>
        <v>3039756</v>
      </c>
      <c r="F145" s="362">
        <f>IF(C145=0,0,E145/C145)</f>
        <v>0.11018611384755883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70937587</v>
      </c>
      <c r="D146" s="361">
        <f>LN_ID23-LN_ID24</f>
        <v>95324852</v>
      </c>
      <c r="E146" s="361">
        <f>D146-C146</f>
        <v>24387265</v>
      </c>
      <c r="F146" s="362">
        <f>IF(C146=0,0,E146/C146)</f>
        <v>0.34378481185157878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21480631.50226973</v>
      </c>
      <c r="D148" s="361">
        <f>LN_ID10+LN_ID22</f>
        <v>29372976.069577575</v>
      </c>
      <c r="E148" s="361">
        <f>D148-C148</f>
        <v>7892344.5673078448</v>
      </c>
      <c r="F148" s="415">
        <f>IF(C148=0,0,E148/C148)</f>
        <v>0.36741678504535158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5792020</v>
      </c>
      <c r="D153" s="361">
        <v>1572425</v>
      </c>
      <c r="E153" s="361">
        <f t="shared" ref="E153:E165" si="16">D153-C153</f>
        <v>-4219595</v>
      </c>
      <c r="F153" s="362">
        <f t="shared" ref="F153:F165" si="17">IF(C153=0,0,E153/C153)</f>
        <v>-0.72851872058452838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535705</v>
      </c>
      <c r="D154" s="361">
        <v>286024</v>
      </c>
      <c r="E154" s="361">
        <f t="shared" si="16"/>
        <v>-249681</v>
      </c>
      <c r="F154" s="362">
        <f t="shared" si="17"/>
        <v>-0.4660792787074976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9.2490184771461426E-2</v>
      </c>
      <c r="D155" s="366">
        <f>IF(LN_IE1=0,0,LN_IE2/LN_IE1)</f>
        <v>0.18189993163425919</v>
      </c>
      <c r="E155" s="367">
        <f t="shared" si="16"/>
        <v>8.9409746862797762E-2</v>
      </c>
      <c r="F155" s="362">
        <f t="shared" si="17"/>
        <v>0.9666944344821532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290</v>
      </c>
      <c r="D156" s="419">
        <v>97</v>
      </c>
      <c r="E156" s="419">
        <f t="shared" si="16"/>
        <v>-193</v>
      </c>
      <c r="F156" s="362">
        <f t="shared" si="17"/>
        <v>-0.66551724137931034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1.0477000000000001</v>
      </c>
      <c r="D157" s="372">
        <v>0.91510000000000002</v>
      </c>
      <c r="E157" s="373">
        <f t="shared" si="16"/>
        <v>-0.13260000000000005</v>
      </c>
      <c r="F157" s="362">
        <f t="shared" si="17"/>
        <v>-0.12656294740860938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303.83300000000003</v>
      </c>
      <c r="D158" s="376">
        <f>LN_IE4*LN_IE5</f>
        <v>88.764700000000005</v>
      </c>
      <c r="E158" s="376">
        <f t="shared" si="16"/>
        <v>-215.06830000000002</v>
      </c>
      <c r="F158" s="362">
        <f t="shared" si="17"/>
        <v>-0.70785036516770727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1763.1560758706262</v>
      </c>
      <c r="D159" s="378">
        <f>IF(LN_IE6=0,0,LN_IE2/LN_IE6)</f>
        <v>3222.2719166515517</v>
      </c>
      <c r="E159" s="378">
        <f t="shared" si="16"/>
        <v>1459.1158407809255</v>
      </c>
      <c r="F159" s="362">
        <f t="shared" si="17"/>
        <v>0.82755909176130704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9737.7317922353523</v>
      </c>
      <c r="D160" s="378">
        <f>LN_IB7-LN_IE7</f>
        <v>8456.0702115704735</v>
      </c>
      <c r="E160" s="378">
        <f t="shared" si="16"/>
        <v>-1281.6615806648788</v>
      </c>
      <c r="F160" s="362">
        <f t="shared" si="17"/>
        <v>-0.13161808191172886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5780.8736941640636</v>
      </c>
      <c r="D161" s="378">
        <f>LN_IA7-LN_IE7</f>
        <v>4596.7848529757302</v>
      </c>
      <c r="E161" s="378">
        <f t="shared" si="16"/>
        <v>-1184.0888411883334</v>
      </c>
      <c r="F161" s="362">
        <f t="shared" si="17"/>
        <v>-0.204828699575931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1756420.1971189501</v>
      </c>
      <c r="D162" s="391">
        <f>LN_IE9*LN_IE6</f>
        <v>408032.22843893484</v>
      </c>
      <c r="E162" s="391">
        <f t="shared" si="16"/>
        <v>-1348387.9686800153</v>
      </c>
      <c r="F162" s="362">
        <f t="shared" si="17"/>
        <v>-0.76769099495198889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1257</v>
      </c>
      <c r="D163" s="369">
        <v>537</v>
      </c>
      <c r="E163" s="419">
        <f t="shared" si="16"/>
        <v>-720</v>
      </c>
      <c r="F163" s="362">
        <f t="shared" si="17"/>
        <v>-0.57279236276849643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426.17740652346856</v>
      </c>
      <c r="D164" s="378">
        <f>IF(LN_IE11=0,0,LN_IE2/LN_IE11)</f>
        <v>532.63314711359408</v>
      </c>
      <c r="E164" s="378">
        <f t="shared" si="16"/>
        <v>106.45574059012552</v>
      </c>
      <c r="F164" s="362">
        <f t="shared" si="17"/>
        <v>0.24979207945004764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4.3344827586206893</v>
      </c>
      <c r="D165" s="379">
        <f>IF(LN_IE4=0,0,LN_IE11/LN_IE4)</f>
        <v>5.536082474226804</v>
      </c>
      <c r="E165" s="379">
        <f t="shared" si="16"/>
        <v>1.2015997156061147</v>
      </c>
      <c r="F165" s="362">
        <f t="shared" si="17"/>
        <v>0.27721870924882519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7883776</v>
      </c>
      <c r="D168" s="424">
        <v>1132327</v>
      </c>
      <c r="E168" s="424">
        <f t="shared" ref="E168:E176" si="18">D168-C168</f>
        <v>-6751449</v>
      </c>
      <c r="F168" s="362">
        <f t="shared" ref="F168:F176" si="19">IF(C168=0,0,E168/C168)</f>
        <v>-0.8563725047489934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995364</v>
      </c>
      <c r="D169" s="424">
        <v>284556</v>
      </c>
      <c r="E169" s="424">
        <f t="shared" si="18"/>
        <v>-710808</v>
      </c>
      <c r="F169" s="362">
        <f t="shared" si="19"/>
        <v>-0.71411865408031638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0.12625472869853227</v>
      </c>
      <c r="D170" s="366">
        <f>IF(LN_IE14=0,0,LN_IE15/LN_IE14)</f>
        <v>0.25130196489176715</v>
      </c>
      <c r="E170" s="367">
        <f t="shared" si="18"/>
        <v>0.12504723619323488</v>
      </c>
      <c r="F170" s="362">
        <f t="shared" si="19"/>
        <v>0.99043606114602956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1.3611444711862182</v>
      </c>
      <c r="D171" s="366">
        <f>IF(LN_IE1=0,0,LN_IE14/LN_IE1)</f>
        <v>0.72011510882871999</v>
      </c>
      <c r="E171" s="367">
        <f t="shared" si="18"/>
        <v>-0.64102936235749819</v>
      </c>
      <c r="F171" s="362">
        <f t="shared" si="19"/>
        <v>-0.47094880516162269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394.73189664400326</v>
      </c>
      <c r="D172" s="376">
        <f>LN_IE17*LN_IE4</f>
        <v>69.851165556385837</v>
      </c>
      <c r="E172" s="376">
        <f t="shared" si="18"/>
        <v>-324.88073108761739</v>
      </c>
      <c r="F172" s="362">
        <f t="shared" si="19"/>
        <v>-0.8230414968988875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2521.6203921257688</v>
      </c>
      <c r="D173" s="378">
        <f>IF(LN_IE18=0,0,LN_IE15/LN_IE18)</f>
        <v>4073.7473417003807</v>
      </c>
      <c r="E173" s="378">
        <f t="shared" si="18"/>
        <v>1552.1269495746119</v>
      </c>
      <c r="F173" s="362">
        <f t="shared" si="19"/>
        <v>0.61552760059421252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10475.703117923771</v>
      </c>
      <c r="D174" s="378">
        <f>LN_IB18-LN_IE19</f>
        <v>9283.06415174022</v>
      </c>
      <c r="E174" s="378">
        <f t="shared" si="18"/>
        <v>-1192.638966183551</v>
      </c>
      <c r="F174" s="362">
        <f t="shared" si="19"/>
        <v>-0.11384810668631527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7650.3117282166841</v>
      </c>
      <c r="D175" s="378">
        <f>LN_IA16-LN_IE19</f>
        <v>6334.4210963787427</v>
      </c>
      <c r="E175" s="378">
        <f t="shared" si="18"/>
        <v>-1315.8906318379413</v>
      </c>
      <c r="F175" s="362">
        <f t="shared" si="19"/>
        <v>-0.17200483831064492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3019822.0583968339</v>
      </c>
      <c r="D176" s="353">
        <f>LN_IE21*LN_IE18</f>
        <v>442466.69670701463</v>
      </c>
      <c r="E176" s="353">
        <f t="shared" si="18"/>
        <v>-2577355.3616898195</v>
      </c>
      <c r="F176" s="362">
        <f t="shared" si="19"/>
        <v>-0.85347921561248818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13675796</v>
      </c>
      <c r="D179" s="361">
        <f>LN_IE1+LN_IE14</f>
        <v>2704752</v>
      </c>
      <c r="E179" s="361">
        <f>D179-C179</f>
        <v>-10971044</v>
      </c>
      <c r="F179" s="362">
        <f>IF(C179=0,0,E179/C179)</f>
        <v>-0.80222343182071454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1531069</v>
      </c>
      <c r="D180" s="361">
        <f>LN_IE15+LN_IE2</f>
        <v>570580</v>
      </c>
      <c r="E180" s="361">
        <f>D180-C180</f>
        <v>-960489</v>
      </c>
      <c r="F180" s="362">
        <f>IF(C180=0,0,E180/C180)</f>
        <v>-0.62733227568450545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12144727</v>
      </c>
      <c r="D181" s="361">
        <f>LN_IE23-LN_IE24</f>
        <v>2134172</v>
      </c>
      <c r="E181" s="361">
        <f>D181-C181</f>
        <v>-10010555</v>
      </c>
      <c r="F181" s="362">
        <f>IF(C181=0,0,E181/C181)</f>
        <v>-0.82427171891142548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4776242.255515784</v>
      </c>
      <c r="D183" s="361">
        <f>LN_IE10+LN_IE22</f>
        <v>850498.92514594947</v>
      </c>
      <c r="E183" s="353">
        <f>D183-C183</f>
        <v>-3925743.3303698348</v>
      </c>
      <c r="F183" s="362">
        <f>IF(C183=0,0,E183/C183)</f>
        <v>-0.82193136787319343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52117336</v>
      </c>
      <c r="D188" s="361">
        <f>LN_ID1+LN_IE1</f>
        <v>61448664</v>
      </c>
      <c r="E188" s="361">
        <f t="shared" ref="E188:E200" si="20">D188-C188</f>
        <v>9331328</v>
      </c>
      <c r="F188" s="362">
        <f t="shared" ref="F188:F200" si="21">IF(C188=0,0,E188/C188)</f>
        <v>0.17904460811274006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14715177</v>
      </c>
      <c r="D189" s="361">
        <f>LN_1D2+LN_IE2</f>
        <v>14737373</v>
      </c>
      <c r="E189" s="361">
        <f t="shared" si="20"/>
        <v>22196</v>
      </c>
      <c r="F189" s="362">
        <f t="shared" si="21"/>
        <v>1.5083746529178685E-3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0.28234706777798468</v>
      </c>
      <c r="D190" s="366">
        <f>IF(LN_IF1=0,0,LN_IF2/LN_IF1)</f>
        <v>0.23983227690678516</v>
      </c>
      <c r="E190" s="367">
        <f t="shared" si="20"/>
        <v>-4.2514790871199526E-2</v>
      </c>
      <c r="F190" s="362">
        <f t="shared" si="21"/>
        <v>-0.15057634990078869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3017</v>
      </c>
      <c r="D191" s="369">
        <f>LN_ID4+LN_IE4</f>
        <v>3166</v>
      </c>
      <c r="E191" s="369">
        <f t="shared" si="20"/>
        <v>149</v>
      </c>
      <c r="F191" s="362">
        <f t="shared" si="21"/>
        <v>4.938680808750414E-2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0.88328458733841564</v>
      </c>
      <c r="D192" s="372">
        <f>IF((LN_ID4+LN_IE4)=0,0,(LN_ID6+LN_IE6)/(LN_ID4+LN_IE4))</f>
        <v>1.0278367972204676</v>
      </c>
      <c r="E192" s="373">
        <f t="shared" si="20"/>
        <v>0.14455220988205197</v>
      </c>
      <c r="F192" s="362">
        <f t="shared" si="21"/>
        <v>0.16365304224047242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2664.8696</v>
      </c>
      <c r="D193" s="376">
        <f>LN_IF4*LN_IF5</f>
        <v>3254.1313000000005</v>
      </c>
      <c r="E193" s="376">
        <f t="shared" si="20"/>
        <v>589.26170000000047</v>
      </c>
      <c r="F193" s="362">
        <f t="shared" si="21"/>
        <v>0.22112215171804298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5521.9125918956788</v>
      </c>
      <c r="D194" s="378">
        <f>IF(LN_IF6=0,0,LN_IF2/LN_IF6)</f>
        <v>4528.8194118043111</v>
      </c>
      <c r="E194" s="378">
        <f t="shared" si="20"/>
        <v>-993.09318009136769</v>
      </c>
      <c r="F194" s="362">
        <f t="shared" si="21"/>
        <v>-0.17984587107534017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5978.9752762102989</v>
      </c>
      <c r="D195" s="378">
        <f>LN_IB7-LN_IF7</f>
        <v>7149.5227164177149</v>
      </c>
      <c r="E195" s="378">
        <f t="shared" si="20"/>
        <v>1170.547440207416</v>
      </c>
      <c r="F195" s="362">
        <f t="shared" si="21"/>
        <v>0.19577726719575153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2022.1171781390112</v>
      </c>
      <c r="D196" s="378">
        <f>LN_IA7-LN_IF7</f>
        <v>3290.2373578229708</v>
      </c>
      <c r="E196" s="378">
        <f t="shared" si="20"/>
        <v>1268.1201796839596</v>
      </c>
      <c r="F196" s="362">
        <f t="shared" si="21"/>
        <v>0.62712497247614107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5388678.595660435</v>
      </c>
      <c r="D197" s="391">
        <f>LN_IF9*LN_IF6</f>
        <v>10706864.370521031</v>
      </c>
      <c r="E197" s="391">
        <f t="shared" si="20"/>
        <v>5318185.7748605963</v>
      </c>
      <c r="F197" s="362">
        <f t="shared" si="21"/>
        <v>0.98691834750422724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12697</v>
      </c>
      <c r="D198" s="369">
        <f>LN_ID11+LN_IE11</f>
        <v>13426</v>
      </c>
      <c r="E198" s="369">
        <f t="shared" si="20"/>
        <v>729</v>
      </c>
      <c r="F198" s="362">
        <f t="shared" si="21"/>
        <v>5.7415137434039538E-2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1158.9491218398048</v>
      </c>
      <c r="D199" s="432">
        <f>IF(LN_IF11=0,0,LN_IF2/LN_IF11)</f>
        <v>1097.6741397288843</v>
      </c>
      <c r="E199" s="432">
        <f t="shared" si="20"/>
        <v>-61.274982110920519</v>
      </c>
      <c r="F199" s="362">
        <f t="shared" si="21"/>
        <v>-5.2871157979435639E-2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4.2084852502485912</v>
      </c>
      <c r="D200" s="379">
        <f>IF(LN_IF4=0,0,LN_IF11/LN_IF4)</f>
        <v>4.2406822488945037</v>
      </c>
      <c r="E200" s="379">
        <f t="shared" si="20"/>
        <v>3.2196998645912522E-2</v>
      </c>
      <c r="F200" s="362">
        <f t="shared" si="21"/>
        <v>7.6504957796895397E-3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60083516</v>
      </c>
      <c r="D203" s="361">
        <f>LN_ID14+LN_IE14</f>
        <v>67208165</v>
      </c>
      <c r="E203" s="361">
        <f t="shared" ref="E203:E211" si="22">D203-C203</f>
        <v>7124649</v>
      </c>
      <c r="F203" s="362">
        <f t="shared" ref="F203:F211" si="23">IF(C203=0,0,E203/C203)</f>
        <v>0.118579095803914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14403361</v>
      </c>
      <c r="D204" s="361">
        <f>LN_ID15+LN_IE15</f>
        <v>16460432</v>
      </c>
      <c r="E204" s="361">
        <f t="shared" si="22"/>
        <v>2057071</v>
      </c>
      <c r="F204" s="362">
        <f t="shared" si="23"/>
        <v>0.14281881846882821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0.23972233915205629</v>
      </c>
      <c r="D205" s="366">
        <f>IF(LN_IF14=0,0,LN_IF15/LN_IF14)</f>
        <v>0.24491714659967281</v>
      </c>
      <c r="E205" s="367">
        <f t="shared" si="22"/>
        <v>5.1948074476165229E-3</v>
      </c>
      <c r="F205" s="362">
        <f t="shared" si="23"/>
        <v>2.1670101610019112E-2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1.1528508671279745</v>
      </c>
      <c r="D206" s="366">
        <f>IF(LN_IF1=0,0,LN_IF14/LN_IF1)</f>
        <v>1.0937286610494901</v>
      </c>
      <c r="E206" s="367">
        <f t="shared" si="22"/>
        <v>-5.9122206078484396E-2</v>
      </c>
      <c r="F206" s="362">
        <f t="shared" si="23"/>
        <v>-5.12834814669237E-2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3467.5375085906112</v>
      </c>
      <c r="D207" s="376">
        <f>LN_ID18+LN_IE18</f>
        <v>3456.6161028464512</v>
      </c>
      <c r="E207" s="376">
        <f t="shared" si="22"/>
        <v>-10.921405744159983</v>
      </c>
      <c r="F207" s="362">
        <f t="shared" si="23"/>
        <v>-3.1496143061474813E-3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4153.7722272121237</v>
      </c>
      <c r="D208" s="378">
        <f>IF(LN_IF18=0,0,LN_IF15/LN_IF18)</f>
        <v>4762.007556015601</v>
      </c>
      <c r="E208" s="378">
        <f t="shared" si="22"/>
        <v>608.23532880347739</v>
      </c>
      <c r="F208" s="362">
        <f t="shared" si="23"/>
        <v>0.14642962963130626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8843.5512828374158</v>
      </c>
      <c r="D209" s="378">
        <f>LN_IB18-LN_IF19</f>
        <v>8594.8039374250002</v>
      </c>
      <c r="E209" s="378">
        <f t="shared" si="22"/>
        <v>-248.7473454124156</v>
      </c>
      <c r="F209" s="362">
        <f t="shared" si="23"/>
        <v>-2.8127540334973448E-2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6018.1598931303297</v>
      </c>
      <c r="D210" s="378">
        <f>LN_IA16-LN_IF19</f>
        <v>5646.160882063522</v>
      </c>
      <c r="E210" s="378">
        <f t="shared" si="22"/>
        <v>-371.99901106680773</v>
      </c>
      <c r="F210" s="362">
        <f t="shared" si="23"/>
        <v>-6.1812749689725083E-2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20868195.162125081</v>
      </c>
      <c r="D211" s="353">
        <f>LN_IF21*LN_IF18</f>
        <v>19516610.624202494</v>
      </c>
      <c r="E211" s="353">
        <f t="shared" si="22"/>
        <v>-1351584.5379225872</v>
      </c>
      <c r="F211" s="362">
        <f t="shared" si="23"/>
        <v>-6.4767677675147378E-2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112200852</v>
      </c>
      <c r="D214" s="361">
        <f>LN_IF1+LN_IF14</f>
        <v>128656829</v>
      </c>
      <c r="E214" s="361">
        <f>D214-C214</f>
        <v>16455977</v>
      </c>
      <c r="F214" s="362">
        <f>IF(C214=0,0,E214/C214)</f>
        <v>0.14666534796010283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29118538</v>
      </c>
      <c r="D215" s="361">
        <f>LN_IF2+LN_IF15</f>
        <v>31197805</v>
      </c>
      <c r="E215" s="361">
        <f>D215-C215</f>
        <v>2079267</v>
      </c>
      <c r="F215" s="362">
        <f>IF(C215=0,0,E215/C215)</f>
        <v>7.1406984787491731E-2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83082314</v>
      </c>
      <c r="D216" s="361">
        <f>LN_IF23-LN_IF24</f>
        <v>97459024</v>
      </c>
      <c r="E216" s="361">
        <f>D216-C216</f>
        <v>14376710</v>
      </c>
      <c r="F216" s="362">
        <f>IF(C216=0,0,E216/C216)</f>
        <v>0.17304176193262985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1250805</v>
      </c>
      <c r="D221" s="361">
        <v>632468</v>
      </c>
      <c r="E221" s="361">
        <f t="shared" ref="E221:E230" si="24">D221-C221</f>
        <v>-618337</v>
      </c>
      <c r="F221" s="362">
        <f t="shared" ref="F221:F230" si="25">IF(C221=0,0,E221/C221)</f>
        <v>-0.49435123780285495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436158</v>
      </c>
      <c r="D222" s="361">
        <v>199476</v>
      </c>
      <c r="E222" s="361">
        <f t="shared" si="24"/>
        <v>-236682</v>
      </c>
      <c r="F222" s="362">
        <f t="shared" si="25"/>
        <v>-0.54265197474309768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0.34870183601760468</v>
      </c>
      <c r="D223" s="366">
        <f>IF(LN_IG1=0,0,LN_IG2/LN_IG1)</f>
        <v>0.31539303174231742</v>
      </c>
      <c r="E223" s="367">
        <f t="shared" si="24"/>
        <v>-3.3308804275287263E-2</v>
      </c>
      <c r="F223" s="362">
        <f t="shared" si="25"/>
        <v>-9.55223082725771E-2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29</v>
      </c>
      <c r="D224" s="369">
        <v>34</v>
      </c>
      <c r="E224" s="369">
        <f t="shared" si="24"/>
        <v>5</v>
      </c>
      <c r="F224" s="362">
        <f t="shared" si="25"/>
        <v>0.17241379310344829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0.90859999999999996</v>
      </c>
      <c r="D225" s="372">
        <v>0.90149999999999997</v>
      </c>
      <c r="E225" s="373">
        <f t="shared" si="24"/>
        <v>-7.0999999999999952E-3</v>
      </c>
      <c r="F225" s="362">
        <f t="shared" si="25"/>
        <v>-7.8142196786264526E-3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26.349399999999999</v>
      </c>
      <c r="D226" s="376">
        <f>LN_IG3*LN_IG4</f>
        <v>30.651</v>
      </c>
      <c r="E226" s="376">
        <f t="shared" si="24"/>
        <v>4.3016000000000005</v>
      </c>
      <c r="F226" s="362">
        <f t="shared" si="25"/>
        <v>0.16325229416988624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16552.862683780277</v>
      </c>
      <c r="D227" s="378">
        <f>IF(LN_IG5=0,0,LN_IG2/LN_IG5)</f>
        <v>6507.9769012430261</v>
      </c>
      <c r="E227" s="378">
        <f t="shared" si="24"/>
        <v>-10044.885782537251</v>
      </c>
      <c r="F227" s="362">
        <f t="shared" si="25"/>
        <v>-0.60683677345912956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226</v>
      </c>
      <c r="D228" s="369">
        <v>97</v>
      </c>
      <c r="E228" s="369">
        <f t="shared" si="24"/>
        <v>-129</v>
      </c>
      <c r="F228" s="362">
        <f t="shared" si="25"/>
        <v>-0.57079646017699115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1929.9026548672566</v>
      </c>
      <c r="D229" s="378">
        <f>IF(LN_IG6=0,0,LN_IG2/LN_IG6)</f>
        <v>2056.4536082474228</v>
      </c>
      <c r="E229" s="378">
        <f t="shared" si="24"/>
        <v>126.55095338016622</v>
      </c>
      <c r="F229" s="362">
        <f t="shared" si="25"/>
        <v>6.5573749567628167E-2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7.7931034482758621</v>
      </c>
      <c r="D230" s="379">
        <f>IF(LN_IG3=0,0,LN_IG6/LN_IG3)</f>
        <v>2.8529411764705883</v>
      </c>
      <c r="E230" s="379">
        <f t="shared" si="24"/>
        <v>-4.9401622718052742</v>
      </c>
      <c r="F230" s="362">
        <f t="shared" si="25"/>
        <v>-0.63391462779802188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805622</v>
      </c>
      <c r="D233" s="361">
        <v>696661</v>
      </c>
      <c r="E233" s="361">
        <f>D233-C233</f>
        <v>-108961</v>
      </c>
      <c r="F233" s="362">
        <f>IF(C233=0,0,E233/C233)</f>
        <v>-0.13525077517744052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170926</v>
      </c>
      <c r="D234" s="361">
        <v>162850</v>
      </c>
      <c r="E234" s="361">
        <f>D234-C234</f>
        <v>-8076</v>
      </c>
      <c r="F234" s="362">
        <f>IF(C234=0,0,E234/C234)</f>
        <v>-4.7248516902051181E-2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2056427</v>
      </c>
      <c r="D237" s="361">
        <f>LN_IG1+LN_IG9</f>
        <v>1329129</v>
      </c>
      <c r="E237" s="361">
        <f>D237-C237</f>
        <v>-727298</v>
      </c>
      <c r="F237" s="362">
        <f>IF(C237=0,0,E237/C237)</f>
        <v>-0.35367071138435741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607084</v>
      </c>
      <c r="D238" s="361">
        <f>LN_IG2+LN_IG10</f>
        <v>362326</v>
      </c>
      <c r="E238" s="361">
        <f>D238-C238</f>
        <v>-244758</v>
      </c>
      <c r="F238" s="362">
        <f>IF(C238=0,0,E238/C238)</f>
        <v>-0.40316990729454244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1449343</v>
      </c>
      <c r="D239" s="361">
        <f>LN_IG13-LN_IG14</f>
        <v>966803</v>
      </c>
      <c r="E239" s="361">
        <f>D239-C239</f>
        <v>-482540</v>
      </c>
      <c r="F239" s="362">
        <f>IF(C239=0,0,E239/C239)</f>
        <v>-0.33293706182732452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7515933</v>
      </c>
      <c r="D243" s="361">
        <v>11802461</v>
      </c>
      <c r="E243" s="353">
        <f>D243-C243</f>
        <v>4286528</v>
      </c>
      <c r="F243" s="415">
        <f>IF(C243=0,0,E243/C243)</f>
        <v>0.57032546724405342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460314702</v>
      </c>
      <c r="D244" s="361">
        <v>495471968</v>
      </c>
      <c r="E244" s="353">
        <f>D244-C244</f>
        <v>35157266</v>
      </c>
      <c r="F244" s="415">
        <f>IF(C244=0,0,E244/C244)</f>
        <v>7.6376587250519754E-2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2277658</v>
      </c>
      <c r="D245" s="400">
        <v>0</v>
      </c>
      <c r="E245" s="400">
        <f>D245-C245</f>
        <v>-2277658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12767832</v>
      </c>
      <c r="D248" s="353">
        <v>11359623</v>
      </c>
      <c r="E248" s="353">
        <f>D248-C248</f>
        <v>-1408209</v>
      </c>
      <c r="F248" s="362">
        <f>IF(C248=0,0,E248/C248)</f>
        <v>-0.11029350950106487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10687109</v>
      </c>
      <c r="D249" s="353">
        <v>18183085</v>
      </c>
      <c r="E249" s="353">
        <f>D249-C249</f>
        <v>7495976</v>
      </c>
      <c r="F249" s="362">
        <f>IF(C249=0,0,E249/C249)</f>
        <v>0.7014035320496872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23454941</v>
      </c>
      <c r="D250" s="353">
        <f>LN_IH4+LN_IH5</f>
        <v>29542708</v>
      </c>
      <c r="E250" s="353">
        <f>D250-C250</f>
        <v>6087767</v>
      </c>
      <c r="F250" s="362">
        <f>IF(C250=0,0,E250/C250)</f>
        <v>0.25955158019796343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10460001.004513038</v>
      </c>
      <c r="D251" s="353">
        <f>LN_IH6*LN_III10</f>
        <v>12756104.555670219</v>
      </c>
      <c r="E251" s="353">
        <f>D251-C251</f>
        <v>2296103.5511571802</v>
      </c>
      <c r="F251" s="362">
        <f>IF(C251=0,0,E251/C251)</f>
        <v>0.21951274671642104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112200852</v>
      </c>
      <c r="D254" s="353">
        <f>LN_IF23</f>
        <v>128656829</v>
      </c>
      <c r="E254" s="353">
        <f>D254-C254</f>
        <v>16455977</v>
      </c>
      <c r="F254" s="362">
        <f>IF(C254=0,0,E254/C254)</f>
        <v>0.14666534796010283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29118538</v>
      </c>
      <c r="D255" s="353">
        <f>LN_IF24</f>
        <v>31197805</v>
      </c>
      <c r="E255" s="353">
        <f>D255-C255</f>
        <v>2079267</v>
      </c>
      <c r="F255" s="362">
        <f>IF(C255=0,0,E255/C255)</f>
        <v>7.1406984787491731E-2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50037261.855709575</v>
      </c>
      <c r="D256" s="353">
        <f>LN_IH8*LN_III10</f>
        <v>55552116.702537365</v>
      </c>
      <c r="E256" s="353">
        <f>D256-C256</f>
        <v>5514854.8468277901</v>
      </c>
      <c r="F256" s="362">
        <f>IF(C256=0,0,E256/C256)</f>
        <v>0.1102149606573348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20918723.855709575</v>
      </c>
      <c r="D257" s="353">
        <f>LN_IH10-LN_IH9</f>
        <v>24354311.702537365</v>
      </c>
      <c r="E257" s="353">
        <f>D257-C257</f>
        <v>3435587.8468277901</v>
      </c>
      <c r="F257" s="362">
        <f>IF(C257=0,0,E257/C257)</f>
        <v>0.16423505900863439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512924104</v>
      </c>
      <c r="D261" s="361">
        <f>LN_IA1+LN_IB1+LN_IF1+LN_IG1</f>
        <v>544326430</v>
      </c>
      <c r="E261" s="361">
        <f t="shared" ref="E261:E274" si="26">D261-C261</f>
        <v>31402326</v>
      </c>
      <c r="F261" s="415">
        <f t="shared" ref="F261:F274" si="27">IF(C261=0,0,E261/C261)</f>
        <v>6.1222168650510528E-2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222766695</v>
      </c>
      <c r="D262" s="361">
        <f>+LN_IA2+LN_IB2+LN_IF2+LN_IG2</f>
        <v>226499289</v>
      </c>
      <c r="E262" s="361">
        <f t="shared" si="26"/>
        <v>3732594</v>
      </c>
      <c r="F262" s="415">
        <f t="shared" si="27"/>
        <v>1.6755619595649161E-2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0.43430732395450067</v>
      </c>
      <c r="D263" s="366">
        <f>IF(LN_IIA1=0,0,LN_IIA2/LN_IIA1)</f>
        <v>0.41610929860598539</v>
      </c>
      <c r="E263" s="367">
        <f t="shared" si="26"/>
        <v>-1.8198025348515279E-2</v>
      </c>
      <c r="F263" s="371">
        <f t="shared" si="27"/>
        <v>-4.1901262872605295E-2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20715</v>
      </c>
      <c r="D264" s="369">
        <f>LN_IA4+LN_IB4+LN_IF4+LN_IG3</f>
        <v>20763</v>
      </c>
      <c r="E264" s="369">
        <f t="shared" si="26"/>
        <v>48</v>
      </c>
      <c r="F264" s="415">
        <f t="shared" si="27"/>
        <v>2.3171614771904415E-3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1.2010797151822352</v>
      </c>
      <c r="D265" s="439">
        <f>IF(LN_IIA4=0,0,LN_IIA6/LN_IIA4)</f>
        <v>1.2321240620334251</v>
      </c>
      <c r="E265" s="439">
        <f t="shared" si="26"/>
        <v>3.1044346851189841E-2</v>
      </c>
      <c r="F265" s="415">
        <f t="shared" si="27"/>
        <v>2.5847032847840245E-2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24880.366300000002</v>
      </c>
      <c r="D266" s="376">
        <f>LN_IA6+LN_IB6+LN_IF6+LN_IG5</f>
        <v>25582.591900000003</v>
      </c>
      <c r="E266" s="376">
        <f t="shared" si="26"/>
        <v>702.22560000000158</v>
      </c>
      <c r="F266" s="415">
        <f t="shared" si="27"/>
        <v>2.8224086073845366E-2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529890812</v>
      </c>
      <c r="D267" s="361">
        <f>LN_IA11+LN_IB13+LN_IF14+LN_IG9</f>
        <v>568826659</v>
      </c>
      <c r="E267" s="361">
        <f t="shared" si="26"/>
        <v>38935847</v>
      </c>
      <c r="F267" s="415">
        <f t="shared" si="27"/>
        <v>7.3479000047277671E-2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1.0330783986708489</v>
      </c>
      <c r="D268" s="366">
        <f>IF(LN_IIA1=0,0,LN_IIA7/LN_IIA1)</f>
        <v>1.0450101770733418</v>
      </c>
      <c r="E268" s="367">
        <f t="shared" si="26"/>
        <v>1.1931778402492821E-2</v>
      </c>
      <c r="F268" s="371">
        <f t="shared" si="27"/>
        <v>1.1549731770448553E-2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241460310</v>
      </c>
      <c r="D269" s="361">
        <f>LN_IA12+LN_IB14+LN_IF15+LN_IG10</f>
        <v>255110560</v>
      </c>
      <c r="E269" s="361">
        <f t="shared" si="26"/>
        <v>13650250</v>
      </c>
      <c r="F269" s="415">
        <f t="shared" si="27"/>
        <v>5.6532065249150054E-2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0.45567936739390003</v>
      </c>
      <c r="D270" s="366">
        <f>IF(LN_IIA7=0,0,LN_IIA9/LN_IIA7)</f>
        <v>0.44848559040549468</v>
      </c>
      <c r="E270" s="367">
        <f t="shared" si="26"/>
        <v>-7.1937769884053426E-3</v>
      </c>
      <c r="F270" s="371">
        <f t="shared" si="27"/>
        <v>-1.5786927175455965E-2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1042814916</v>
      </c>
      <c r="D271" s="353">
        <f>LN_IIA1+LN_IIA7</f>
        <v>1113153089</v>
      </c>
      <c r="E271" s="353">
        <f t="shared" si="26"/>
        <v>70338173</v>
      </c>
      <c r="F271" s="415">
        <f t="shared" si="27"/>
        <v>6.7450294314739159E-2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464227005</v>
      </c>
      <c r="D272" s="353">
        <f>LN_IIA2+LN_IIA9</f>
        <v>481609849</v>
      </c>
      <c r="E272" s="353">
        <f t="shared" si="26"/>
        <v>17382844</v>
      </c>
      <c r="F272" s="415">
        <f t="shared" si="27"/>
        <v>3.744470660426142E-2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0.44516720836777907</v>
      </c>
      <c r="D273" s="366">
        <f>IF(LN_IIA11=0,0,LN_IIA12/LN_IIA11)</f>
        <v>0.4326537416633805</v>
      </c>
      <c r="E273" s="367">
        <f t="shared" si="26"/>
        <v>-1.2513466704398568E-2</v>
      </c>
      <c r="F273" s="371">
        <f t="shared" si="27"/>
        <v>-2.810958774407402E-2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95884</v>
      </c>
      <c r="D274" s="421">
        <f>LN_IA8+LN_IB10+LN_IF11+LN_IG6</f>
        <v>96663</v>
      </c>
      <c r="E274" s="442">
        <f t="shared" si="26"/>
        <v>779</v>
      </c>
      <c r="F274" s="371">
        <f t="shared" si="27"/>
        <v>8.1244003170497688E-3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315825682</v>
      </c>
      <c r="D277" s="361">
        <f>LN_IA1+LN_IF1+LN_IG1</f>
        <v>353945648</v>
      </c>
      <c r="E277" s="361">
        <f t="shared" ref="E277:E291" si="28">D277-C277</f>
        <v>38119966</v>
      </c>
      <c r="F277" s="415">
        <f t="shared" ref="F277:F291" si="29">IF(C277=0,0,E277/C277)</f>
        <v>0.12069938631526489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105865083</v>
      </c>
      <c r="D278" s="361">
        <f>LN_IA2+LN_IF2+LN_IG2</f>
        <v>113886512</v>
      </c>
      <c r="E278" s="361">
        <f t="shared" si="28"/>
        <v>8021429</v>
      </c>
      <c r="F278" s="415">
        <f t="shared" si="29"/>
        <v>7.5770299070185398E-2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0.33520099546559357</v>
      </c>
      <c r="D279" s="366">
        <f>IF(D277=0,0,LN_IIB2/D277)</f>
        <v>0.32176271312707311</v>
      </c>
      <c r="E279" s="367">
        <f t="shared" si="28"/>
        <v>-1.3438282338520458E-2</v>
      </c>
      <c r="F279" s="371">
        <f t="shared" si="29"/>
        <v>-4.0090222046789296E-2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11963</v>
      </c>
      <c r="D280" s="369">
        <f>LN_IA4+LN_IF4+LN_IG3</f>
        <v>12695</v>
      </c>
      <c r="E280" s="369">
        <f t="shared" si="28"/>
        <v>732</v>
      </c>
      <c r="F280" s="415">
        <f t="shared" si="29"/>
        <v>6.1188665050572598E-2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1.2301089609629692</v>
      </c>
      <c r="D281" s="439">
        <f>IF(LN_IIB4=0,0,LN_IIB6/LN_IIB4)</f>
        <v>1.2555902560063017</v>
      </c>
      <c r="E281" s="439">
        <f t="shared" si="28"/>
        <v>2.5481295043332519E-2</v>
      </c>
      <c r="F281" s="415">
        <f t="shared" si="29"/>
        <v>2.071466500283433E-2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14715.7935</v>
      </c>
      <c r="D282" s="376">
        <f>LN_IA6+LN_IF6+LN_IG5</f>
        <v>15939.7183</v>
      </c>
      <c r="E282" s="376">
        <f t="shared" si="28"/>
        <v>1223.9248000000007</v>
      </c>
      <c r="F282" s="415">
        <f t="shared" si="29"/>
        <v>8.3170832751900237E-2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250017864</v>
      </c>
      <c r="D283" s="361">
        <f>LN_IA11+LN_IF14+LN_IG9</f>
        <v>265996923</v>
      </c>
      <c r="E283" s="361">
        <f t="shared" si="28"/>
        <v>15979059</v>
      </c>
      <c r="F283" s="415">
        <f t="shared" si="29"/>
        <v>6.3911669127770812E-2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0.79163246768513273</v>
      </c>
      <c r="D284" s="366">
        <f>IF(D277=0,0,LN_IIB7/D277)</f>
        <v>0.751519123071687</v>
      </c>
      <c r="E284" s="367">
        <f t="shared" si="28"/>
        <v>-4.0113344613445734E-2</v>
      </c>
      <c r="F284" s="371">
        <f t="shared" si="29"/>
        <v>-5.0671676884026677E-2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79935584</v>
      </c>
      <c r="D285" s="361">
        <f>LN_IA12+LN_IF15+LN_IG10</f>
        <v>83697425</v>
      </c>
      <c r="E285" s="361">
        <f t="shared" si="28"/>
        <v>3761841</v>
      </c>
      <c r="F285" s="415">
        <f t="shared" si="29"/>
        <v>4.7060905941464067E-2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0.31971949012411371</v>
      </c>
      <c r="D286" s="366">
        <f>IF(LN_IIB7=0,0,LN_IIB9/LN_IIB7)</f>
        <v>0.3146556135162511</v>
      </c>
      <c r="E286" s="367">
        <f t="shared" si="28"/>
        <v>-5.0638766078626163E-3</v>
      </c>
      <c r="F286" s="371">
        <f t="shared" si="29"/>
        <v>-1.5838498322066137E-2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565843546</v>
      </c>
      <c r="D287" s="353">
        <f>D277+LN_IIB7</f>
        <v>619942571</v>
      </c>
      <c r="E287" s="353">
        <f t="shared" si="28"/>
        <v>54099025</v>
      </c>
      <c r="F287" s="415">
        <f t="shared" si="29"/>
        <v>9.5607744194364283E-2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185800667</v>
      </c>
      <c r="D288" s="353">
        <f>LN_IIB2+LN_IIB9</f>
        <v>197583937</v>
      </c>
      <c r="E288" s="353">
        <f t="shared" si="28"/>
        <v>11783270</v>
      </c>
      <c r="F288" s="415">
        <f t="shared" si="29"/>
        <v>6.3418878899934195E-2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0.32836049525251632</v>
      </c>
      <c r="D289" s="366">
        <f>IF(LN_IIB11=0,0,LN_IIB12/LN_IIB11)</f>
        <v>0.31871329094449297</v>
      </c>
      <c r="E289" s="367">
        <f t="shared" si="28"/>
        <v>-9.6472043080233494E-3</v>
      </c>
      <c r="F289" s="371">
        <f t="shared" si="29"/>
        <v>-2.9379917643882345E-2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62919</v>
      </c>
      <c r="D290" s="421">
        <f>LN_IA8+LN_IF11+LN_IG6</f>
        <v>66272</v>
      </c>
      <c r="E290" s="442">
        <f t="shared" si="28"/>
        <v>3353</v>
      </c>
      <c r="F290" s="371">
        <f t="shared" si="29"/>
        <v>5.3290738886504874E-2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380042879</v>
      </c>
      <c r="D291" s="429">
        <f>LN_IIB11-LN_IIB12</f>
        <v>422358634</v>
      </c>
      <c r="E291" s="353">
        <f t="shared" si="28"/>
        <v>42315755</v>
      </c>
      <c r="F291" s="415">
        <f t="shared" si="29"/>
        <v>0.11134468592424278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5.6068184366939553</v>
      </c>
      <c r="D294" s="379">
        <f>IF(LN_IA4=0,0,LN_IA8/LN_IA4)</f>
        <v>5.5554502369668244</v>
      </c>
      <c r="E294" s="379">
        <f t="shared" ref="E294:E300" si="30">D294-C294</f>
        <v>-5.1368199727130914E-2</v>
      </c>
      <c r="F294" s="415">
        <f t="shared" ref="F294:F300" si="31">IF(C294=0,0,E294/C294)</f>
        <v>-9.1617376783507953E-3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3.7665676416819012</v>
      </c>
      <c r="D295" s="379">
        <f>IF(LN_IB4=0,0,(LN_IB10)/(LN_IB4))</f>
        <v>3.766856717897868</v>
      </c>
      <c r="E295" s="379">
        <f t="shared" si="30"/>
        <v>2.8907621596685473E-4</v>
      </c>
      <c r="F295" s="415">
        <f t="shared" si="31"/>
        <v>7.6747915733108227E-5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3.7583892617449663</v>
      </c>
      <c r="D296" s="379">
        <f>IF(LN_IC4=0,0,LN_IC11/LN_IC4)</f>
        <v>3.870967741935484</v>
      </c>
      <c r="E296" s="379">
        <f t="shared" si="30"/>
        <v>0.11257848019051764</v>
      </c>
      <c r="F296" s="415">
        <f t="shared" si="31"/>
        <v>2.9953917050691302E-2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4.195086175284195</v>
      </c>
      <c r="D297" s="379">
        <f>IF(LN_ID4=0,0,LN_ID11/LN_ID4)</f>
        <v>4.199739328771587</v>
      </c>
      <c r="E297" s="379">
        <f t="shared" si="30"/>
        <v>4.6531534873919256E-3</v>
      </c>
      <c r="F297" s="415">
        <f t="shared" si="31"/>
        <v>1.1091913951151906E-3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4.3344827586206893</v>
      </c>
      <c r="D298" s="379">
        <f>IF(LN_IE4=0,0,LN_IE11/LN_IE4)</f>
        <v>5.536082474226804</v>
      </c>
      <c r="E298" s="379">
        <f t="shared" si="30"/>
        <v>1.2015997156061147</v>
      </c>
      <c r="F298" s="415">
        <f t="shared" si="31"/>
        <v>0.27721870924882519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7.7931034482758621</v>
      </c>
      <c r="D299" s="379">
        <f>IF(LN_IG3=0,0,LN_IG6/LN_IG3)</f>
        <v>2.8529411764705883</v>
      </c>
      <c r="E299" s="379">
        <f t="shared" si="30"/>
        <v>-4.9401622718052742</v>
      </c>
      <c r="F299" s="415">
        <f t="shared" si="31"/>
        <v>-0.63391462779802188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4.6287231474776735</v>
      </c>
      <c r="D300" s="379">
        <f>IF(LN_IIA4=0,0,LN_IIA14/LN_IIA4)</f>
        <v>4.6555411067764778</v>
      </c>
      <c r="E300" s="379">
        <f t="shared" si="30"/>
        <v>2.6817959298804261E-2</v>
      </c>
      <c r="F300" s="415">
        <f t="shared" si="31"/>
        <v>5.793813638091133E-3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1042814916</v>
      </c>
      <c r="D304" s="353">
        <f>LN_IIA11</f>
        <v>1113153089</v>
      </c>
      <c r="E304" s="353">
        <f t="shared" ref="E304:E316" si="32">D304-C304</f>
        <v>70338173</v>
      </c>
      <c r="F304" s="362">
        <f>IF(C304=0,0,E304/C304)</f>
        <v>6.7450294314739159E-2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380042879</v>
      </c>
      <c r="D305" s="353">
        <f>LN_IIB14</f>
        <v>422358634</v>
      </c>
      <c r="E305" s="353">
        <f t="shared" si="32"/>
        <v>42315755</v>
      </c>
      <c r="F305" s="362">
        <f>IF(C305=0,0,E305/C305)</f>
        <v>0.11134468592424278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23454941</v>
      </c>
      <c r="D306" s="353">
        <f>LN_IH6</f>
        <v>29542708</v>
      </c>
      <c r="E306" s="353">
        <f t="shared" si="32"/>
        <v>6087767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163017434</v>
      </c>
      <c r="D307" s="353">
        <f>LN_IB32-LN_IB33</f>
        <v>166071162</v>
      </c>
      <c r="E307" s="353">
        <f t="shared" si="32"/>
        <v>3053728</v>
      </c>
      <c r="F307" s="362">
        <f t="shared" ref="F307:F316" si="33">IF(C307=0,0,E307/C307)</f>
        <v>1.8732524031754787E-2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13522001</v>
      </c>
      <c r="D308" s="353">
        <v>14537538</v>
      </c>
      <c r="E308" s="353">
        <f t="shared" si="32"/>
        <v>1015537</v>
      </c>
      <c r="F308" s="362">
        <f t="shared" si="33"/>
        <v>7.5102568029687317E-2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580037255</v>
      </c>
      <c r="D309" s="353">
        <f>LN_III2+LN_III3+LN_III4+LN_III5</f>
        <v>632510042</v>
      </c>
      <c r="E309" s="353">
        <f t="shared" si="32"/>
        <v>52472787</v>
      </c>
      <c r="F309" s="362">
        <f t="shared" si="33"/>
        <v>9.0464511628653918E-2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462777661</v>
      </c>
      <c r="D310" s="353">
        <f>LN_III1-LN_III6</f>
        <v>480643047</v>
      </c>
      <c r="E310" s="353">
        <f t="shared" si="32"/>
        <v>17865386</v>
      </c>
      <c r="F310" s="362">
        <f t="shared" si="33"/>
        <v>3.8604685371794553E-2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2277658</v>
      </c>
      <c r="D311" s="353">
        <f>LN_IH3</f>
        <v>0</v>
      </c>
      <c r="E311" s="353">
        <f t="shared" si="32"/>
        <v>-2277658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465055319</v>
      </c>
      <c r="D312" s="353">
        <f>LN_III7+LN_III8</f>
        <v>480643047</v>
      </c>
      <c r="E312" s="353">
        <f t="shared" si="32"/>
        <v>15587728</v>
      </c>
      <c r="F312" s="362">
        <f t="shared" si="33"/>
        <v>3.3518008209255643E-2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0.44596151422905039</v>
      </c>
      <c r="D313" s="448">
        <f>IF(LN_III1=0,0,LN_III9/LN_III1)</f>
        <v>0.43178521602251962</v>
      </c>
      <c r="E313" s="448">
        <f t="shared" si="32"/>
        <v>-1.4176298206530769E-2</v>
      </c>
      <c r="F313" s="362">
        <f t="shared" si="33"/>
        <v>-3.1788165019212125E-2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10460001.004513038</v>
      </c>
      <c r="D314" s="353">
        <f>D313*LN_III5</f>
        <v>12756104.555670219</v>
      </c>
      <c r="E314" s="353">
        <f t="shared" si="32"/>
        <v>2296103.5511571802</v>
      </c>
      <c r="F314" s="362">
        <f t="shared" si="33"/>
        <v>0.21951274671642104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20918723.855709575</v>
      </c>
      <c r="D315" s="353">
        <f>D313*LN_IH8-LN_IH9</f>
        <v>24354311.702537365</v>
      </c>
      <c r="E315" s="353">
        <f t="shared" si="32"/>
        <v>3435587.8468277901</v>
      </c>
      <c r="F315" s="362">
        <f t="shared" si="33"/>
        <v>0.16423505900863439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31378724.860222615</v>
      </c>
      <c r="D318" s="353">
        <f>D314+D315+D316</f>
        <v>37110416.258207582</v>
      </c>
      <c r="E318" s="353">
        <f>D318-C318</f>
        <v>5731691.3979849666</v>
      </c>
      <c r="F318" s="362">
        <f>IF(C318=0,0,E318/C318)</f>
        <v>0.18266170545543015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17848373.103728246</v>
      </c>
      <c r="D322" s="353">
        <f>LN_ID22</f>
        <v>19074143.92749548</v>
      </c>
      <c r="E322" s="353">
        <f>LN_IV2-C322</f>
        <v>1225770.8237672336</v>
      </c>
      <c r="F322" s="362">
        <f>IF(C322=0,0,E322/C322)</f>
        <v>6.8676893778693432E-2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4776242.255515784</v>
      </c>
      <c r="D323" s="353">
        <f>LN_IE10+LN_IE22</f>
        <v>850498.92514594947</v>
      </c>
      <c r="E323" s="353">
        <f>LN_IV3-C323</f>
        <v>-3925743.3303698348</v>
      </c>
      <c r="F323" s="362">
        <f>IF(C323=0,0,E323/C323)</f>
        <v>-0.82193136787319343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4238241.6010446558</v>
      </c>
      <c r="D324" s="353">
        <f>LN_IC10+LN_IC22</f>
        <v>10082026.52420496</v>
      </c>
      <c r="E324" s="353">
        <f>LN_IV1-C324</f>
        <v>5843784.9231603043</v>
      </c>
      <c r="F324" s="362">
        <f>IF(C324=0,0,E324/C324)</f>
        <v>1.3788229820876443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26862856.960288685</v>
      </c>
      <c r="D325" s="429">
        <f>LN_IV1+LN_IV2+LN_IV3</f>
        <v>30006669.376846392</v>
      </c>
      <c r="E325" s="353">
        <f>LN_IV4-C325</f>
        <v>3143812.4165577069</v>
      </c>
      <c r="F325" s="362">
        <f>IF(C325=0,0,E325/C325)</f>
        <v>0.11703194567894247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23462733</v>
      </c>
      <c r="D329" s="431">
        <v>24904012</v>
      </c>
      <c r="E329" s="431">
        <f t="shared" ref="E329:E335" si="34">D329-C329</f>
        <v>1441279</v>
      </c>
      <c r="F329" s="462">
        <f t="shared" ref="F329:F335" si="35">IF(C329=0,0,E329/C329)</f>
        <v>6.1428436320696313E-2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6793719</v>
      </c>
      <c r="D330" s="429">
        <v>16110641</v>
      </c>
      <c r="E330" s="431">
        <f t="shared" si="34"/>
        <v>9316922</v>
      </c>
      <c r="F330" s="463">
        <f t="shared" si="35"/>
        <v>1.3714023202902563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473298383</v>
      </c>
      <c r="D331" s="429">
        <v>497720490</v>
      </c>
      <c r="E331" s="431">
        <f t="shared" si="34"/>
        <v>24422107</v>
      </c>
      <c r="F331" s="462">
        <f t="shared" si="35"/>
        <v>5.1599810768844311E-2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1042814916</v>
      </c>
      <c r="D333" s="429">
        <v>1113153089</v>
      </c>
      <c r="E333" s="431">
        <f t="shared" si="34"/>
        <v>70338173</v>
      </c>
      <c r="F333" s="462">
        <f t="shared" si="35"/>
        <v>6.7450294314739159E-2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23454941</v>
      </c>
      <c r="D335" s="429">
        <v>29542708</v>
      </c>
      <c r="E335" s="429">
        <f t="shared" si="34"/>
        <v>6087767</v>
      </c>
      <c r="F335" s="462">
        <f t="shared" si="35"/>
        <v>0.25955158019796343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FILING&amp;RDANBURY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3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8.28515625" style="331" customWidth="1"/>
    <col min="4" max="4" width="17.85546875" style="330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197098422</v>
      </c>
      <c r="D14" s="513">
        <v>190380782</v>
      </c>
      <c r="E14" s="514">
        <f t="shared" ref="E14:E22" si="0">D14-C14</f>
        <v>-6717640</v>
      </c>
    </row>
    <row r="15" spans="1:5" s="506" customFormat="1" x14ac:dyDescent="0.2">
      <c r="A15" s="512">
        <v>2</v>
      </c>
      <c r="B15" s="511" t="s">
        <v>605</v>
      </c>
      <c r="C15" s="513">
        <v>262457541</v>
      </c>
      <c r="D15" s="515">
        <v>291864516</v>
      </c>
      <c r="E15" s="514">
        <f t="shared" si="0"/>
        <v>29406975</v>
      </c>
    </row>
    <row r="16" spans="1:5" s="506" customFormat="1" x14ac:dyDescent="0.2">
      <c r="A16" s="512">
        <v>3</v>
      </c>
      <c r="B16" s="511" t="s">
        <v>751</v>
      </c>
      <c r="C16" s="513">
        <v>52117336</v>
      </c>
      <c r="D16" s="515">
        <v>61448664</v>
      </c>
      <c r="E16" s="514">
        <f t="shared" si="0"/>
        <v>9331328</v>
      </c>
    </row>
    <row r="17" spans="1:5" s="506" customFormat="1" x14ac:dyDescent="0.2">
      <c r="A17" s="512">
        <v>4</v>
      </c>
      <c r="B17" s="511" t="s">
        <v>114</v>
      </c>
      <c r="C17" s="513">
        <v>46325316</v>
      </c>
      <c r="D17" s="515">
        <v>59876239</v>
      </c>
      <c r="E17" s="514">
        <f t="shared" si="0"/>
        <v>13550923</v>
      </c>
    </row>
    <row r="18" spans="1:5" s="506" customFormat="1" x14ac:dyDescent="0.2">
      <c r="A18" s="512">
        <v>5</v>
      </c>
      <c r="B18" s="511" t="s">
        <v>718</v>
      </c>
      <c r="C18" s="513">
        <v>5792020</v>
      </c>
      <c r="D18" s="515">
        <v>1572425</v>
      </c>
      <c r="E18" s="514">
        <f t="shared" si="0"/>
        <v>-4219595</v>
      </c>
    </row>
    <row r="19" spans="1:5" s="506" customFormat="1" x14ac:dyDescent="0.2">
      <c r="A19" s="512">
        <v>6</v>
      </c>
      <c r="B19" s="511" t="s">
        <v>418</v>
      </c>
      <c r="C19" s="513">
        <v>1250805</v>
      </c>
      <c r="D19" s="515">
        <v>632468</v>
      </c>
      <c r="E19" s="514">
        <f t="shared" si="0"/>
        <v>-618337</v>
      </c>
    </row>
    <row r="20" spans="1:5" s="506" customFormat="1" x14ac:dyDescent="0.2">
      <c r="A20" s="512">
        <v>7</v>
      </c>
      <c r="B20" s="511" t="s">
        <v>733</v>
      </c>
      <c r="C20" s="513">
        <v>6593905</v>
      </c>
      <c r="D20" s="515">
        <v>5413243</v>
      </c>
      <c r="E20" s="514">
        <f t="shared" si="0"/>
        <v>-1180662</v>
      </c>
    </row>
    <row r="21" spans="1:5" s="506" customFormat="1" x14ac:dyDescent="0.2">
      <c r="A21" s="512"/>
      <c r="B21" s="516" t="s">
        <v>752</v>
      </c>
      <c r="C21" s="517">
        <f>SUM(C15+C16+C19)</f>
        <v>315825682</v>
      </c>
      <c r="D21" s="517">
        <f>SUM(D15+D16+D19)</f>
        <v>353945648</v>
      </c>
      <c r="E21" s="517">
        <f t="shared" si="0"/>
        <v>38119966</v>
      </c>
    </row>
    <row r="22" spans="1:5" s="506" customFormat="1" x14ac:dyDescent="0.2">
      <c r="A22" s="512"/>
      <c r="B22" s="516" t="s">
        <v>692</v>
      </c>
      <c r="C22" s="517">
        <f>SUM(C14+C21)</f>
        <v>512924104</v>
      </c>
      <c r="D22" s="517">
        <f>SUM(D14+D21)</f>
        <v>544326430</v>
      </c>
      <c r="E22" s="517">
        <f t="shared" si="0"/>
        <v>31402326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279872948</v>
      </c>
      <c r="D25" s="513">
        <v>302829736</v>
      </c>
      <c r="E25" s="514">
        <f t="shared" ref="E25:E33" si="1">D25-C25</f>
        <v>22956788</v>
      </c>
    </row>
    <row r="26" spans="1:5" s="506" customFormat="1" x14ac:dyDescent="0.2">
      <c r="A26" s="512">
        <v>2</v>
      </c>
      <c r="B26" s="511" t="s">
        <v>605</v>
      </c>
      <c r="C26" s="513">
        <v>189128726</v>
      </c>
      <c r="D26" s="515">
        <v>198092097</v>
      </c>
      <c r="E26" s="514">
        <f t="shared" si="1"/>
        <v>8963371</v>
      </c>
    </row>
    <row r="27" spans="1:5" s="506" customFormat="1" x14ac:dyDescent="0.2">
      <c r="A27" s="512">
        <v>3</v>
      </c>
      <c r="B27" s="511" t="s">
        <v>751</v>
      </c>
      <c r="C27" s="513">
        <v>60083516</v>
      </c>
      <c r="D27" s="515">
        <v>67208165</v>
      </c>
      <c r="E27" s="514">
        <f t="shared" si="1"/>
        <v>7124649</v>
      </c>
    </row>
    <row r="28" spans="1:5" s="506" customFormat="1" x14ac:dyDescent="0.2">
      <c r="A28" s="512">
        <v>4</v>
      </c>
      <c r="B28" s="511" t="s">
        <v>114</v>
      </c>
      <c r="C28" s="513">
        <v>52199740</v>
      </c>
      <c r="D28" s="515">
        <v>66075838</v>
      </c>
      <c r="E28" s="514">
        <f t="shared" si="1"/>
        <v>13876098</v>
      </c>
    </row>
    <row r="29" spans="1:5" s="506" customFormat="1" x14ac:dyDescent="0.2">
      <c r="A29" s="512">
        <v>5</v>
      </c>
      <c r="B29" s="511" t="s">
        <v>718</v>
      </c>
      <c r="C29" s="513">
        <v>7883776</v>
      </c>
      <c r="D29" s="515">
        <v>1132327</v>
      </c>
      <c r="E29" s="514">
        <f t="shared" si="1"/>
        <v>-6751449</v>
      </c>
    </row>
    <row r="30" spans="1:5" s="506" customFormat="1" x14ac:dyDescent="0.2">
      <c r="A30" s="512">
        <v>6</v>
      </c>
      <c r="B30" s="511" t="s">
        <v>418</v>
      </c>
      <c r="C30" s="513">
        <v>805622</v>
      </c>
      <c r="D30" s="515">
        <v>696661</v>
      </c>
      <c r="E30" s="514">
        <f t="shared" si="1"/>
        <v>-108961</v>
      </c>
    </row>
    <row r="31" spans="1:5" s="506" customFormat="1" x14ac:dyDescent="0.2">
      <c r="A31" s="512">
        <v>7</v>
      </c>
      <c r="B31" s="511" t="s">
        <v>733</v>
      </c>
      <c r="C31" s="514">
        <v>20616388</v>
      </c>
      <c r="D31" s="518">
        <v>22935833</v>
      </c>
      <c r="E31" s="514">
        <f t="shared" si="1"/>
        <v>2319445</v>
      </c>
    </row>
    <row r="32" spans="1:5" s="506" customFormat="1" x14ac:dyDescent="0.2">
      <c r="A32" s="512"/>
      <c r="B32" s="516" t="s">
        <v>754</v>
      </c>
      <c r="C32" s="517">
        <f>SUM(C26+C27+C30)</f>
        <v>250017864</v>
      </c>
      <c r="D32" s="517">
        <f>SUM(D26+D27+D30)</f>
        <v>265996923</v>
      </c>
      <c r="E32" s="517">
        <f t="shared" si="1"/>
        <v>15979059</v>
      </c>
    </row>
    <row r="33" spans="1:5" s="506" customFormat="1" x14ac:dyDescent="0.2">
      <c r="A33" s="512"/>
      <c r="B33" s="516" t="s">
        <v>698</v>
      </c>
      <c r="C33" s="517">
        <f>SUM(C25+C32)</f>
        <v>529890812</v>
      </c>
      <c r="D33" s="517">
        <f>SUM(D25+D32)</f>
        <v>568826659</v>
      </c>
      <c r="E33" s="517">
        <f t="shared" si="1"/>
        <v>38935847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476971370</v>
      </c>
      <c r="D36" s="514">
        <f t="shared" si="2"/>
        <v>493210518</v>
      </c>
      <c r="E36" s="514">
        <f t="shared" ref="E36:E44" si="3">D36-C36</f>
        <v>16239148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451586267</v>
      </c>
      <c r="D37" s="514">
        <f t="shared" si="2"/>
        <v>489956613</v>
      </c>
      <c r="E37" s="514">
        <f t="shared" si="3"/>
        <v>38370346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112200852</v>
      </c>
      <c r="D38" s="514">
        <f t="shared" si="2"/>
        <v>128656829</v>
      </c>
      <c r="E38" s="514">
        <f t="shared" si="3"/>
        <v>16455977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98525056</v>
      </c>
      <c r="D39" s="514">
        <f t="shared" si="2"/>
        <v>125952077</v>
      </c>
      <c r="E39" s="514">
        <f t="shared" si="3"/>
        <v>27427021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13675796</v>
      </c>
      <c r="D40" s="514">
        <f t="shared" si="2"/>
        <v>2704752</v>
      </c>
      <c r="E40" s="514">
        <f t="shared" si="3"/>
        <v>-10971044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2056427</v>
      </c>
      <c r="D41" s="514">
        <f t="shared" si="2"/>
        <v>1329129</v>
      </c>
      <c r="E41" s="514">
        <f t="shared" si="3"/>
        <v>-727298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27210293</v>
      </c>
      <c r="D42" s="514">
        <f t="shared" si="2"/>
        <v>28349076</v>
      </c>
      <c r="E42" s="514">
        <f t="shared" si="3"/>
        <v>1138783</v>
      </c>
    </row>
    <row r="43" spans="1:5" s="506" customFormat="1" x14ac:dyDescent="0.2">
      <c r="A43" s="512"/>
      <c r="B43" s="516" t="s">
        <v>762</v>
      </c>
      <c r="C43" s="517">
        <f>SUM(C37+C38+C41)</f>
        <v>565843546</v>
      </c>
      <c r="D43" s="517">
        <f>SUM(D37+D38+D41)</f>
        <v>619942571</v>
      </c>
      <c r="E43" s="517">
        <f t="shared" si="3"/>
        <v>54099025</v>
      </c>
    </row>
    <row r="44" spans="1:5" s="506" customFormat="1" x14ac:dyDescent="0.2">
      <c r="A44" s="512"/>
      <c r="B44" s="516" t="s">
        <v>700</v>
      </c>
      <c r="C44" s="517">
        <f>SUM(C36+C43)</f>
        <v>1042814916</v>
      </c>
      <c r="D44" s="517">
        <f>SUM(D36+D43)</f>
        <v>1113153089</v>
      </c>
      <c r="E44" s="517">
        <f t="shared" si="3"/>
        <v>70338173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116901612</v>
      </c>
      <c r="D47" s="513">
        <v>112612777</v>
      </c>
      <c r="E47" s="514">
        <f t="shared" ref="E47:E55" si="4">D47-C47</f>
        <v>-4288835</v>
      </c>
    </row>
    <row r="48" spans="1:5" s="506" customFormat="1" x14ac:dyDescent="0.2">
      <c r="A48" s="512">
        <v>2</v>
      </c>
      <c r="B48" s="511" t="s">
        <v>605</v>
      </c>
      <c r="C48" s="513">
        <v>90713748</v>
      </c>
      <c r="D48" s="515">
        <v>98949663</v>
      </c>
      <c r="E48" s="514">
        <f t="shared" si="4"/>
        <v>8235915</v>
      </c>
    </row>
    <row r="49" spans="1:5" s="506" customFormat="1" x14ac:dyDescent="0.2">
      <c r="A49" s="512">
        <v>3</v>
      </c>
      <c r="B49" s="511" t="s">
        <v>751</v>
      </c>
      <c r="C49" s="513">
        <v>14715177</v>
      </c>
      <c r="D49" s="515">
        <v>14737373</v>
      </c>
      <c r="E49" s="514">
        <f t="shared" si="4"/>
        <v>22196</v>
      </c>
    </row>
    <row r="50" spans="1:5" s="506" customFormat="1" x14ac:dyDescent="0.2">
      <c r="A50" s="512">
        <v>4</v>
      </c>
      <c r="B50" s="511" t="s">
        <v>114</v>
      </c>
      <c r="C50" s="513">
        <v>14179472</v>
      </c>
      <c r="D50" s="515">
        <v>14451349</v>
      </c>
      <c r="E50" s="514">
        <f t="shared" si="4"/>
        <v>271877</v>
      </c>
    </row>
    <row r="51" spans="1:5" s="506" customFormat="1" x14ac:dyDescent="0.2">
      <c r="A51" s="512">
        <v>5</v>
      </c>
      <c r="B51" s="511" t="s">
        <v>718</v>
      </c>
      <c r="C51" s="513">
        <v>535705</v>
      </c>
      <c r="D51" s="515">
        <v>286024</v>
      </c>
      <c r="E51" s="514">
        <f t="shared" si="4"/>
        <v>-249681</v>
      </c>
    </row>
    <row r="52" spans="1:5" s="506" customFormat="1" x14ac:dyDescent="0.2">
      <c r="A52" s="512">
        <v>6</v>
      </c>
      <c r="B52" s="511" t="s">
        <v>418</v>
      </c>
      <c r="C52" s="513">
        <v>436158</v>
      </c>
      <c r="D52" s="515">
        <v>199476</v>
      </c>
      <c r="E52" s="514">
        <f t="shared" si="4"/>
        <v>-236682</v>
      </c>
    </row>
    <row r="53" spans="1:5" s="506" customFormat="1" x14ac:dyDescent="0.2">
      <c r="A53" s="512">
        <v>7</v>
      </c>
      <c r="B53" s="511" t="s">
        <v>733</v>
      </c>
      <c r="C53" s="513">
        <v>1946025</v>
      </c>
      <c r="D53" s="515">
        <v>613179</v>
      </c>
      <c r="E53" s="514">
        <f t="shared" si="4"/>
        <v>-1332846</v>
      </c>
    </row>
    <row r="54" spans="1:5" s="506" customFormat="1" x14ac:dyDescent="0.2">
      <c r="A54" s="512"/>
      <c r="B54" s="516" t="s">
        <v>764</v>
      </c>
      <c r="C54" s="517">
        <f>SUM(C48+C49+C52)</f>
        <v>105865083</v>
      </c>
      <c r="D54" s="517">
        <f>SUM(D48+D49+D52)</f>
        <v>113886512</v>
      </c>
      <c r="E54" s="517">
        <f t="shared" si="4"/>
        <v>8021429</v>
      </c>
    </row>
    <row r="55" spans="1:5" s="506" customFormat="1" x14ac:dyDescent="0.2">
      <c r="A55" s="512"/>
      <c r="B55" s="516" t="s">
        <v>693</v>
      </c>
      <c r="C55" s="517">
        <f>SUM(C47+C54)</f>
        <v>222766695</v>
      </c>
      <c r="D55" s="517">
        <f>SUM(D47+D54)</f>
        <v>226499289</v>
      </c>
      <c r="E55" s="517">
        <f t="shared" si="4"/>
        <v>3732594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161524726</v>
      </c>
      <c r="D58" s="513">
        <v>171413135</v>
      </c>
      <c r="E58" s="514">
        <f t="shared" ref="E58:E66" si="5">D58-C58</f>
        <v>9888409</v>
      </c>
    </row>
    <row r="59" spans="1:5" s="506" customFormat="1" x14ac:dyDescent="0.2">
      <c r="A59" s="512">
        <v>2</v>
      </c>
      <c r="B59" s="511" t="s">
        <v>605</v>
      </c>
      <c r="C59" s="513">
        <v>65361297</v>
      </c>
      <c r="D59" s="515">
        <v>67074143</v>
      </c>
      <c r="E59" s="514">
        <f t="shared" si="5"/>
        <v>1712846</v>
      </c>
    </row>
    <row r="60" spans="1:5" s="506" customFormat="1" x14ac:dyDescent="0.2">
      <c r="A60" s="512">
        <v>3</v>
      </c>
      <c r="B60" s="511" t="s">
        <v>751</v>
      </c>
      <c r="C60" s="513">
        <f>C61+C62</f>
        <v>14403361</v>
      </c>
      <c r="D60" s="515">
        <f>D61+D62</f>
        <v>16460432</v>
      </c>
      <c r="E60" s="514">
        <f t="shared" si="5"/>
        <v>2057071</v>
      </c>
    </row>
    <row r="61" spans="1:5" s="506" customFormat="1" x14ac:dyDescent="0.2">
      <c r="A61" s="512">
        <v>4</v>
      </c>
      <c r="B61" s="511" t="s">
        <v>114</v>
      </c>
      <c r="C61" s="513">
        <v>13407997</v>
      </c>
      <c r="D61" s="515">
        <v>16175876</v>
      </c>
      <c r="E61" s="514">
        <f t="shared" si="5"/>
        <v>2767879</v>
      </c>
    </row>
    <row r="62" spans="1:5" s="506" customFormat="1" x14ac:dyDescent="0.2">
      <c r="A62" s="512">
        <v>5</v>
      </c>
      <c r="B62" s="511" t="s">
        <v>718</v>
      </c>
      <c r="C62" s="513">
        <v>995364</v>
      </c>
      <c r="D62" s="515">
        <v>284556</v>
      </c>
      <c r="E62" s="514">
        <f t="shared" si="5"/>
        <v>-710808</v>
      </c>
    </row>
    <row r="63" spans="1:5" s="506" customFormat="1" x14ac:dyDescent="0.2">
      <c r="A63" s="512">
        <v>6</v>
      </c>
      <c r="B63" s="511" t="s">
        <v>418</v>
      </c>
      <c r="C63" s="513">
        <v>170926</v>
      </c>
      <c r="D63" s="515">
        <v>162850</v>
      </c>
      <c r="E63" s="514">
        <f t="shared" si="5"/>
        <v>-8076</v>
      </c>
    </row>
    <row r="64" spans="1:5" s="506" customFormat="1" x14ac:dyDescent="0.2">
      <c r="A64" s="512">
        <v>7</v>
      </c>
      <c r="B64" s="511" t="s">
        <v>733</v>
      </c>
      <c r="C64" s="513">
        <v>6084409</v>
      </c>
      <c r="D64" s="515">
        <v>2598031</v>
      </c>
      <c r="E64" s="514">
        <f t="shared" si="5"/>
        <v>-3486378</v>
      </c>
    </row>
    <row r="65" spans="1:5" s="506" customFormat="1" x14ac:dyDescent="0.2">
      <c r="A65" s="512"/>
      <c r="B65" s="516" t="s">
        <v>766</v>
      </c>
      <c r="C65" s="517">
        <f>SUM(C59+C60+C63)</f>
        <v>79935584</v>
      </c>
      <c r="D65" s="517">
        <f>SUM(D59+D60+D63)</f>
        <v>83697425</v>
      </c>
      <c r="E65" s="517">
        <f t="shared" si="5"/>
        <v>3761841</v>
      </c>
    </row>
    <row r="66" spans="1:5" s="506" customFormat="1" x14ac:dyDescent="0.2">
      <c r="A66" s="512"/>
      <c r="B66" s="516" t="s">
        <v>699</v>
      </c>
      <c r="C66" s="517">
        <f>SUM(C58+C65)</f>
        <v>241460310</v>
      </c>
      <c r="D66" s="517">
        <f>SUM(D58+D65)</f>
        <v>255110560</v>
      </c>
      <c r="E66" s="517">
        <f t="shared" si="5"/>
        <v>13650250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278426338</v>
      </c>
      <c r="D69" s="514">
        <f t="shared" si="6"/>
        <v>284025912</v>
      </c>
      <c r="E69" s="514">
        <f t="shared" ref="E69:E77" si="7">D69-C69</f>
        <v>5599574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156075045</v>
      </c>
      <c r="D70" s="514">
        <f t="shared" si="6"/>
        <v>166023806</v>
      </c>
      <c r="E70" s="514">
        <f t="shared" si="7"/>
        <v>9948761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29118538</v>
      </c>
      <c r="D71" s="514">
        <f t="shared" si="6"/>
        <v>31197805</v>
      </c>
      <c r="E71" s="514">
        <f t="shared" si="7"/>
        <v>2079267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27587469</v>
      </c>
      <c r="D72" s="514">
        <f t="shared" si="6"/>
        <v>30627225</v>
      </c>
      <c r="E72" s="514">
        <f t="shared" si="7"/>
        <v>3039756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1531069</v>
      </c>
      <c r="D73" s="514">
        <f t="shared" si="6"/>
        <v>570580</v>
      </c>
      <c r="E73" s="514">
        <f t="shared" si="7"/>
        <v>-960489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607084</v>
      </c>
      <c r="D74" s="514">
        <f t="shared" si="6"/>
        <v>362326</v>
      </c>
      <c r="E74" s="514">
        <f t="shared" si="7"/>
        <v>-244758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8030434</v>
      </c>
      <c r="D75" s="514">
        <f t="shared" si="6"/>
        <v>3211210</v>
      </c>
      <c r="E75" s="514">
        <f t="shared" si="7"/>
        <v>-4819224</v>
      </c>
    </row>
    <row r="76" spans="1:5" s="506" customFormat="1" x14ac:dyDescent="0.2">
      <c r="A76" s="512"/>
      <c r="B76" s="516" t="s">
        <v>767</v>
      </c>
      <c r="C76" s="517">
        <f>SUM(C70+C71+C74)</f>
        <v>185800667</v>
      </c>
      <c r="D76" s="517">
        <f>SUM(D70+D71+D74)</f>
        <v>197583937</v>
      </c>
      <c r="E76" s="517">
        <f t="shared" si="7"/>
        <v>11783270</v>
      </c>
    </row>
    <row r="77" spans="1:5" s="506" customFormat="1" x14ac:dyDescent="0.2">
      <c r="A77" s="512"/>
      <c r="B77" s="516" t="s">
        <v>701</v>
      </c>
      <c r="C77" s="517">
        <f>SUM(C69+C76)</f>
        <v>464227005</v>
      </c>
      <c r="D77" s="517">
        <f>SUM(D69+D76)</f>
        <v>481609849</v>
      </c>
      <c r="E77" s="517">
        <f t="shared" si="7"/>
        <v>17382844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0.18900613999272714</v>
      </c>
      <c r="D83" s="523">
        <f t="shared" si="8"/>
        <v>0.17102839122606972</v>
      </c>
      <c r="E83" s="523">
        <f t="shared" ref="E83:E91" si="9">D83-C83</f>
        <v>-1.797774876665742E-2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0.25168180563309089</v>
      </c>
      <c r="D84" s="523">
        <f t="shared" si="8"/>
        <v>0.26219620543136274</v>
      </c>
      <c r="E84" s="523">
        <f t="shared" si="9"/>
        <v>1.0514399798271845E-2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4.9977551337595176E-2</v>
      </c>
      <c r="D85" s="523">
        <f t="shared" si="8"/>
        <v>5.5202347823696332E-2</v>
      </c>
      <c r="E85" s="523">
        <f t="shared" si="9"/>
        <v>5.2247964861011562E-3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4.4423334658170541E-2</v>
      </c>
      <c r="D86" s="523">
        <f t="shared" si="8"/>
        <v>5.3789761347012709E-2</v>
      </c>
      <c r="E86" s="523">
        <f t="shared" si="9"/>
        <v>9.3664266888421679E-3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5.5542166794246353E-3</v>
      </c>
      <c r="D87" s="523">
        <f t="shared" si="8"/>
        <v>1.4125864766836218E-3</v>
      </c>
      <c r="E87" s="523">
        <f t="shared" si="9"/>
        <v>-4.1416302027410135E-3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1.1994506223576111E-3</v>
      </c>
      <c r="D88" s="523">
        <f t="shared" si="8"/>
        <v>5.6817701558747598E-4</v>
      </c>
      <c r="E88" s="523">
        <f t="shared" si="9"/>
        <v>-6.3127360677013513E-4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6.323178637770847E-3</v>
      </c>
      <c r="D89" s="523">
        <f t="shared" si="8"/>
        <v>4.8629816091719973E-3</v>
      </c>
      <c r="E89" s="523">
        <f t="shared" si="9"/>
        <v>-1.4601970285988497E-3</v>
      </c>
    </row>
    <row r="90" spans="1:5" s="506" customFormat="1" x14ac:dyDescent="0.2">
      <c r="A90" s="512"/>
      <c r="B90" s="516" t="s">
        <v>770</v>
      </c>
      <c r="C90" s="524">
        <f>SUM(C84+C85+C88)</f>
        <v>0.30285880759304368</v>
      </c>
      <c r="D90" s="524">
        <f>SUM(D84+D85+D88)</f>
        <v>0.31796673027064654</v>
      </c>
      <c r="E90" s="525">
        <f t="shared" si="9"/>
        <v>1.5107922677602859E-2</v>
      </c>
    </row>
    <row r="91" spans="1:5" s="506" customFormat="1" x14ac:dyDescent="0.2">
      <c r="A91" s="512"/>
      <c r="B91" s="516" t="s">
        <v>771</v>
      </c>
      <c r="C91" s="524">
        <f>SUM(C83+C90)</f>
        <v>0.49186494758577082</v>
      </c>
      <c r="D91" s="524">
        <f>SUM(D83+D90)</f>
        <v>0.48899512149671626</v>
      </c>
      <c r="E91" s="525">
        <f t="shared" si="9"/>
        <v>-2.8698260890545613E-3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0.26838218719917123</v>
      </c>
      <c r="D95" s="523">
        <f t="shared" si="10"/>
        <v>0.27204680020431582</v>
      </c>
      <c r="E95" s="523">
        <f t="shared" ref="E95:E103" si="11">D95-C95</f>
        <v>3.6646130051445902E-3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0.18136365629047063</v>
      </c>
      <c r="D96" s="523">
        <f t="shared" si="10"/>
        <v>0.17795584359196798</v>
      </c>
      <c r="E96" s="523">
        <f t="shared" si="11"/>
        <v>-3.4078126985026547E-3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5.7616663396479459E-2</v>
      </c>
      <c r="D97" s="523">
        <f t="shared" si="10"/>
        <v>6.0376389971999622E-2</v>
      </c>
      <c r="E97" s="523">
        <f t="shared" si="11"/>
        <v>2.7597265755201633E-3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5.005657207151034E-2</v>
      </c>
      <c r="D98" s="523">
        <f t="shared" si="10"/>
        <v>5.9359165107612612E-2</v>
      </c>
      <c r="E98" s="523">
        <f t="shared" si="11"/>
        <v>9.3025930361022718E-3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7.5600913249691181E-3</v>
      </c>
      <c r="D99" s="523">
        <f t="shared" si="10"/>
        <v>1.0172248643870044E-3</v>
      </c>
      <c r="E99" s="523">
        <f t="shared" si="11"/>
        <v>-6.5428664605821137E-3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7.7254552810788525E-4</v>
      </c>
      <c r="D100" s="523">
        <f t="shared" si="10"/>
        <v>6.2584473500032663E-4</v>
      </c>
      <c r="E100" s="523">
        <f t="shared" si="11"/>
        <v>-1.4670079310755862E-4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1.9769939692730672E-2</v>
      </c>
      <c r="D101" s="523">
        <f t="shared" si="10"/>
        <v>2.0604383374262011E-2</v>
      </c>
      <c r="E101" s="523">
        <f t="shared" si="11"/>
        <v>8.3444368153133899E-4</v>
      </c>
    </row>
    <row r="102" spans="1:5" s="506" customFormat="1" x14ac:dyDescent="0.2">
      <c r="A102" s="512"/>
      <c r="B102" s="516" t="s">
        <v>773</v>
      </c>
      <c r="C102" s="524">
        <f>SUM(C96+C97+C100)</f>
        <v>0.23975286521505798</v>
      </c>
      <c r="D102" s="524">
        <f>SUM(D96+D97+D100)</f>
        <v>0.23895807829896792</v>
      </c>
      <c r="E102" s="525">
        <f t="shared" si="11"/>
        <v>-7.9478691609005669E-4</v>
      </c>
    </row>
    <row r="103" spans="1:5" s="506" customFormat="1" x14ac:dyDescent="0.2">
      <c r="A103" s="512"/>
      <c r="B103" s="516" t="s">
        <v>774</v>
      </c>
      <c r="C103" s="524">
        <f>SUM(C95+C102)</f>
        <v>0.50813505241422918</v>
      </c>
      <c r="D103" s="524">
        <f>SUM(D95+D102)</f>
        <v>0.51100487850328369</v>
      </c>
      <c r="E103" s="525">
        <f t="shared" si="11"/>
        <v>2.8698260890545058E-3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0.25181993020849791</v>
      </c>
      <c r="D109" s="523">
        <f t="shared" si="12"/>
        <v>0.23382573515434898</v>
      </c>
      <c r="E109" s="523">
        <f t="shared" ref="E109:E117" si="13">D109-C109</f>
        <v>-1.7994195054148926E-2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0.19540816674376796</v>
      </c>
      <c r="D110" s="523">
        <f t="shared" si="12"/>
        <v>0.20545606200839966</v>
      </c>
      <c r="E110" s="523">
        <f t="shared" si="13"/>
        <v>1.0047895264631707E-2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3.1698235650896696E-2</v>
      </c>
      <c r="D111" s="523">
        <f t="shared" si="12"/>
        <v>3.0600231765609096E-2</v>
      </c>
      <c r="E111" s="523">
        <f t="shared" si="13"/>
        <v>-1.0980038852876003E-3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3.0544263576394053E-2</v>
      </c>
      <c r="D112" s="523">
        <f t="shared" si="12"/>
        <v>3.0006340256550693E-2</v>
      </c>
      <c r="E112" s="523">
        <f t="shared" si="13"/>
        <v>-5.3792331984335931E-4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1.1539720745026454E-3</v>
      </c>
      <c r="D113" s="523">
        <f t="shared" si="12"/>
        <v>5.9389150905840387E-4</v>
      </c>
      <c r="E113" s="523">
        <f t="shared" si="13"/>
        <v>-5.6008056544424158E-4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9.3953603582368065E-4</v>
      </c>
      <c r="D114" s="523">
        <f t="shared" si="12"/>
        <v>4.1418588181737955E-4</v>
      </c>
      <c r="E114" s="523">
        <f t="shared" si="13"/>
        <v>-5.2535015400630115E-4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4.191968539184833E-3</v>
      </c>
      <c r="D115" s="523">
        <f t="shared" si="12"/>
        <v>1.2731861719048857E-3</v>
      </c>
      <c r="E115" s="523">
        <f t="shared" si="13"/>
        <v>-2.9187823672799473E-3</v>
      </c>
    </row>
    <row r="116" spans="1:5" s="506" customFormat="1" x14ac:dyDescent="0.2">
      <c r="A116" s="512"/>
      <c r="B116" s="516" t="s">
        <v>770</v>
      </c>
      <c r="C116" s="524">
        <f>SUM(C110+C111+C114)</f>
        <v>0.22804593843048832</v>
      </c>
      <c r="D116" s="524">
        <f>SUM(D110+D111+D114)</f>
        <v>0.23647047965582615</v>
      </c>
      <c r="E116" s="525">
        <f t="shared" si="13"/>
        <v>8.4245412253378393E-3</v>
      </c>
    </row>
    <row r="117" spans="1:5" s="506" customFormat="1" x14ac:dyDescent="0.2">
      <c r="A117" s="512"/>
      <c r="B117" s="516" t="s">
        <v>771</v>
      </c>
      <c r="C117" s="524">
        <f>SUM(C109+C116)</f>
        <v>0.47986586863898623</v>
      </c>
      <c r="D117" s="524">
        <f>SUM(D109+D116)</f>
        <v>0.47029621481017514</v>
      </c>
      <c r="E117" s="525">
        <f t="shared" si="13"/>
        <v>-9.5696538288110866E-3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0.34794340755768827</v>
      </c>
      <c r="D121" s="523">
        <f t="shared" si="14"/>
        <v>0.3559170049281945</v>
      </c>
      <c r="E121" s="523">
        <f t="shared" ref="E121:E129" si="15">D121-C121</f>
        <v>7.9735973705062357E-3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0.14079598191406378</v>
      </c>
      <c r="D122" s="523">
        <f t="shared" si="14"/>
        <v>0.13927070457398391</v>
      </c>
      <c r="E122" s="523">
        <f t="shared" si="15"/>
        <v>-1.5252773400798725E-3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3.1026547023045331E-2</v>
      </c>
      <c r="D123" s="523">
        <f t="shared" si="14"/>
        <v>3.4177938915032444E-2</v>
      </c>
      <c r="E123" s="523">
        <f t="shared" si="15"/>
        <v>3.1513918919871126E-3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2.8882414972821326E-2</v>
      </c>
      <c r="D124" s="523">
        <f t="shared" si="14"/>
        <v>3.3587095516395889E-2</v>
      </c>
      <c r="E124" s="523">
        <f t="shared" si="15"/>
        <v>4.7046805435745631E-3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2.1441320502240064E-3</v>
      </c>
      <c r="D125" s="523">
        <f t="shared" si="14"/>
        <v>5.9084339863655906E-4</v>
      </c>
      <c r="E125" s="523">
        <f t="shared" si="15"/>
        <v>-1.5532886515874473E-3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3.6819486621636759E-4</v>
      </c>
      <c r="D126" s="523">
        <f t="shared" si="14"/>
        <v>3.3813677261405011E-4</v>
      </c>
      <c r="E126" s="523">
        <f t="shared" si="15"/>
        <v>-3.0058093602317482E-5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1.310653825492121E-2</v>
      </c>
      <c r="D127" s="523">
        <f t="shared" si="14"/>
        <v>5.3944723211007259E-3</v>
      </c>
      <c r="E127" s="523">
        <f t="shared" si="15"/>
        <v>-7.7120659338204842E-3</v>
      </c>
    </row>
    <row r="128" spans="1:5" s="506" customFormat="1" x14ac:dyDescent="0.2">
      <c r="A128" s="512"/>
      <c r="B128" s="516" t="s">
        <v>773</v>
      </c>
      <c r="C128" s="524">
        <f>SUM(C122+C123+C126)</f>
        <v>0.17219072380332548</v>
      </c>
      <c r="D128" s="524">
        <f>SUM(D122+D123+D126)</f>
        <v>0.17378678026163039</v>
      </c>
      <c r="E128" s="525">
        <f t="shared" si="15"/>
        <v>1.5960564583049064E-3</v>
      </c>
    </row>
    <row r="129" spans="1:5" s="506" customFormat="1" x14ac:dyDescent="0.2">
      <c r="A129" s="512"/>
      <c r="B129" s="516" t="s">
        <v>774</v>
      </c>
      <c r="C129" s="524">
        <f>SUM(C121+C128)</f>
        <v>0.52013413136101372</v>
      </c>
      <c r="D129" s="524">
        <f>SUM(D121+D128)</f>
        <v>0.52970378518982486</v>
      </c>
      <c r="E129" s="525">
        <f t="shared" si="15"/>
        <v>9.5696538288111421E-3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8752</v>
      </c>
      <c r="D137" s="530">
        <v>8068</v>
      </c>
      <c r="E137" s="531">
        <f t="shared" ref="E137:E145" si="16">D137-C137</f>
        <v>-684</v>
      </c>
    </row>
    <row r="138" spans="1:5" s="506" customFormat="1" x14ac:dyDescent="0.2">
      <c r="A138" s="512">
        <v>2</v>
      </c>
      <c r="B138" s="511" t="s">
        <v>605</v>
      </c>
      <c r="C138" s="530">
        <v>8917</v>
      </c>
      <c r="D138" s="530">
        <v>9495</v>
      </c>
      <c r="E138" s="531">
        <f t="shared" si="16"/>
        <v>578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3017</v>
      </c>
      <c r="D139" s="530">
        <f>D140+D141</f>
        <v>3166</v>
      </c>
      <c r="E139" s="531">
        <f t="shared" si="16"/>
        <v>149</v>
      </c>
    </row>
    <row r="140" spans="1:5" s="506" customFormat="1" x14ac:dyDescent="0.2">
      <c r="A140" s="512">
        <v>4</v>
      </c>
      <c r="B140" s="511" t="s">
        <v>114</v>
      </c>
      <c r="C140" s="530">
        <v>2727</v>
      </c>
      <c r="D140" s="530">
        <v>3069</v>
      </c>
      <c r="E140" s="531">
        <f t="shared" si="16"/>
        <v>342</v>
      </c>
    </row>
    <row r="141" spans="1:5" s="506" customFormat="1" x14ac:dyDescent="0.2">
      <c r="A141" s="512">
        <v>5</v>
      </c>
      <c r="B141" s="511" t="s">
        <v>718</v>
      </c>
      <c r="C141" s="530">
        <v>290</v>
      </c>
      <c r="D141" s="530">
        <v>97</v>
      </c>
      <c r="E141" s="531">
        <f t="shared" si="16"/>
        <v>-193</v>
      </c>
    </row>
    <row r="142" spans="1:5" s="506" customFormat="1" x14ac:dyDescent="0.2">
      <c r="A142" s="512">
        <v>6</v>
      </c>
      <c r="B142" s="511" t="s">
        <v>418</v>
      </c>
      <c r="C142" s="530">
        <v>29</v>
      </c>
      <c r="D142" s="530">
        <v>34</v>
      </c>
      <c r="E142" s="531">
        <f t="shared" si="16"/>
        <v>5</v>
      </c>
    </row>
    <row r="143" spans="1:5" s="506" customFormat="1" x14ac:dyDescent="0.2">
      <c r="A143" s="512">
        <v>7</v>
      </c>
      <c r="B143" s="511" t="s">
        <v>733</v>
      </c>
      <c r="C143" s="530">
        <v>298</v>
      </c>
      <c r="D143" s="530">
        <v>248</v>
      </c>
      <c r="E143" s="531">
        <f t="shared" si="16"/>
        <v>-50</v>
      </c>
    </row>
    <row r="144" spans="1:5" s="506" customFormat="1" x14ac:dyDescent="0.2">
      <c r="A144" s="512"/>
      <c r="B144" s="516" t="s">
        <v>781</v>
      </c>
      <c r="C144" s="532">
        <f>SUM(C138+C139+C142)</f>
        <v>11963</v>
      </c>
      <c r="D144" s="532">
        <f>SUM(D138+D139+D142)</f>
        <v>12695</v>
      </c>
      <c r="E144" s="533">
        <f t="shared" si="16"/>
        <v>732</v>
      </c>
    </row>
    <row r="145" spans="1:5" s="506" customFormat="1" x14ac:dyDescent="0.2">
      <c r="A145" s="512"/>
      <c r="B145" s="516" t="s">
        <v>695</v>
      </c>
      <c r="C145" s="532">
        <f>SUM(C137+C144)</f>
        <v>20715</v>
      </c>
      <c r="D145" s="532">
        <f>SUM(D137+D144)</f>
        <v>20763</v>
      </c>
      <c r="E145" s="533">
        <f t="shared" si="16"/>
        <v>48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32965</v>
      </c>
      <c r="D149" s="534">
        <v>30391</v>
      </c>
      <c r="E149" s="531">
        <f t="shared" ref="E149:E157" si="17">D149-C149</f>
        <v>-2574</v>
      </c>
    </row>
    <row r="150" spans="1:5" s="506" customFormat="1" x14ac:dyDescent="0.2">
      <c r="A150" s="512">
        <v>2</v>
      </c>
      <c r="B150" s="511" t="s">
        <v>605</v>
      </c>
      <c r="C150" s="534">
        <v>49996</v>
      </c>
      <c r="D150" s="534">
        <v>52749</v>
      </c>
      <c r="E150" s="531">
        <f t="shared" si="17"/>
        <v>2753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12697</v>
      </c>
      <c r="D151" s="534">
        <f>D152+D153</f>
        <v>13426</v>
      </c>
      <c r="E151" s="531">
        <f t="shared" si="17"/>
        <v>729</v>
      </c>
    </row>
    <row r="152" spans="1:5" s="506" customFormat="1" x14ac:dyDescent="0.2">
      <c r="A152" s="512">
        <v>4</v>
      </c>
      <c r="B152" s="511" t="s">
        <v>114</v>
      </c>
      <c r="C152" s="534">
        <v>11440</v>
      </c>
      <c r="D152" s="534">
        <v>12889</v>
      </c>
      <c r="E152" s="531">
        <f t="shared" si="17"/>
        <v>1449</v>
      </c>
    </row>
    <row r="153" spans="1:5" s="506" customFormat="1" x14ac:dyDescent="0.2">
      <c r="A153" s="512">
        <v>5</v>
      </c>
      <c r="B153" s="511" t="s">
        <v>718</v>
      </c>
      <c r="C153" s="535">
        <v>1257</v>
      </c>
      <c r="D153" s="534">
        <v>537</v>
      </c>
      <c r="E153" s="531">
        <f t="shared" si="17"/>
        <v>-720</v>
      </c>
    </row>
    <row r="154" spans="1:5" s="506" customFormat="1" x14ac:dyDescent="0.2">
      <c r="A154" s="512">
        <v>6</v>
      </c>
      <c r="B154" s="511" t="s">
        <v>418</v>
      </c>
      <c r="C154" s="534">
        <v>226</v>
      </c>
      <c r="D154" s="534">
        <v>97</v>
      </c>
      <c r="E154" s="531">
        <f t="shared" si="17"/>
        <v>-129</v>
      </c>
    </row>
    <row r="155" spans="1:5" s="506" customFormat="1" x14ac:dyDescent="0.2">
      <c r="A155" s="512">
        <v>7</v>
      </c>
      <c r="B155" s="511" t="s">
        <v>733</v>
      </c>
      <c r="C155" s="534">
        <v>1120</v>
      </c>
      <c r="D155" s="534">
        <v>960</v>
      </c>
      <c r="E155" s="531">
        <f t="shared" si="17"/>
        <v>-160</v>
      </c>
    </row>
    <row r="156" spans="1:5" s="506" customFormat="1" x14ac:dyDescent="0.2">
      <c r="A156" s="512"/>
      <c r="B156" s="516" t="s">
        <v>782</v>
      </c>
      <c r="C156" s="532">
        <f>SUM(C150+C151+C154)</f>
        <v>62919</v>
      </c>
      <c r="D156" s="532">
        <f>SUM(D150+D151+D154)</f>
        <v>66272</v>
      </c>
      <c r="E156" s="533">
        <f t="shared" si="17"/>
        <v>3353</v>
      </c>
    </row>
    <row r="157" spans="1:5" s="506" customFormat="1" x14ac:dyDescent="0.2">
      <c r="A157" s="512"/>
      <c r="B157" s="516" t="s">
        <v>783</v>
      </c>
      <c r="C157" s="532">
        <f>SUM(C149+C156)</f>
        <v>95884</v>
      </c>
      <c r="D157" s="532">
        <f>SUM(D149+D156)</f>
        <v>96663</v>
      </c>
      <c r="E157" s="533">
        <f t="shared" si="17"/>
        <v>779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3.7665676416819012</v>
      </c>
      <c r="D161" s="536">
        <f t="shared" si="18"/>
        <v>3.766856717897868</v>
      </c>
      <c r="E161" s="537">
        <f t="shared" ref="E161:E169" si="19">D161-C161</f>
        <v>2.8907621596685473E-4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5.6068184366939553</v>
      </c>
      <c r="D162" s="536">
        <f t="shared" si="18"/>
        <v>5.5554502369668244</v>
      </c>
      <c r="E162" s="537">
        <f t="shared" si="19"/>
        <v>-5.1368199727130914E-2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4.2084852502485912</v>
      </c>
      <c r="D163" s="536">
        <f t="shared" si="18"/>
        <v>4.2406822488945037</v>
      </c>
      <c r="E163" s="537">
        <f t="shared" si="19"/>
        <v>3.2196998645912522E-2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4.195086175284195</v>
      </c>
      <c r="D164" s="536">
        <f t="shared" si="18"/>
        <v>4.199739328771587</v>
      </c>
      <c r="E164" s="537">
        <f t="shared" si="19"/>
        <v>4.6531534873919256E-3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4.3344827586206893</v>
      </c>
      <c r="D165" s="536">
        <f t="shared" si="18"/>
        <v>5.536082474226804</v>
      </c>
      <c r="E165" s="537">
        <f t="shared" si="19"/>
        <v>1.2015997156061147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7.7931034482758621</v>
      </c>
      <c r="D166" s="536">
        <f t="shared" si="18"/>
        <v>2.8529411764705883</v>
      </c>
      <c r="E166" s="537">
        <f t="shared" si="19"/>
        <v>-4.9401622718052742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3.7583892617449663</v>
      </c>
      <c r="D167" s="536">
        <f t="shared" si="18"/>
        <v>3.870967741935484</v>
      </c>
      <c r="E167" s="537">
        <f t="shared" si="19"/>
        <v>0.11257848019051764</v>
      </c>
    </row>
    <row r="168" spans="1:5" s="506" customFormat="1" x14ac:dyDescent="0.2">
      <c r="A168" s="512"/>
      <c r="B168" s="516" t="s">
        <v>785</v>
      </c>
      <c r="C168" s="538">
        <f t="shared" si="18"/>
        <v>5.2594666889576196</v>
      </c>
      <c r="D168" s="538">
        <f t="shared" si="18"/>
        <v>5.2203229617959828</v>
      </c>
      <c r="E168" s="539">
        <f t="shared" si="19"/>
        <v>-3.9143727161636832E-2</v>
      </c>
    </row>
    <row r="169" spans="1:5" s="506" customFormat="1" x14ac:dyDescent="0.2">
      <c r="A169" s="512"/>
      <c r="B169" s="516" t="s">
        <v>719</v>
      </c>
      <c r="C169" s="538">
        <f t="shared" si="18"/>
        <v>4.6287231474776735</v>
      </c>
      <c r="D169" s="538">
        <f t="shared" si="18"/>
        <v>4.6555411067764778</v>
      </c>
      <c r="E169" s="539">
        <f t="shared" si="19"/>
        <v>2.6817959298804261E-2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1.1614</v>
      </c>
      <c r="D173" s="541">
        <f t="shared" si="20"/>
        <v>1.1952</v>
      </c>
      <c r="E173" s="542">
        <f t="shared" ref="E173:E181" si="21">D173-C173</f>
        <v>3.3800000000000052E-2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1.3485</v>
      </c>
      <c r="D174" s="541">
        <f t="shared" si="20"/>
        <v>1.3328</v>
      </c>
      <c r="E174" s="542">
        <f t="shared" si="21"/>
        <v>-1.5700000000000047E-2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0.88328458733841564</v>
      </c>
      <c r="D175" s="541">
        <f t="shared" si="20"/>
        <v>1.0278367972204676</v>
      </c>
      <c r="E175" s="542">
        <f t="shared" si="21"/>
        <v>0.14455220988205197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0.86580000000000001</v>
      </c>
      <c r="D176" s="541">
        <f t="shared" si="20"/>
        <v>1.0314000000000001</v>
      </c>
      <c r="E176" s="542">
        <f t="shared" si="21"/>
        <v>0.16560000000000008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1.0477000000000001</v>
      </c>
      <c r="D177" s="541">
        <f t="shared" si="20"/>
        <v>0.91510000000000002</v>
      </c>
      <c r="E177" s="542">
        <f t="shared" si="21"/>
        <v>-0.13260000000000005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0.90859999999999996</v>
      </c>
      <c r="D178" s="541">
        <f t="shared" si="20"/>
        <v>0.90149999999999997</v>
      </c>
      <c r="E178" s="542">
        <f t="shared" si="21"/>
        <v>-7.0999999999999952E-3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1.2416</v>
      </c>
      <c r="D179" s="541">
        <f t="shared" si="20"/>
        <v>1.2153</v>
      </c>
      <c r="E179" s="542">
        <f t="shared" si="21"/>
        <v>-2.629999999999999E-2</v>
      </c>
    </row>
    <row r="180" spans="1:5" s="506" customFormat="1" x14ac:dyDescent="0.2">
      <c r="A180" s="512"/>
      <c r="B180" s="516" t="s">
        <v>787</v>
      </c>
      <c r="C180" s="543">
        <f t="shared" si="20"/>
        <v>1.2301089609629692</v>
      </c>
      <c r="D180" s="543">
        <f t="shared" si="20"/>
        <v>1.2555902560063017</v>
      </c>
      <c r="E180" s="544">
        <f t="shared" si="21"/>
        <v>2.5481295043332519E-2</v>
      </c>
    </row>
    <row r="181" spans="1:5" s="506" customFormat="1" x14ac:dyDescent="0.2">
      <c r="A181" s="512"/>
      <c r="B181" s="516" t="s">
        <v>696</v>
      </c>
      <c r="C181" s="543">
        <f t="shared" si="20"/>
        <v>1.2010797151822352</v>
      </c>
      <c r="D181" s="543">
        <f t="shared" si="20"/>
        <v>1.2321240620334248</v>
      </c>
      <c r="E181" s="544">
        <f t="shared" si="21"/>
        <v>3.1044346851189619E-2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427508232</v>
      </c>
      <c r="D185" s="513">
        <v>440484262</v>
      </c>
      <c r="E185" s="514">
        <f>D185-C185</f>
        <v>12976030</v>
      </c>
    </row>
    <row r="186" spans="1:5" s="506" customFormat="1" ht="25.5" x14ac:dyDescent="0.2">
      <c r="A186" s="512">
        <v>2</v>
      </c>
      <c r="B186" s="511" t="s">
        <v>790</v>
      </c>
      <c r="C186" s="513">
        <v>264490798</v>
      </c>
      <c r="D186" s="513">
        <v>274413100</v>
      </c>
      <c r="E186" s="514">
        <f>D186-C186</f>
        <v>9922302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163017434</v>
      </c>
      <c r="D188" s="546">
        <f>+D185-D186</f>
        <v>166071162</v>
      </c>
      <c r="E188" s="514">
        <f t="shared" ref="E188:E197" si="22">D188-C188</f>
        <v>3053728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0.38131998824293983</v>
      </c>
      <c r="D189" s="547">
        <f>IF(D185=0,0,+D188/D185)</f>
        <v>0.37701951312848492</v>
      </c>
      <c r="E189" s="523">
        <f t="shared" si="22"/>
        <v>-4.3004751144549158E-3</v>
      </c>
    </row>
    <row r="190" spans="1:5" s="506" customFormat="1" x14ac:dyDescent="0.2">
      <c r="A190" s="512">
        <v>5</v>
      </c>
      <c r="B190" s="511" t="s">
        <v>737</v>
      </c>
      <c r="C190" s="513">
        <v>23462733</v>
      </c>
      <c r="D190" s="513">
        <v>24904012</v>
      </c>
      <c r="E190" s="546">
        <f t="shared" si="22"/>
        <v>1441279</v>
      </c>
    </row>
    <row r="191" spans="1:5" s="506" customFormat="1" x14ac:dyDescent="0.2">
      <c r="A191" s="512">
        <v>6</v>
      </c>
      <c r="B191" s="511" t="s">
        <v>723</v>
      </c>
      <c r="C191" s="513">
        <v>13522001</v>
      </c>
      <c r="D191" s="513">
        <v>14537538</v>
      </c>
      <c r="E191" s="546">
        <f t="shared" si="22"/>
        <v>1015537</v>
      </c>
    </row>
    <row r="192" spans="1:5" ht="29.25" x14ac:dyDescent="0.2">
      <c r="A192" s="512">
        <v>7</v>
      </c>
      <c r="B192" s="548" t="s">
        <v>791</v>
      </c>
      <c r="C192" s="513">
        <v>2277658</v>
      </c>
      <c r="D192" s="513">
        <v>0</v>
      </c>
      <c r="E192" s="546">
        <f t="shared" si="22"/>
        <v>-2277658</v>
      </c>
    </row>
    <row r="193" spans="1:5" s="506" customFormat="1" x14ac:dyDescent="0.2">
      <c r="A193" s="512">
        <v>8</v>
      </c>
      <c r="B193" s="511" t="s">
        <v>792</v>
      </c>
      <c r="C193" s="513">
        <v>12767832</v>
      </c>
      <c r="D193" s="513">
        <v>11359623</v>
      </c>
      <c r="E193" s="546">
        <f t="shared" si="22"/>
        <v>-1408209</v>
      </c>
    </row>
    <row r="194" spans="1:5" s="506" customFormat="1" x14ac:dyDescent="0.2">
      <c r="A194" s="512">
        <v>9</v>
      </c>
      <c r="B194" s="511" t="s">
        <v>793</v>
      </c>
      <c r="C194" s="513">
        <v>10687109</v>
      </c>
      <c r="D194" s="513">
        <v>18183085</v>
      </c>
      <c r="E194" s="546">
        <f t="shared" si="22"/>
        <v>7495976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23454941</v>
      </c>
      <c r="D195" s="513">
        <f>+D193+D194</f>
        <v>29542708</v>
      </c>
      <c r="E195" s="549">
        <f t="shared" si="22"/>
        <v>6087767</v>
      </c>
    </row>
    <row r="196" spans="1:5" s="506" customFormat="1" x14ac:dyDescent="0.2">
      <c r="A196" s="512">
        <v>11</v>
      </c>
      <c r="B196" s="511" t="s">
        <v>795</v>
      </c>
      <c r="C196" s="513">
        <v>427508232</v>
      </c>
      <c r="D196" s="513">
        <v>440484262</v>
      </c>
      <c r="E196" s="546">
        <f t="shared" si="22"/>
        <v>12976030</v>
      </c>
    </row>
    <row r="197" spans="1:5" s="506" customFormat="1" x14ac:dyDescent="0.2">
      <c r="A197" s="512">
        <v>12</v>
      </c>
      <c r="B197" s="511" t="s">
        <v>680</v>
      </c>
      <c r="C197" s="513">
        <v>460314702</v>
      </c>
      <c r="D197" s="513">
        <v>495471968</v>
      </c>
      <c r="E197" s="546">
        <f t="shared" si="22"/>
        <v>35157266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10164.5728</v>
      </c>
      <c r="D203" s="553">
        <v>9642.8736000000008</v>
      </c>
      <c r="E203" s="554">
        <f t="shared" ref="E203:E211" si="23">D203-C203</f>
        <v>-521.69919999999911</v>
      </c>
    </row>
    <row r="204" spans="1:5" s="506" customFormat="1" x14ac:dyDescent="0.2">
      <c r="A204" s="512">
        <v>2</v>
      </c>
      <c r="B204" s="511" t="s">
        <v>605</v>
      </c>
      <c r="C204" s="553">
        <v>12024.574500000001</v>
      </c>
      <c r="D204" s="553">
        <v>12654.936</v>
      </c>
      <c r="E204" s="554">
        <f t="shared" si="23"/>
        <v>630.36149999999907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2664.8696</v>
      </c>
      <c r="D205" s="553">
        <f>D206+D207</f>
        <v>3254.1313000000005</v>
      </c>
      <c r="E205" s="554">
        <f t="shared" si="23"/>
        <v>589.26170000000047</v>
      </c>
    </row>
    <row r="206" spans="1:5" s="506" customFormat="1" x14ac:dyDescent="0.2">
      <c r="A206" s="512">
        <v>4</v>
      </c>
      <c r="B206" s="511" t="s">
        <v>114</v>
      </c>
      <c r="C206" s="553">
        <v>2361.0365999999999</v>
      </c>
      <c r="D206" s="553">
        <v>3165.3666000000003</v>
      </c>
      <c r="E206" s="554">
        <f t="shared" si="23"/>
        <v>804.33000000000038</v>
      </c>
    </row>
    <row r="207" spans="1:5" s="506" customFormat="1" x14ac:dyDescent="0.2">
      <c r="A207" s="512">
        <v>5</v>
      </c>
      <c r="B207" s="511" t="s">
        <v>718</v>
      </c>
      <c r="C207" s="553">
        <v>303.83300000000003</v>
      </c>
      <c r="D207" s="553">
        <v>88.764700000000005</v>
      </c>
      <c r="E207" s="554">
        <f t="shared" si="23"/>
        <v>-215.06830000000002</v>
      </c>
    </row>
    <row r="208" spans="1:5" s="506" customFormat="1" x14ac:dyDescent="0.2">
      <c r="A208" s="512">
        <v>6</v>
      </c>
      <c r="B208" s="511" t="s">
        <v>418</v>
      </c>
      <c r="C208" s="553">
        <v>26.349399999999999</v>
      </c>
      <c r="D208" s="553">
        <v>30.651</v>
      </c>
      <c r="E208" s="554">
        <f t="shared" si="23"/>
        <v>4.3016000000000005</v>
      </c>
    </row>
    <row r="209" spans="1:5" s="506" customFormat="1" x14ac:dyDescent="0.2">
      <c r="A209" s="512">
        <v>7</v>
      </c>
      <c r="B209" s="511" t="s">
        <v>733</v>
      </c>
      <c r="C209" s="553">
        <v>369.99680000000001</v>
      </c>
      <c r="D209" s="553">
        <v>301.39440000000002</v>
      </c>
      <c r="E209" s="554">
        <f t="shared" si="23"/>
        <v>-68.602399999999989</v>
      </c>
    </row>
    <row r="210" spans="1:5" s="506" customFormat="1" x14ac:dyDescent="0.2">
      <c r="A210" s="512"/>
      <c r="B210" s="516" t="s">
        <v>798</v>
      </c>
      <c r="C210" s="555">
        <f>C204+C205+C208</f>
        <v>14715.7935</v>
      </c>
      <c r="D210" s="555">
        <f>D204+D205+D208</f>
        <v>15939.7183</v>
      </c>
      <c r="E210" s="556">
        <f t="shared" si="23"/>
        <v>1223.9248000000007</v>
      </c>
    </row>
    <row r="211" spans="1:5" s="506" customFormat="1" x14ac:dyDescent="0.2">
      <c r="A211" s="512"/>
      <c r="B211" s="516" t="s">
        <v>697</v>
      </c>
      <c r="C211" s="555">
        <f>C210+C203</f>
        <v>24880.366300000002</v>
      </c>
      <c r="D211" s="555">
        <f>D210+D203</f>
        <v>25582.591899999999</v>
      </c>
      <c r="E211" s="556">
        <f t="shared" si="23"/>
        <v>702.22559999999794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12427.537552259044</v>
      </c>
      <c r="D215" s="557">
        <f>IF(D14*D137=0,0,D25/D14*D137)</f>
        <v>12833.387300867375</v>
      </c>
      <c r="E215" s="557">
        <f t="shared" ref="E215:E223" si="24">D215-C215</f>
        <v>405.84974860833063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6425.6521009697335</v>
      </c>
      <c r="D216" s="557">
        <f>IF(D15*D138=0,0,D26/D15*D138)</f>
        <v>6444.3752422956413</v>
      </c>
      <c r="E216" s="557">
        <f t="shared" si="24"/>
        <v>18.723141325907818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3467.5375085906112</v>
      </c>
      <c r="D217" s="557">
        <f>D218+D219</f>
        <v>3456.6161028464512</v>
      </c>
      <c r="E217" s="557">
        <f t="shared" si="24"/>
        <v>-10.921405744159983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3072.8056119466078</v>
      </c>
      <c r="D218" s="557">
        <f t="shared" si="25"/>
        <v>3386.7649372900655</v>
      </c>
      <c r="E218" s="557">
        <f t="shared" si="24"/>
        <v>313.95932534345775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394.73189664400326</v>
      </c>
      <c r="D219" s="557">
        <f t="shared" si="25"/>
        <v>69.851165556385837</v>
      </c>
      <c r="E219" s="557">
        <f t="shared" si="24"/>
        <v>-324.88073108761739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18.678401509427928</v>
      </c>
      <c r="D220" s="557">
        <f t="shared" si="25"/>
        <v>37.450865498333513</v>
      </c>
      <c r="E220" s="557">
        <f t="shared" si="24"/>
        <v>18.772463988905585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931.72158591911773</v>
      </c>
      <c r="D221" s="557">
        <f t="shared" si="25"/>
        <v>1050.7724452791053</v>
      </c>
      <c r="E221" s="557">
        <f t="shared" si="24"/>
        <v>119.05085935998761</v>
      </c>
    </row>
    <row r="222" spans="1:5" s="506" customFormat="1" x14ac:dyDescent="0.2">
      <c r="A222" s="512"/>
      <c r="B222" s="516" t="s">
        <v>800</v>
      </c>
      <c r="C222" s="558">
        <f>C216+C218+C219+C220</f>
        <v>9911.8680110697715</v>
      </c>
      <c r="D222" s="558">
        <f>D216+D218+D219+D220</f>
        <v>9938.4422106404254</v>
      </c>
      <c r="E222" s="558">
        <f t="shared" si="24"/>
        <v>26.574199570653946</v>
      </c>
    </row>
    <row r="223" spans="1:5" s="506" customFormat="1" x14ac:dyDescent="0.2">
      <c r="A223" s="512"/>
      <c r="B223" s="516" t="s">
        <v>801</v>
      </c>
      <c r="C223" s="558">
        <f>C215+C222</f>
        <v>22339.405563328815</v>
      </c>
      <c r="D223" s="558">
        <f>D215+D222</f>
        <v>22771.8295115078</v>
      </c>
      <c r="E223" s="558">
        <f t="shared" si="24"/>
        <v>432.42394817898457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11500.887868105978</v>
      </c>
      <c r="D227" s="560">
        <f t="shared" si="26"/>
        <v>11678.342128222026</v>
      </c>
      <c r="E227" s="560">
        <f t="shared" ref="E227:E235" si="27">D227-C227</f>
        <v>177.45426011604832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7544.02977003469</v>
      </c>
      <c r="D228" s="560">
        <f t="shared" si="26"/>
        <v>7819.0567696272819</v>
      </c>
      <c r="E228" s="560">
        <f t="shared" si="27"/>
        <v>275.02699959259189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5521.9125918956788</v>
      </c>
      <c r="D229" s="560">
        <f t="shared" si="26"/>
        <v>4528.8194118043111</v>
      </c>
      <c r="E229" s="560">
        <f t="shared" si="27"/>
        <v>-993.09318009136769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6005.6129583082284</v>
      </c>
      <c r="D230" s="560">
        <f t="shared" si="26"/>
        <v>4565.4582315994612</v>
      </c>
      <c r="E230" s="560">
        <f t="shared" si="27"/>
        <v>-1440.1547267087672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1763.1560758706262</v>
      </c>
      <c r="D231" s="560">
        <f t="shared" si="26"/>
        <v>3222.2719166515517</v>
      </c>
      <c r="E231" s="560">
        <f t="shared" si="27"/>
        <v>1459.1158407809255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16552.862683780277</v>
      </c>
      <c r="D232" s="560">
        <f t="shared" si="26"/>
        <v>6507.9769012430261</v>
      </c>
      <c r="E232" s="560">
        <f t="shared" si="27"/>
        <v>-10044.885782537251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5259.5725152217528</v>
      </c>
      <c r="D233" s="560">
        <f t="shared" si="26"/>
        <v>2034.4737659359296</v>
      </c>
      <c r="E233" s="560">
        <f t="shared" si="27"/>
        <v>-3225.098749285823</v>
      </c>
    </row>
    <row r="234" spans="1:5" x14ac:dyDescent="0.2">
      <c r="A234" s="512"/>
      <c r="B234" s="516" t="s">
        <v>803</v>
      </c>
      <c r="C234" s="561">
        <f t="shared" si="26"/>
        <v>7193.9772055105286</v>
      </c>
      <c r="D234" s="561">
        <f t="shared" si="26"/>
        <v>7144.8258906808906</v>
      </c>
      <c r="E234" s="561">
        <f t="shared" si="27"/>
        <v>-49.151314829638068</v>
      </c>
    </row>
    <row r="235" spans="1:5" s="506" customFormat="1" x14ac:dyDescent="0.2">
      <c r="A235" s="512"/>
      <c r="B235" s="516" t="s">
        <v>804</v>
      </c>
      <c r="C235" s="561">
        <f t="shared" si="26"/>
        <v>8953.5134778140291</v>
      </c>
      <c r="D235" s="561">
        <f t="shared" si="26"/>
        <v>8853.64899246194</v>
      </c>
      <c r="E235" s="561">
        <f t="shared" si="27"/>
        <v>-99.864485352089105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12997.32351004954</v>
      </c>
      <c r="D239" s="560">
        <f t="shared" si="28"/>
        <v>13356.8114934406</v>
      </c>
      <c r="E239" s="562">
        <f t="shared" ref="E239:E247" si="29">D239-C239</f>
        <v>359.48798339105997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10171.932120342453</v>
      </c>
      <c r="D240" s="560">
        <f t="shared" si="28"/>
        <v>10408.168438079123</v>
      </c>
      <c r="E240" s="562">
        <f t="shared" si="29"/>
        <v>236.23631773666966</v>
      </c>
    </row>
    <row r="241" spans="1:5" x14ac:dyDescent="0.2">
      <c r="A241" s="512">
        <v>3</v>
      </c>
      <c r="B241" s="511" t="s">
        <v>751</v>
      </c>
      <c r="C241" s="560">
        <f t="shared" si="28"/>
        <v>4153.7722272121237</v>
      </c>
      <c r="D241" s="560">
        <f t="shared" si="28"/>
        <v>4762.007556015601</v>
      </c>
      <c r="E241" s="562">
        <f t="shared" si="29"/>
        <v>608.23532880347739</v>
      </c>
    </row>
    <row r="242" spans="1:5" x14ac:dyDescent="0.2">
      <c r="A242" s="512">
        <v>4</v>
      </c>
      <c r="B242" s="511" t="s">
        <v>114</v>
      </c>
      <c r="C242" s="560">
        <f t="shared" si="28"/>
        <v>4363.4380736196645</v>
      </c>
      <c r="D242" s="560">
        <f t="shared" si="28"/>
        <v>4776.202747907033</v>
      </c>
      <c r="E242" s="562">
        <f t="shared" si="29"/>
        <v>412.76467428736851</v>
      </c>
    </row>
    <row r="243" spans="1:5" x14ac:dyDescent="0.2">
      <c r="A243" s="512">
        <v>5</v>
      </c>
      <c r="B243" s="511" t="s">
        <v>718</v>
      </c>
      <c r="C243" s="560">
        <f t="shared" si="28"/>
        <v>2521.6203921257688</v>
      </c>
      <c r="D243" s="560">
        <f t="shared" si="28"/>
        <v>4073.7473417003807</v>
      </c>
      <c r="E243" s="562">
        <f t="shared" si="29"/>
        <v>1552.1269495746119</v>
      </c>
    </row>
    <row r="244" spans="1:5" x14ac:dyDescent="0.2">
      <c r="A244" s="512">
        <v>6</v>
      </c>
      <c r="B244" s="511" t="s">
        <v>418</v>
      </c>
      <c r="C244" s="560">
        <f t="shared" si="28"/>
        <v>9150.9972046443618</v>
      </c>
      <c r="D244" s="560">
        <f t="shared" si="28"/>
        <v>4348.3641254498243</v>
      </c>
      <c r="E244" s="562">
        <f t="shared" si="29"/>
        <v>-4802.6330791945375</v>
      </c>
    </row>
    <row r="245" spans="1:5" x14ac:dyDescent="0.2">
      <c r="A245" s="512">
        <v>7</v>
      </c>
      <c r="B245" s="511" t="s">
        <v>733</v>
      </c>
      <c r="C245" s="560">
        <f t="shared" si="28"/>
        <v>6530.2866134607129</v>
      </c>
      <c r="D245" s="560">
        <f t="shared" si="28"/>
        <v>2472.4963160886018</v>
      </c>
      <c r="E245" s="562">
        <f t="shared" si="29"/>
        <v>-4057.7902973721111</v>
      </c>
    </row>
    <row r="246" spans="1:5" ht="25.5" x14ac:dyDescent="0.2">
      <c r="A246" s="512"/>
      <c r="B246" s="516" t="s">
        <v>806</v>
      </c>
      <c r="C246" s="561">
        <f t="shared" si="28"/>
        <v>8064.633620093241</v>
      </c>
      <c r="D246" s="561">
        <f t="shared" si="28"/>
        <v>8421.5839088333942</v>
      </c>
      <c r="E246" s="563">
        <f t="shared" si="29"/>
        <v>356.95028874015316</v>
      </c>
    </row>
    <row r="247" spans="1:5" x14ac:dyDescent="0.2">
      <c r="A247" s="512"/>
      <c r="B247" s="516" t="s">
        <v>807</v>
      </c>
      <c r="C247" s="561">
        <f t="shared" si="28"/>
        <v>10808.716879932044</v>
      </c>
      <c r="D247" s="561">
        <f t="shared" si="28"/>
        <v>11202.901368600149</v>
      </c>
      <c r="E247" s="563">
        <f t="shared" si="29"/>
        <v>394.18448866810468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17848373.103728246</v>
      </c>
      <c r="D251" s="546">
        <f>((IF((IF(D15=0,0,D26/D15)*D138)=0,0,D59/(IF(D15=0,0,D26/D15)*D138)))-(IF((IF(D17=0,0,D28/D17)*D140)=0,0,D61/(IF(D17=0,0,D28/D17)*D140))))*(IF(D17=0,0,D28/D17)*D140)</f>
        <v>19074143.92749548</v>
      </c>
      <c r="E251" s="546">
        <f>D251-C251</f>
        <v>1225770.8237672336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4776242.255515784</v>
      </c>
      <c r="D252" s="546">
        <f>IF(D231=0,0,(D228-D231)*D207)+IF(D243=0,0,(D240-D243)*D219)</f>
        <v>850498.92514594947</v>
      </c>
      <c r="E252" s="546">
        <f>D252-C252</f>
        <v>-3925743.3303698348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4238241.6010446558</v>
      </c>
      <c r="D253" s="546">
        <f>IF(D233=0,0,(D228-D233)*D209+IF(D221=0,0,(D240-D245)*D221))</f>
        <v>10082026.52420496</v>
      </c>
      <c r="E253" s="546">
        <f>D253-C253</f>
        <v>5843784.9231603043</v>
      </c>
    </row>
    <row r="254" spans="1:5" ht="15" customHeight="1" x14ac:dyDescent="0.2">
      <c r="A254" s="512"/>
      <c r="B254" s="516" t="s">
        <v>734</v>
      </c>
      <c r="C254" s="564">
        <f>+C251+C252+C253</f>
        <v>26862856.960288685</v>
      </c>
      <c r="D254" s="564">
        <f>+D251+D252+D253</f>
        <v>30006669.376846388</v>
      </c>
      <c r="E254" s="564">
        <f>D254-C254</f>
        <v>3143812.4165577032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1042814916</v>
      </c>
      <c r="D258" s="549">
        <f>+D44</f>
        <v>1113153089</v>
      </c>
      <c r="E258" s="546">
        <f t="shared" ref="E258:E271" si="30">D258-C258</f>
        <v>70338173</v>
      </c>
    </row>
    <row r="259" spans="1:5" x14ac:dyDescent="0.2">
      <c r="A259" s="512">
        <v>2</v>
      </c>
      <c r="B259" s="511" t="s">
        <v>717</v>
      </c>
      <c r="C259" s="546">
        <f>+(C43-C76)</f>
        <v>380042879</v>
      </c>
      <c r="D259" s="549">
        <f>+(D43-D76)</f>
        <v>422358634</v>
      </c>
      <c r="E259" s="546">
        <f t="shared" si="30"/>
        <v>42315755</v>
      </c>
    </row>
    <row r="260" spans="1:5" x14ac:dyDescent="0.2">
      <c r="A260" s="512">
        <v>3</v>
      </c>
      <c r="B260" s="511" t="s">
        <v>721</v>
      </c>
      <c r="C260" s="546">
        <f>C195</f>
        <v>23454941</v>
      </c>
      <c r="D260" s="546">
        <f>D195</f>
        <v>29542708</v>
      </c>
      <c r="E260" s="546">
        <f t="shared" si="30"/>
        <v>6087767</v>
      </c>
    </row>
    <row r="261" spans="1:5" x14ac:dyDescent="0.2">
      <c r="A261" s="512">
        <v>4</v>
      </c>
      <c r="B261" s="511" t="s">
        <v>722</v>
      </c>
      <c r="C261" s="546">
        <f>C188</f>
        <v>163017434</v>
      </c>
      <c r="D261" s="546">
        <f>D188</f>
        <v>166071162</v>
      </c>
      <c r="E261" s="546">
        <f t="shared" si="30"/>
        <v>3053728</v>
      </c>
    </row>
    <row r="262" spans="1:5" x14ac:dyDescent="0.2">
      <c r="A262" s="512">
        <v>5</v>
      </c>
      <c r="B262" s="511" t="s">
        <v>723</v>
      </c>
      <c r="C262" s="546">
        <f>C191</f>
        <v>13522001</v>
      </c>
      <c r="D262" s="546">
        <f>D191</f>
        <v>14537538</v>
      </c>
      <c r="E262" s="546">
        <f t="shared" si="30"/>
        <v>1015537</v>
      </c>
    </row>
    <row r="263" spans="1:5" x14ac:dyDescent="0.2">
      <c r="A263" s="512">
        <v>6</v>
      </c>
      <c r="B263" s="511" t="s">
        <v>724</v>
      </c>
      <c r="C263" s="546">
        <f>+C259+C260+C261+C262</f>
        <v>580037255</v>
      </c>
      <c r="D263" s="546">
        <f>+D259+D260+D261+D262</f>
        <v>632510042</v>
      </c>
      <c r="E263" s="546">
        <f t="shared" si="30"/>
        <v>52472787</v>
      </c>
    </row>
    <row r="264" spans="1:5" x14ac:dyDescent="0.2">
      <c r="A264" s="512">
        <v>7</v>
      </c>
      <c r="B264" s="511" t="s">
        <v>624</v>
      </c>
      <c r="C264" s="546">
        <f>+C258-C263</f>
        <v>462777661</v>
      </c>
      <c r="D264" s="546">
        <f>+D258-D263</f>
        <v>480643047</v>
      </c>
      <c r="E264" s="546">
        <f t="shared" si="30"/>
        <v>17865386</v>
      </c>
    </row>
    <row r="265" spans="1:5" x14ac:dyDescent="0.2">
      <c r="A265" s="512">
        <v>8</v>
      </c>
      <c r="B265" s="511" t="s">
        <v>810</v>
      </c>
      <c r="C265" s="565">
        <f>C192</f>
        <v>2277658</v>
      </c>
      <c r="D265" s="565">
        <f>D192</f>
        <v>0</v>
      </c>
      <c r="E265" s="546">
        <f t="shared" si="30"/>
        <v>-2277658</v>
      </c>
    </row>
    <row r="266" spans="1:5" x14ac:dyDescent="0.2">
      <c r="A266" s="512">
        <v>9</v>
      </c>
      <c r="B266" s="511" t="s">
        <v>811</v>
      </c>
      <c r="C266" s="546">
        <f>+C264+C265</f>
        <v>465055319</v>
      </c>
      <c r="D266" s="546">
        <f>+D264+D265</f>
        <v>480643047</v>
      </c>
      <c r="E266" s="565">
        <f t="shared" si="30"/>
        <v>15587728</v>
      </c>
    </row>
    <row r="267" spans="1:5" x14ac:dyDescent="0.2">
      <c r="A267" s="512">
        <v>10</v>
      </c>
      <c r="B267" s="511" t="s">
        <v>812</v>
      </c>
      <c r="C267" s="566">
        <f>IF(C258=0,0,C266/C258)</f>
        <v>0.44596151422905039</v>
      </c>
      <c r="D267" s="566">
        <f>IF(D258=0,0,D266/D258)</f>
        <v>0.43178521602251962</v>
      </c>
      <c r="E267" s="567">
        <f t="shared" si="30"/>
        <v>-1.4176298206530769E-2</v>
      </c>
    </row>
    <row r="268" spans="1:5" x14ac:dyDescent="0.2">
      <c r="A268" s="512">
        <v>11</v>
      </c>
      <c r="B268" s="511" t="s">
        <v>686</v>
      </c>
      <c r="C268" s="546">
        <f>+C260*C267</f>
        <v>10460001.004513038</v>
      </c>
      <c r="D268" s="568">
        <f>+D260*D267</f>
        <v>12756104.555670219</v>
      </c>
      <c r="E268" s="546">
        <f t="shared" si="30"/>
        <v>2296103.5511571802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20918723.855709575</v>
      </c>
      <c r="D269" s="568">
        <f>((D17+D18+D28+D29)*D267)-(D50+D51+D61+D62)</f>
        <v>24354311.702537365</v>
      </c>
      <c r="E269" s="546">
        <f t="shared" si="30"/>
        <v>3435587.8468277901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31378724.860222615</v>
      </c>
      <c r="D271" s="546">
        <f>+D268+D269+D270</f>
        <v>37110416.258207582</v>
      </c>
      <c r="E271" s="549">
        <f t="shared" si="30"/>
        <v>5731691.3979849666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0.59311287636792953</v>
      </c>
      <c r="D276" s="547">
        <f t="shared" si="31"/>
        <v>0.59151336504122565</v>
      </c>
      <c r="E276" s="574">
        <f t="shared" ref="E276:E284" si="32">D276-C276</f>
        <v>-1.5995113267038841E-3</v>
      </c>
    </row>
    <row r="277" spans="1:5" x14ac:dyDescent="0.2">
      <c r="A277" s="512">
        <v>2</v>
      </c>
      <c r="B277" s="511" t="s">
        <v>605</v>
      </c>
      <c r="C277" s="547">
        <f t="shared" si="31"/>
        <v>0.34563208835367393</v>
      </c>
      <c r="D277" s="547">
        <f t="shared" si="31"/>
        <v>0.33902601232963858</v>
      </c>
      <c r="E277" s="574">
        <f t="shared" si="32"/>
        <v>-6.6060760240353456E-3</v>
      </c>
    </row>
    <row r="278" spans="1:5" x14ac:dyDescent="0.2">
      <c r="A278" s="512">
        <v>3</v>
      </c>
      <c r="B278" s="511" t="s">
        <v>751</v>
      </c>
      <c r="C278" s="547">
        <f t="shared" si="31"/>
        <v>0.28234706777798468</v>
      </c>
      <c r="D278" s="547">
        <f t="shared" si="31"/>
        <v>0.23983227690678516</v>
      </c>
      <c r="E278" s="574">
        <f t="shared" si="32"/>
        <v>-4.2514790871199526E-2</v>
      </c>
    </row>
    <row r="279" spans="1:5" x14ac:dyDescent="0.2">
      <c r="A279" s="512">
        <v>4</v>
      </c>
      <c r="B279" s="511" t="s">
        <v>114</v>
      </c>
      <c r="C279" s="547">
        <f t="shared" si="31"/>
        <v>0.30608473345330228</v>
      </c>
      <c r="D279" s="547">
        <f t="shared" si="31"/>
        <v>0.2413536528237854</v>
      </c>
      <c r="E279" s="574">
        <f t="shared" si="32"/>
        <v>-6.4731080629516879E-2</v>
      </c>
    </row>
    <row r="280" spans="1:5" x14ac:dyDescent="0.2">
      <c r="A280" s="512">
        <v>5</v>
      </c>
      <c r="B280" s="511" t="s">
        <v>718</v>
      </c>
      <c r="C280" s="547">
        <f t="shared" si="31"/>
        <v>9.2490184771461426E-2</v>
      </c>
      <c r="D280" s="547">
        <f t="shared" si="31"/>
        <v>0.18189993163425919</v>
      </c>
      <c r="E280" s="574">
        <f t="shared" si="32"/>
        <v>8.9409746862797762E-2</v>
      </c>
    </row>
    <row r="281" spans="1:5" x14ac:dyDescent="0.2">
      <c r="A281" s="512">
        <v>6</v>
      </c>
      <c r="B281" s="511" t="s">
        <v>418</v>
      </c>
      <c r="C281" s="547">
        <f t="shared" si="31"/>
        <v>0.34870183601760468</v>
      </c>
      <c r="D281" s="547">
        <f t="shared" si="31"/>
        <v>0.31539303174231742</v>
      </c>
      <c r="E281" s="574">
        <f t="shared" si="32"/>
        <v>-3.3308804275287263E-2</v>
      </c>
    </row>
    <row r="282" spans="1:5" x14ac:dyDescent="0.2">
      <c r="A282" s="512">
        <v>7</v>
      </c>
      <c r="B282" s="511" t="s">
        <v>733</v>
      </c>
      <c r="C282" s="547">
        <f t="shared" si="31"/>
        <v>0.29512481602328211</v>
      </c>
      <c r="D282" s="547">
        <f t="shared" si="31"/>
        <v>0.11327387298150111</v>
      </c>
      <c r="E282" s="574">
        <f t="shared" si="32"/>
        <v>-0.18185094304178101</v>
      </c>
    </row>
    <row r="283" spans="1:5" ht="29.25" customHeight="1" x14ac:dyDescent="0.2">
      <c r="A283" s="512"/>
      <c r="B283" s="516" t="s">
        <v>819</v>
      </c>
      <c r="C283" s="575">
        <f t="shared" si="31"/>
        <v>0.33520099546559357</v>
      </c>
      <c r="D283" s="575">
        <f t="shared" si="31"/>
        <v>0.32176271312707311</v>
      </c>
      <c r="E283" s="576">
        <f t="shared" si="32"/>
        <v>-1.3438282338520458E-2</v>
      </c>
    </row>
    <row r="284" spans="1:5" x14ac:dyDescent="0.2">
      <c r="A284" s="512"/>
      <c r="B284" s="516" t="s">
        <v>820</v>
      </c>
      <c r="C284" s="575">
        <f t="shared" si="31"/>
        <v>0.43430732395450067</v>
      </c>
      <c r="D284" s="575">
        <f t="shared" si="31"/>
        <v>0.41610929860598539</v>
      </c>
      <c r="E284" s="576">
        <f t="shared" si="32"/>
        <v>-1.8198025348515279E-2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0.57713590096603407</v>
      </c>
      <c r="D287" s="547">
        <f t="shared" si="33"/>
        <v>0.56603798974351716</v>
      </c>
      <c r="E287" s="574">
        <f t="shared" ref="E287:E295" si="34">D287-C287</f>
        <v>-1.109791122251691E-2</v>
      </c>
    </row>
    <row r="288" spans="1:5" x14ac:dyDescent="0.2">
      <c r="A288" s="512">
        <v>2</v>
      </c>
      <c r="B288" s="511" t="s">
        <v>605</v>
      </c>
      <c r="C288" s="547">
        <f t="shared" si="33"/>
        <v>0.34559158929669942</v>
      </c>
      <c r="D288" s="547">
        <f t="shared" si="33"/>
        <v>0.33860080243382956</v>
      </c>
      <c r="E288" s="574">
        <f t="shared" si="34"/>
        <v>-6.9907868628698577E-3</v>
      </c>
    </row>
    <row r="289" spans="1:5" x14ac:dyDescent="0.2">
      <c r="A289" s="512">
        <v>3</v>
      </c>
      <c r="B289" s="511" t="s">
        <v>751</v>
      </c>
      <c r="C289" s="547">
        <f t="shared" si="33"/>
        <v>0.23972233915205629</v>
      </c>
      <c r="D289" s="547">
        <f t="shared" si="33"/>
        <v>0.24491714659967281</v>
      </c>
      <c r="E289" s="574">
        <f t="shared" si="34"/>
        <v>5.1948074476165229E-3</v>
      </c>
    </row>
    <row r="290" spans="1:5" x14ac:dyDescent="0.2">
      <c r="A290" s="512">
        <v>4</v>
      </c>
      <c r="B290" s="511" t="s">
        <v>114</v>
      </c>
      <c r="C290" s="547">
        <f t="shared" si="33"/>
        <v>0.25685945945324634</v>
      </c>
      <c r="D290" s="547">
        <f t="shared" si="33"/>
        <v>0.24480773138283921</v>
      </c>
      <c r="E290" s="574">
        <f t="shared" si="34"/>
        <v>-1.2051728070407136E-2</v>
      </c>
    </row>
    <row r="291" spans="1:5" x14ac:dyDescent="0.2">
      <c r="A291" s="512">
        <v>5</v>
      </c>
      <c r="B291" s="511" t="s">
        <v>718</v>
      </c>
      <c r="C291" s="547">
        <f t="shared" si="33"/>
        <v>0.12625472869853227</v>
      </c>
      <c r="D291" s="547">
        <f t="shared" si="33"/>
        <v>0.25130196489176715</v>
      </c>
      <c r="E291" s="574">
        <f t="shared" si="34"/>
        <v>0.12504723619323488</v>
      </c>
    </row>
    <row r="292" spans="1:5" x14ac:dyDescent="0.2">
      <c r="A292" s="512">
        <v>6</v>
      </c>
      <c r="B292" s="511" t="s">
        <v>418</v>
      </c>
      <c r="C292" s="547">
        <f t="shared" si="33"/>
        <v>0.21216649992179956</v>
      </c>
      <c r="D292" s="547">
        <f t="shared" si="33"/>
        <v>0.23375788224114741</v>
      </c>
      <c r="E292" s="574">
        <f t="shared" si="34"/>
        <v>2.1591382319347846E-2</v>
      </c>
    </row>
    <row r="293" spans="1:5" x14ac:dyDescent="0.2">
      <c r="A293" s="512">
        <v>7</v>
      </c>
      <c r="B293" s="511" t="s">
        <v>733</v>
      </c>
      <c r="C293" s="547">
        <f t="shared" si="33"/>
        <v>0.29512487832495199</v>
      </c>
      <c r="D293" s="547">
        <f t="shared" si="33"/>
        <v>0.11327388894050633</v>
      </c>
      <c r="E293" s="574">
        <f t="shared" si="34"/>
        <v>-0.18185098938444566</v>
      </c>
    </row>
    <row r="294" spans="1:5" ht="29.25" customHeight="1" x14ac:dyDescent="0.2">
      <c r="A294" s="512"/>
      <c r="B294" s="516" t="s">
        <v>822</v>
      </c>
      <c r="C294" s="575">
        <f t="shared" si="33"/>
        <v>0.31971949012411371</v>
      </c>
      <c r="D294" s="575">
        <f t="shared" si="33"/>
        <v>0.3146556135162511</v>
      </c>
      <c r="E294" s="576">
        <f t="shared" si="34"/>
        <v>-5.0638766078626163E-3</v>
      </c>
    </row>
    <row r="295" spans="1:5" x14ac:dyDescent="0.2">
      <c r="A295" s="512"/>
      <c r="B295" s="516" t="s">
        <v>823</v>
      </c>
      <c r="C295" s="575">
        <f t="shared" si="33"/>
        <v>0.45567936739390003</v>
      </c>
      <c r="D295" s="575">
        <f t="shared" si="33"/>
        <v>0.44848559040549468</v>
      </c>
      <c r="E295" s="576">
        <f t="shared" si="34"/>
        <v>-7.1937769884053426E-3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464227005</v>
      </c>
      <c r="D301" s="514">
        <f>+D48+D47+D50+D51+D52+D59+D58+D61+D62+D63</f>
        <v>481609849</v>
      </c>
      <c r="E301" s="514">
        <f>D301-C301</f>
        <v>17382844</v>
      </c>
    </row>
    <row r="302" spans="1:5" ht="25.5" x14ac:dyDescent="0.2">
      <c r="A302" s="512">
        <v>2</v>
      </c>
      <c r="B302" s="511" t="s">
        <v>827</v>
      </c>
      <c r="C302" s="546">
        <f>C265</f>
        <v>2277658</v>
      </c>
      <c r="D302" s="546">
        <f>D265</f>
        <v>0</v>
      </c>
      <c r="E302" s="514">
        <f>D302-C302</f>
        <v>-2277658</v>
      </c>
    </row>
    <row r="303" spans="1:5" x14ac:dyDescent="0.2">
      <c r="A303" s="512"/>
      <c r="B303" s="516" t="s">
        <v>828</v>
      </c>
      <c r="C303" s="517">
        <f>+C301+C302</f>
        <v>466504663</v>
      </c>
      <c r="D303" s="517">
        <f>+D301+D302</f>
        <v>481609849</v>
      </c>
      <c r="E303" s="517">
        <f>D303-C303</f>
        <v>15105186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6793719</v>
      </c>
      <c r="D305" s="578">
        <v>16110641</v>
      </c>
      <c r="E305" s="579">
        <f>D305-C305</f>
        <v>9316922</v>
      </c>
    </row>
    <row r="306" spans="1:5" x14ac:dyDescent="0.2">
      <c r="A306" s="512">
        <v>4</v>
      </c>
      <c r="B306" s="516" t="s">
        <v>830</v>
      </c>
      <c r="C306" s="580">
        <f>+C303+C305</f>
        <v>473298382</v>
      </c>
      <c r="D306" s="580">
        <f>+D303+D305</f>
        <v>497720490</v>
      </c>
      <c r="E306" s="580">
        <f>D306-C306</f>
        <v>24422108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473298383</v>
      </c>
      <c r="D308" s="513">
        <v>497720490</v>
      </c>
      <c r="E308" s="514">
        <f>D308-C308</f>
        <v>24422107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-1</v>
      </c>
      <c r="D310" s="582">
        <f>D306-D308</f>
        <v>0</v>
      </c>
      <c r="E310" s="580">
        <f>D310-C310</f>
        <v>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1042814916</v>
      </c>
      <c r="D314" s="514">
        <f>+D14+D15+D16+D19+D25+D26+D27+D30</f>
        <v>1113153089</v>
      </c>
      <c r="E314" s="514">
        <f>D314-C314</f>
        <v>70338173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1042814916</v>
      </c>
      <c r="D316" s="581">
        <f>D314+D315</f>
        <v>1113153089</v>
      </c>
      <c r="E316" s="517">
        <f>D316-C316</f>
        <v>70338173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1042814916</v>
      </c>
      <c r="D318" s="513">
        <v>1113153089</v>
      </c>
      <c r="E318" s="514">
        <f>D318-C318</f>
        <v>70338173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23454941</v>
      </c>
      <c r="D324" s="513">
        <f>+D193+D194</f>
        <v>29542708</v>
      </c>
      <c r="E324" s="514">
        <f>D324-C324</f>
        <v>6087767</v>
      </c>
    </row>
    <row r="325" spans="1:5" x14ac:dyDescent="0.2">
      <c r="A325" s="512">
        <v>2</v>
      </c>
      <c r="B325" s="511" t="s">
        <v>840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841</v>
      </c>
      <c r="C326" s="581">
        <f>C324+C325</f>
        <v>23454941</v>
      </c>
      <c r="D326" s="581">
        <f>D324+D325</f>
        <v>29542708</v>
      </c>
      <c r="E326" s="517">
        <f>D326-C326</f>
        <v>6087767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23454941</v>
      </c>
      <c r="D328" s="513">
        <v>29542708</v>
      </c>
      <c r="E328" s="514">
        <f>D328-C328</f>
        <v>6087767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&amp;LOFFICE OF HEALTH CARE ACCESS&amp;CTWELVE MONTHS ACTUAL FILING&amp;RDANBURY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190380782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291864516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61448664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59876239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1572425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632468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5413243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353945648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544326430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302829736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198092097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67208165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66075838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1132327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696661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22935833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265996923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568826659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493210518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619942571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1113153089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112612777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98949663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14737373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14451349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286024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199476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613179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113886512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226499289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171413135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67074143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16460432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16175876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284556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162850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2598031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83697425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255110560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284025912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197583937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481609849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8068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9495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3166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3069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97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34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248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12695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20763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1.1952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1.3328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1.0278367972204676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1.0314000000000001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0.91510000000000002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0.90149999999999997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1.2153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1.2555902560063017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1.2321240620334251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440484262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274413100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166071162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0.37701951312848492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24904012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14537538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11359623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18183085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29542708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11802461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495471968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481609849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481609849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16110641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497720490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497720490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1113153089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1113153089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1113153089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29542708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29542708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29542708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FILING&amp;RDANBURY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2794</v>
      </c>
      <c r="D12" s="49">
        <v>3738</v>
      </c>
      <c r="E12" s="49">
        <f>+D12-C12</f>
        <v>944</v>
      </c>
      <c r="F12" s="70">
        <f>IF(C12=0,0,+E12/C12)</f>
        <v>0.33786685755189694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2692</v>
      </c>
      <c r="D13" s="49">
        <v>3625</v>
      </c>
      <c r="E13" s="49">
        <f>+D13-C13</f>
        <v>933</v>
      </c>
      <c r="F13" s="70">
        <f>IF(C13=0,0,+E13/C13)</f>
        <v>0.34658246656760772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12767832</v>
      </c>
      <c r="D15" s="51">
        <v>11359623</v>
      </c>
      <c r="E15" s="51">
        <f>+D15-C15</f>
        <v>-1408209</v>
      </c>
      <c r="F15" s="70">
        <f>IF(C15=0,0,+E15/C15)</f>
        <v>-0.11029350950106487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4742.879643387816</v>
      </c>
      <c r="D16" s="27">
        <f>IF(D13=0,0,+D15/+D13)</f>
        <v>3133.689103448276</v>
      </c>
      <c r="E16" s="27">
        <f>+D16-C16</f>
        <v>-1609.19053993954</v>
      </c>
      <c r="F16" s="28">
        <f>IF(C16=0,0,+E16/C16)</f>
        <v>-0.33928555243499769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0.43834200000000001</v>
      </c>
      <c r="D18" s="210">
        <v>0.43825700000000001</v>
      </c>
      <c r="E18" s="210">
        <f>+D18-C18</f>
        <v>-8.5000000000001741E-5</v>
      </c>
      <c r="F18" s="70">
        <f>IF(C18=0,0,+E18/C18)</f>
        <v>-1.9391251579817069E-4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5596677.0145439999</v>
      </c>
      <c r="D19" s="27">
        <f>+D15*D18</f>
        <v>4978434.2971109999</v>
      </c>
      <c r="E19" s="27">
        <f>+D19-C19</f>
        <v>-618242.71743299998</v>
      </c>
      <c r="F19" s="28">
        <f>IF(C19=0,0,+E19/C19)</f>
        <v>-0.11046603472495947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2079.003348641902</v>
      </c>
      <c r="D20" s="27">
        <f>IF(D13=0,0,+D19/D13)</f>
        <v>1373.3611854099311</v>
      </c>
      <c r="E20" s="27">
        <f>+D20-C20</f>
        <v>-705.64216323197093</v>
      </c>
      <c r="F20" s="28">
        <f>IF(C20=0,0,+E20/C20)</f>
        <v>-0.33941367323574922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4155473</v>
      </c>
      <c r="D22" s="51">
        <v>2043598</v>
      </c>
      <c r="E22" s="51">
        <f>+D22-C22</f>
        <v>-2111875</v>
      </c>
      <c r="F22" s="70">
        <f>IF(C22=0,0,+E22/C22)</f>
        <v>-0.5082153102667254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2431257</v>
      </c>
      <c r="D23" s="49">
        <v>2362328</v>
      </c>
      <c r="E23" s="49">
        <f>+D23-C23</f>
        <v>-68929</v>
      </c>
      <c r="F23" s="70">
        <f>IF(C23=0,0,+E23/C23)</f>
        <v>-2.835117801203246E-2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6181102</v>
      </c>
      <c r="D24" s="49">
        <v>6953697</v>
      </c>
      <c r="E24" s="49">
        <f>+D24-C24</f>
        <v>772595</v>
      </c>
      <c r="F24" s="70">
        <f>IF(C24=0,0,+E24/C24)</f>
        <v>0.12499308375755649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12767832</v>
      </c>
      <c r="D25" s="27">
        <f>+D22+D23+D24</f>
        <v>11359623</v>
      </c>
      <c r="E25" s="27">
        <f>+E22+E23+E24</f>
        <v>-1408209</v>
      </c>
      <c r="F25" s="28">
        <f>IF(C25=0,0,+E25/C25)</f>
        <v>-0.11029350950106487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1215</v>
      </c>
      <c r="D27" s="49">
        <v>611</v>
      </c>
      <c r="E27" s="49">
        <f>+D27-C27</f>
        <v>-604</v>
      </c>
      <c r="F27" s="70">
        <f>IF(C27=0,0,+E27/C27)</f>
        <v>-0.49711934156378601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244</v>
      </c>
      <c r="D28" s="49">
        <v>149</v>
      </c>
      <c r="E28" s="49">
        <f>+D28-C28</f>
        <v>-95</v>
      </c>
      <c r="F28" s="70">
        <f>IF(C28=0,0,+E28/C28)</f>
        <v>-0.38934426229508196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1597</v>
      </c>
      <c r="D29" s="49">
        <v>1968</v>
      </c>
      <c r="E29" s="49">
        <f>+D29-C29</f>
        <v>371</v>
      </c>
      <c r="F29" s="70">
        <f>IF(C29=0,0,+E29/C29)</f>
        <v>0.23231058234189106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9250</v>
      </c>
      <c r="D30" s="49">
        <v>11172</v>
      </c>
      <c r="E30" s="49">
        <f>+D30-C30</f>
        <v>1922</v>
      </c>
      <c r="F30" s="70">
        <f>IF(C30=0,0,+E30/C30)</f>
        <v>0.20778378378378379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3390996</v>
      </c>
      <c r="D33" s="51">
        <v>4398990</v>
      </c>
      <c r="E33" s="51">
        <f>+D33-C33</f>
        <v>1007994</v>
      </c>
      <c r="F33" s="70">
        <f>IF(C33=0,0,+E33/C33)</f>
        <v>0.29725602743264812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6108716</v>
      </c>
      <c r="D34" s="49">
        <v>11296531</v>
      </c>
      <c r="E34" s="49">
        <f>+D34-C34</f>
        <v>5187815</v>
      </c>
      <c r="F34" s="70">
        <f>IF(C34=0,0,+E34/C34)</f>
        <v>0.84924802528059906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1187397</v>
      </c>
      <c r="D35" s="49">
        <v>2487564</v>
      </c>
      <c r="E35" s="49">
        <f>+D35-C35</f>
        <v>1300167</v>
      </c>
      <c r="F35" s="70">
        <f>IF(C35=0,0,+E35/C35)</f>
        <v>1.0949724481365541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10687109</v>
      </c>
      <c r="D36" s="27">
        <f>+D33+D34+D35</f>
        <v>18183085</v>
      </c>
      <c r="E36" s="27">
        <f>+E33+E34+E35</f>
        <v>7495976</v>
      </c>
      <c r="F36" s="28">
        <f>IF(C36=0,0,+E36/C36)</f>
        <v>0.7014035320496872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12767832</v>
      </c>
      <c r="D39" s="51">
        <f>+D25</f>
        <v>11359623</v>
      </c>
      <c r="E39" s="51">
        <f>+D39-C39</f>
        <v>-1408209</v>
      </c>
      <c r="F39" s="70">
        <f>IF(C39=0,0,+E39/C39)</f>
        <v>-0.11029350950106487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10687109</v>
      </c>
      <c r="D40" s="49">
        <f>+D36</f>
        <v>18183085</v>
      </c>
      <c r="E40" s="49">
        <f>+D40-C40</f>
        <v>7495976</v>
      </c>
      <c r="F40" s="70">
        <f>IF(C40=0,0,+E40/C40)</f>
        <v>0.7014035320496872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23454941</v>
      </c>
      <c r="D41" s="27">
        <f>+D39+D40</f>
        <v>29542708</v>
      </c>
      <c r="E41" s="27">
        <f>+E39+E40</f>
        <v>6087767</v>
      </c>
      <c r="F41" s="28">
        <f>IF(C41=0,0,+E41/C41)</f>
        <v>0.25955158019796343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7546469</v>
      </c>
      <c r="D43" s="51">
        <f t="shared" si="0"/>
        <v>6442588</v>
      </c>
      <c r="E43" s="51">
        <f>+D43-C43</f>
        <v>-1103881</v>
      </c>
      <c r="F43" s="70">
        <f>IF(C43=0,0,+E43/C43)</f>
        <v>-0.14627781549225208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8539973</v>
      </c>
      <c r="D44" s="49">
        <f t="shared" si="0"/>
        <v>13658859</v>
      </c>
      <c r="E44" s="49">
        <f>+D44-C44</f>
        <v>5118886</v>
      </c>
      <c r="F44" s="70">
        <f>IF(C44=0,0,+E44/C44)</f>
        <v>0.59940306602842885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7368499</v>
      </c>
      <c r="D45" s="49">
        <f t="shared" si="0"/>
        <v>9441261</v>
      </c>
      <c r="E45" s="49">
        <f>+D45-C45</f>
        <v>2072762</v>
      </c>
      <c r="F45" s="70">
        <f>IF(C45=0,0,+E45/C45)</f>
        <v>0.28130043852893244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23454941</v>
      </c>
      <c r="D46" s="27">
        <f>+D43+D44+D45</f>
        <v>29542708</v>
      </c>
      <c r="E46" s="27">
        <f>+E43+E44+E45</f>
        <v>6087767</v>
      </c>
      <c r="F46" s="28">
        <f>IF(C46=0,0,+E46/C46)</f>
        <v>0.25955158019796343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FILING&amp;RDANBURY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427508232</v>
      </c>
      <c r="D15" s="51">
        <v>440484262</v>
      </c>
      <c r="E15" s="51">
        <f>+D15-C15</f>
        <v>12976030</v>
      </c>
      <c r="F15" s="70">
        <f>+E15/C15</f>
        <v>3.0352702073816441E-2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163017434</v>
      </c>
      <c r="D17" s="51">
        <v>166071162</v>
      </c>
      <c r="E17" s="51">
        <f>+D17-C17</f>
        <v>3053728</v>
      </c>
      <c r="F17" s="70">
        <f>+E17/C17</f>
        <v>1.8732524031754787E-2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264490798</v>
      </c>
      <c r="D19" s="27">
        <f>+D15-D17</f>
        <v>274413100</v>
      </c>
      <c r="E19" s="27">
        <f>+D19-C19</f>
        <v>9922302</v>
      </c>
      <c r="F19" s="28">
        <f>+E19/C19</f>
        <v>3.7514734255518406E-2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0.38131998824293983</v>
      </c>
      <c r="D21" s="628">
        <f>+D17/D15</f>
        <v>0.37701951312848492</v>
      </c>
      <c r="E21" s="628">
        <f>+D21-C21</f>
        <v>-4.3004751144549158E-3</v>
      </c>
      <c r="F21" s="28">
        <f>+E21/C21</f>
        <v>-1.1277864384373875E-2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FILING&amp;R&amp;12DANBURY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="75" workbookViewId="0">
      <selection activeCell="A8" sqref="A8"/>
    </sheetView>
  </sheetViews>
  <sheetFormatPr defaultRowHeight="12.75" x14ac:dyDescent="0.2"/>
  <cols>
    <col min="1" max="1" width="9.42578125" customWidth="1"/>
    <col min="2" max="2" width="83.5703125" customWidth="1"/>
    <col min="3" max="3" width="19.5703125" customWidth="1"/>
    <col min="4" max="4" width="19.28515625" customWidth="1"/>
    <col min="5" max="5" width="18.8554687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498743209</v>
      </c>
      <c r="D10" s="641">
        <v>512924104</v>
      </c>
      <c r="E10" s="641">
        <v>544326430</v>
      </c>
    </row>
    <row r="11" spans="1:6" ht="26.1" customHeight="1" x14ac:dyDescent="0.25">
      <c r="A11" s="639">
        <v>2</v>
      </c>
      <c r="B11" s="640" t="s">
        <v>907</v>
      </c>
      <c r="C11" s="641">
        <v>503600187</v>
      </c>
      <c r="D11" s="641">
        <v>529890812</v>
      </c>
      <c r="E11" s="641">
        <v>568826659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1002343396</v>
      </c>
      <c r="D12" s="641">
        <f>+D11+D10</f>
        <v>1042814916</v>
      </c>
      <c r="E12" s="641">
        <f>+E11+E10</f>
        <v>1113153089</v>
      </c>
    </row>
    <row r="13" spans="1:6" ht="26.1" customHeight="1" x14ac:dyDescent="0.25">
      <c r="A13" s="639">
        <v>4</v>
      </c>
      <c r="B13" s="640" t="s">
        <v>484</v>
      </c>
      <c r="C13" s="641">
        <v>457712742</v>
      </c>
      <c r="D13" s="641">
        <v>471020724</v>
      </c>
      <c r="E13" s="641">
        <v>497720490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442588744</v>
      </c>
      <c r="D16" s="641">
        <v>460314702</v>
      </c>
      <c r="E16" s="641">
        <v>495471968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91794</v>
      </c>
      <c r="D19" s="644">
        <v>95884</v>
      </c>
      <c r="E19" s="644">
        <v>96663</v>
      </c>
    </row>
    <row r="20" spans="1:5" ht="26.1" customHeight="1" x14ac:dyDescent="0.25">
      <c r="A20" s="639">
        <v>2</v>
      </c>
      <c r="B20" s="640" t="s">
        <v>373</v>
      </c>
      <c r="C20" s="645">
        <v>20497</v>
      </c>
      <c r="D20" s="645">
        <v>20715</v>
      </c>
      <c r="E20" s="645">
        <v>20763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4.4784114748499784</v>
      </c>
      <c r="D21" s="646">
        <f>IF(D20=0,0,+D19/D20)</f>
        <v>4.6287231474776735</v>
      </c>
      <c r="E21" s="646">
        <f>IF(E20=0,0,+E19/E20)</f>
        <v>4.6555411067764778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184481.92984302671</v>
      </c>
      <c r="D22" s="645">
        <f>IF(D10=0,0,D19*(D12/D10))</f>
        <v>194939.68917815568</v>
      </c>
      <c r="E22" s="645">
        <f>IF(E10=0,0,E19*(E12/E10))</f>
        <v>197676.81874644043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41193.608688939566</v>
      </c>
      <c r="D23" s="645">
        <f>IF(D10=0,0,D20*(D12/D10))</f>
        <v>42115.219028466636</v>
      </c>
      <c r="E23" s="645">
        <f>IF(E10=0,0,E20*(E12/E10))</f>
        <v>42460.546306573793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1.1988642142752599</v>
      </c>
      <c r="D26" s="647">
        <v>1.2010797151822352</v>
      </c>
      <c r="E26" s="647">
        <v>1.2321240620334251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110048.54168518321</v>
      </c>
      <c r="D27" s="645">
        <f>D19*D26</f>
        <v>115164.32741053344</v>
      </c>
      <c r="E27" s="645">
        <f>E19*E26</f>
        <v>119100.80820833697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24573.119800000004</v>
      </c>
      <c r="D28" s="645">
        <f>D20*D26</f>
        <v>24880.366300000002</v>
      </c>
      <c r="E28" s="645">
        <f>E20*E26</f>
        <v>25582.591900000003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221168.78386924384</v>
      </c>
      <c r="D29" s="645">
        <f>D22*D26</f>
        <v>234138.10635581269</v>
      </c>
      <c r="E29" s="645">
        <f>E22*E26</f>
        <v>243562.36488370929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49385.543314028051</v>
      </c>
      <c r="D30" s="645">
        <f>D23*D26</f>
        <v>50583.735275548162</v>
      </c>
      <c r="E30" s="645">
        <f>E23*E26</f>
        <v>52316.660791414048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10919.487068871604</v>
      </c>
      <c r="D33" s="641">
        <f>IF(D19=0,0,D12/D19)</f>
        <v>10875.796962996954</v>
      </c>
      <c r="E33" s="641">
        <f>IF(E19=0,0,E12/E19)</f>
        <v>11515.81358948098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48901.956188710545</v>
      </c>
      <c r="D34" s="641">
        <f>IF(D20=0,0,D12/D20)</f>
        <v>50341.053149891384</v>
      </c>
      <c r="E34" s="641">
        <f>IF(E20=0,0,E12/E20)</f>
        <v>53612.34354380388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5433.2876767544712</v>
      </c>
      <c r="D35" s="641">
        <f>IF(D22=0,0,D12/D22)</f>
        <v>5349.4233031579824</v>
      </c>
      <c r="E35" s="641">
        <f>IF(E22=0,0,E12/E22)</f>
        <v>5631.1766653217883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24332.497877738202</v>
      </c>
      <c r="D36" s="641">
        <f>IF(D23=0,0,D12/D23)</f>
        <v>24760.999468983828</v>
      </c>
      <c r="E36" s="641">
        <f>IF(E23=0,0,E12/E23)</f>
        <v>26216.174444926073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4532.0292423934052</v>
      </c>
      <c r="D37" s="641">
        <f>IF(D29=0,0,D12/D29)</f>
        <v>4453.8453489295134</v>
      </c>
      <c r="E37" s="641">
        <f>IF(E29=0,0,E12/E29)</f>
        <v>4570.3000524382469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20296.291763490281</v>
      </c>
      <c r="D38" s="641">
        <f>IF(D30=0,0,D12/D30)</f>
        <v>20615.617061875811</v>
      </c>
      <c r="E38" s="641">
        <f>IF(E30=0,0,E12/E30)</f>
        <v>21277.219764428948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2703.4800070899851</v>
      </c>
      <c r="D39" s="641">
        <f>IF(D22=0,0,D10/D22)</f>
        <v>2631.193812621902</v>
      </c>
      <c r="E39" s="641">
        <f>IF(E22=0,0,E10/E22)</f>
        <v>2753.6179176285013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12107.295885779289</v>
      </c>
      <c r="D40" s="641">
        <f>IF(D23=0,0,D10/D23)</f>
        <v>12179.06770598303</v>
      </c>
      <c r="E40" s="641">
        <f>IF(E23=0,0,E10/E23)</f>
        <v>12819.581407875732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4986.3034838878357</v>
      </c>
      <c r="D43" s="641">
        <f>IF(D19=0,0,D13/D19)</f>
        <v>4912.4016937132365</v>
      </c>
      <c r="E43" s="641">
        <f>IF(E19=0,0,E13/E19)</f>
        <v>5149.0279631296362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22330.718739327705</v>
      </c>
      <c r="D44" s="641">
        <f>IF(D20=0,0,D13/D20)</f>
        <v>22738.147429398985</v>
      </c>
      <c r="E44" s="641">
        <f>IF(E20=0,0,E13/E20)</f>
        <v>23971.511342291575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2481.0708690518463</v>
      </c>
      <c r="D45" s="641">
        <f>IF(D22=0,0,D13/D22)</f>
        <v>2416.2382015985131</v>
      </c>
      <c r="E45" s="641">
        <f>IF(E22=0,0,E13/E22)</f>
        <v>2517.8495544205657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11111.256249877795</v>
      </c>
      <c r="D46" s="641">
        <f>IF(D23=0,0,D13/D23)</f>
        <v>11184.097693558862</v>
      </c>
      <c r="E46" s="641">
        <f>IF(E23=0,0,E13/E23)</f>
        <v>11721.952101283781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2069.5178315516814</v>
      </c>
      <c r="D47" s="641">
        <f>IF(D29=0,0,D13/D29)</f>
        <v>2011.7217625575388</v>
      </c>
      <c r="E47" s="641">
        <f>IF(E29=0,0,E13/E29)</f>
        <v>2043.5032737411645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9268.1524042276942</v>
      </c>
      <c r="D48" s="641">
        <f>IF(D30=0,0,D13/D30)</f>
        <v>9311.7030886346638</v>
      </c>
      <c r="E48" s="641">
        <f>IF(E30=0,0,E13/E30)</f>
        <v>9513.6134927342955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4821.543281695971</v>
      </c>
      <c r="D51" s="641">
        <f>IF(D19=0,0,D16/D19)</f>
        <v>4800.7457135705645</v>
      </c>
      <c r="E51" s="641">
        <f>IF(E19=0,0,E16/E19)</f>
        <v>5125.7665083848005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21592.854759233058</v>
      </c>
      <c r="D52" s="641">
        <f>IF(D20=0,0,D16/D20)</f>
        <v>22221.322809558293</v>
      </c>
      <c r="E52" s="641">
        <f>IF(E20=0,0,E16/E20)</f>
        <v>23863.216683523577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2399.0899508509751</v>
      </c>
      <c r="D53" s="641">
        <f>IF(D22=0,0,D16/D22)</f>
        <v>2361.3185387779995</v>
      </c>
      <c r="E53" s="641">
        <f>IF(E22=0,0,E16/E22)</f>
        <v>2506.4748165314249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10744.111965088277</v>
      </c>
      <c r="D54" s="641">
        <f>IF(D23=0,0,D16/D23)</f>
        <v>10929.889779009882</v>
      </c>
      <c r="E54" s="641">
        <f>IF(E23=0,0,E16/E23)</f>
        <v>11668.996541462078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2001.1356768216478</v>
      </c>
      <c r="D55" s="641">
        <f>IF(D29=0,0,D16/D29)</f>
        <v>1965.9965187404116</v>
      </c>
      <c r="E55" s="641">
        <f>IF(E29=0,0,E16/E29)</f>
        <v>2034.2714615887676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8961.9089778097441</v>
      </c>
      <c r="D56" s="641">
        <f>IF(D30=0,0,D16/D30)</f>
        <v>9100.0535941542657</v>
      </c>
      <c r="E56" s="641">
        <f>IF(E30=0,0,E16/E30)</f>
        <v>9470.6344117687731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52331167</v>
      </c>
      <c r="D59" s="649">
        <v>54797841</v>
      </c>
      <c r="E59" s="649">
        <v>58301687</v>
      </c>
    </row>
    <row r="60" spans="1:6" ht="26.1" customHeight="1" x14ac:dyDescent="0.25">
      <c r="A60" s="639">
        <v>2</v>
      </c>
      <c r="B60" s="640" t="s">
        <v>943</v>
      </c>
      <c r="C60" s="649">
        <v>14967226</v>
      </c>
      <c r="D60" s="649">
        <v>18746472</v>
      </c>
      <c r="E60" s="649">
        <v>20247827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67298393</v>
      </c>
      <c r="D61" s="652">
        <f>D59+D60</f>
        <v>73544313</v>
      </c>
      <c r="E61" s="652">
        <f>E59+E60</f>
        <v>78549514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5994805</v>
      </c>
      <c r="D64" s="641">
        <v>6365059</v>
      </c>
      <c r="E64" s="649">
        <v>7419911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1714573</v>
      </c>
      <c r="D65" s="649">
        <v>2177502</v>
      </c>
      <c r="E65" s="649">
        <v>2576891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7709378</v>
      </c>
      <c r="D66" s="654">
        <f>D64+D65</f>
        <v>8542561</v>
      </c>
      <c r="E66" s="654">
        <f>E64+E65</f>
        <v>9996802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123640954</v>
      </c>
      <c r="D69" s="649">
        <v>125010388</v>
      </c>
      <c r="E69" s="649">
        <v>128541073</v>
      </c>
    </row>
    <row r="70" spans="1:6" ht="26.1" customHeight="1" x14ac:dyDescent="0.25">
      <c r="A70" s="639">
        <v>2</v>
      </c>
      <c r="B70" s="640" t="s">
        <v>951</v>
      </c>
      <c r="C70" s="649">
        <v>35362523</v>
      </c>
      <c r="D70" s="649">
        <v>42766350</v>
      </c>
      <c r="E70" s="649">
        <v>44641545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159003477</v>
      </c>
      <c r="D71" s="652">
        <f>D69+D70</f>
        <v>167776738</v>
      </c>
      <c r="E71" s="652">
        <f>E69+E70</f>
        <v>173182618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181966926</v>
      </c>
      <c r="D75" s="641">
        <f t="shared" si="0"/>
        <v>186173288</v>
      </c>
      <c r="E75" s="641">
        <f t="shared" si="0"/>
        <v>194262671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52044322</v>
      </c>
      <c r="D76" s="641">
        <f t="shared" si="0"/>
        <v>63690324</v>
      </c>
      <c r="E76" s="641">
        <f t="shared" si="0"/>
        <v>67466263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234011248</v>
      </c>
      <c r="D77" s="654">
        <f>D75+D76</f>
        <v>249863612</v>
      </c>
      <c r="E77" s="654">
        <f>E75+E76</f>
        <v>261728934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551.4</v>
      </c>
      <c r="D80" s="646">
        <v>564.29999999999995</v>
      </c>
      <c r="E80" s="646">
        <v>572.29999999999995</v>
      </c>
    </row>
    <row r="81" spans="1:5" ht="26.1" customHeight="1" x14ac:dyDescent="0.25">
      <c r="A81" s="639">
        <v>2</v>
      </c>
      <c r="B81" s="640" t="s">
        <v>584</v>
      </c>
      <c r="C81" s="646">
        <v>79.599999999999994</v>
      </c>
      <c r="D81" s="646">
        <v>87.4</v>
      </c>
      <c r="E81" s="646">
        <v>97.8</v>
      </c>
    </row>
    <row r="82" spans="1:5" ht="26.1" customHeight="1" x14ac:dyDescent="0.25">
      <c r="A82" s="639">
        <v>3</v>
      </c>
      <c r="B82" s="640" t="s">
        <v>957</v>
      </c>
      <c r="C82" s="646">
        <v>1817</v>
      </c>
      <c r="D82" s="646">
        <v>1841.1</v>
      </c>
      <c r="E82" s="646">
        <v>1871.2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2448</v>
      </c>
      <c r="D83" s="656">
        <f>D80+D81+D82</f>
        <v>2492.7999999999997</v>
      </c>
      <c r="E83" s="656">
        <f>E80+E81+E82</f>
        <v>2541.3000000000002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94905.997461008345</v>
      </c>
      <c r="D86" s="649">
        <f>IF(D80=0,0,D59/D80)</f>
        <v>97107.639553429035</v>
      </c>
      <c r="E86" s="649">
        <f>IF(E80=0,0,E59/E80)</f>
        <v>101872.59654027609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27144.044250997464</v>
      </c>
      <c r="D87" s="649">
        <f>IF(D80=0,0,D60/D80)</f>
        <v>33220.754917597027</v>
      </c>
      <c r="E87" s="649">
        <f>IF(E80=0,0,E60/E80)</f>
        <v>35379.743141708896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122050.04171200581</v>
      </c>
      <c r="D88" s="652">
        <f>+D86+D87</f>
        <v>130328.39447102605</v>
      </c>
      <c r="E88" s="652">
        <f>+E86+E87</f>
        <v>137252.33968198497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75311.620603015079</v>
      </c>
      <c r="D91" s="641">
        <f>IF(D81=0,0,D64/D81)</f>
        <v>72826.762013729967</v>
      </c>
      <c r="E91" s="641">
        <f>IF(E81=0,0,E64/E81)</f>
        <v>75868.21063394683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21539.861809045229</v>
      </c>
      <c r="D92" s="641">
        <f>IF(D81=0,0,D65/D81)</f>
        <v>24914.210526315786</v>
      </c>
      <c r="E92" s="641">
        <f>IF(E81=0,0,E65/E81)</f>
        <v>26348.57873210634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96851.482412060315</v>
      </c>
      <c r="D93" s="654">
        <f>+D91+D92</f>
        <v>97740.972540045754</v>
      </c>
      <c r="E93" s="654">
        <f>+E91+E92</f>
        <v>102216.78936605317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68046.75509080902</v>
      </c>
      <c r="D96" s="649">
        <f>IF(D82=0,0,D69/D82)</f>
        <v>67899.835967628052</v>
      </c>
      <c r="E96" s="649">
        <f>IF(E82=0,0,E69/E82)</f>
        <v>68694.45970500214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19462.037974683546</v>
      </c>
      <c r="D97" s="649">
        <f>IF(D82=0,0,D70/D82)</f>
        <v>23228.694802020531</v>
      </c>
      <c r="E97" s="649">
        <f>IF(E82=0,0,E70/E82)</f>
        <v>23857.17454040188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87508.793065492559</v>
      </c>
      <c r="D98" s="654">
        <f>+D96+D97</f>
        <v>91128.530769648583</v>
      </c>
      <c r="E98" s="654">
        <f>+E96+E97</f>
        <v>92551.634245404013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74332.894607843133</v>
      </c>
      <c r="D101" s="641">
        <f>IF(D83=0,0,D75/D83)</f>
        <v>74684.406290115541</v>
      </c>
      <c r="E101" s="641">
        <f>IF(E83=0,0,E75/E83)</f>
        <v>76442.242553024043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21259.935457516342</v>
      </c>
      <c r="D102" s="658">
        <f>IF(D83=0,0,D76/D83)</f>
        <v>25549.712772785624</v>
      </c>
      <c r="E102" s="658">
        <f>IF(E83=0,0,E76/E83)</f>
        <v>26547.933341203319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95592.830065359478</v>
      </c>
      <c r="D103" s="654">
        <f>+D101+D102</f>
        <v>100234.11906290117</v>
      </c>
      <c r="E103" s="654">
        <f>+E101+E102</f>
        <v>102990.17589422736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2549.3087565636097</v>
      </c>
      <c r="D108" s="641">
        <f>IF(D19=0,0,D77/D19)</f>
        <v>2605.8947478202826</v>
      </c>
      <c r="E108" s="641">
        <f>IF(E19=0,0,E77/E19)</f>
        <v>2707.6434002669066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11416.853588329999</v>
      </c>
      <c r="D109" s="641">
        <f>IF(D20=0,0,D77/D20)</f>
        <v>12061.965339126236</v>
      </c>
      <c r="E109" s="641">
        <f>IF(E20=0,0,E77/E20)</f>
        <v>12605.545152434619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1268.4778839809251</v>
      </c>
      <c r="D110" s="641">
        <f>IF(D22=0,0,D77/D22)</f>
        <v>1281.7482835506589</v>
      </c>
      <c r="E110" s="641">
        <f>IF(E22=0,0,E77/E22)</f>
        <v>1324.0244134832981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5680.7659112135943</v>
      </c>
      <c r="D111" s="641">
        <f>IF(D23=0,0,D77/D23)</f>
        <v>5932.8579493107109</v>
      </c>
      <c r="E111" s="641">
        <f>IF(E23=0,0,E77/E23)</f>
        <v>6164.0500833471096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1058.0663505314055</v>
      </c>
      <c r="D112" s="641">
        <f>IF(D29=0,0,D77/D29)</f>
        <v>1067.1633758764997</v>
      </c>
      <c r="E112" s="641">
        <f>IF(E29=0,0,E77/E29)</f>
        <v>1074.5869302302285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4738.4564853724851</v>
      </c>
      <c r="D113" s="641">
        <f>IF(D30=0,0,D77/D30)</f>
        <v>4939.6038200599705</v>
      </c>
      <c r="E113" s="641">
        <f>IF(E30=0,0,E77/E30)</f>
        <v>5002.7836264915759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FILING&amp;R&amp;12DANBURY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1042814916</v>
      </c>
      <c r="D12" s="51">
        <v>1113153089</v>
      </c>
      <c r="E12" s="51">
        <f t="shared" ref="E12:E19" si="0">D12-C12</f>
        <v>70338173</v>
      </c>
      <c r="F12" s="70">
        <f t="shared" ref="F12:F19" si="1">IF(C12=0,0,E12/C12)</f>
        <v>6.7450294314739159E-2</v>
      </c>
    </row>
    <row r="13" spans="1:8" ht="23.1" customHeight="1" x14ac:dyDescent="0.2">
      <c r="A13" s="25">
        <v>2</v>
      </c>
      <c r="B13" s="48" t="s">
        <v>72</v>
      </c>
      <c r="C13" s="51">
        <v>559026360</v>
      </c>
      <c r="D13" s="51">
        <v>604072976</v>
      </c>
      <c r="E13" s="51">
        <f t="shared" si="0"/>
        <v>45046616</v>
      </c>
      <c r="F13" s="70">
        <f t="shared" si="1"/>
        <v>8.0580486401392593E-2</v>
      </c>
    </row>
    <row r="14" spans="1:8" ht="23.1" customHeight="1" x14ac:dyDescent="0.2">
      <c r="A14" s="25">
        <v>3</v>
      </c>
      <c r="B14" s="48" t="s">
        <v>73</v>
      </c>
      <c r="C14" s="51">
        <v>12767832</v>
      </c>
      <c r="D14" s="51">
        <v>11359623</v>
      </c>
      <c r="E14" s="51">
        <f t="shared" si="0"/>
        <v>-1408209</v>
      </c>
      <c r="F14" s="70">
        <f t="shared" si="1"/>
        <v>-0.11029350950106487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471020724</v>
      </c>
      <c r="D16" s="27">
        <f>D12-D13-D14-D15</f>
        <v>497720490</v>
      </c>
      <c r="E16" s="27">
        <f t="shared" si="0"/>
        <v>26699766</v>
      </c>
      <c r="F16" s="28">
        <f t="shared" si="1"/>
        <v>5.668490713797128E-2</v>
      </c>
    </row>
    <row r="17" spans="1:7" ht="23.1" customHeight="1" x14ac:dyDescent="0.2">
      <c r="A17" s="25">
        <v>5</v>
      </c>
      <c r="B17" s="48" t="s">
        <v>76</v>
      </c>
      <c r="C17" s="51">
        <v>10083592</v>
      </c>
      <c r="D17" s="51">
        <v>13930894</v>
      </c>
      <c r="E17" s="51">
        <f t="shared" si="0"/>
        <v>3847302</v>
      </c>
      <c r="F17" s="70">
        <f t="shared" si="1"/>
        <v>0.3815408239444833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481104316</v>
      </c>
      <c r="D19" s="27">
        <f>SUM(D16:D18)</f>
        <v>511651384</v>
      </c>
      <c r="E19" s="27">
        <f t="shared" si="0"/>
        <v>30547068</v>
      </c>
      <c r="F19" s="28">
        <f t="shared" si="1"/>
        <v>6.3493647810052067E-2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186173288</v>
      </c>
      <c r="D22" s="51">
        <v>194262671</v>
      </c>
      <c r="E22" s="51">
        <f t="shared" ref="E22:E31" si="2">D22-C22</f>
        <v>8089383</v>
      </c>
      <c r="F22" s="70">
        <f t="shared" ref="F22:F31" si="3">IF(C22=0,0,E22/C22)</f>
        <v>4.3450825233317038E-2</v>
      </c>
    </row>
    <row r="23" spans="1:7" ht="23.1" customHeight="1" x14ac:dyDescent="0.2">
      <c r="A23" s="25">
        <v>2</v>
      </c>
      <c r="B23" s="48" t="s">
        <v>81</v>
      </c>
      <c r="C23" s="51">
        <v>63690324</v>
      </c>
      <c r="D23" s="51">
        <v>67466263</v>
      </c>
      <c r="E23" s="51">
        <f t="shared" si="2"/>
        <v>3775939</v>
      </c>
      <c r="F23" s="70">
        <f t="shared" si="3"/>
        <v>5.9285912880581361E-2</v>
      </c>
    </row>
    <row r="24" spans="1:7" ht="23.1" customHeight="1" x14ac:dyDescent="0.2">
      <c r="A24" s="25">
        <v>3</v>
      </c>
      <c r="B24" s="48" t="s">
        <v>82</v>
      </c>
      <c r="C24" s="51">
        <v>41098443</v>
      </c>
      <c r="D24" s="51">
        <v>45908952</v>
      </c>
      <c r="E24" s="51">
        <f t="shared" si="2"/>
        <v>4810509</v>
      </c>
      <c r="F24" s="70">
        <f t="shared" si="3"/>
        <v>0.11704844876970157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66235697</v>
      </c>
      <c r="D25" s="51">
        <v>71592342</v>
      </c>
      <c r="E25" s="51">
        <f t="shared" si="2"/>
        <v>5356645</v>
      </c>
      <c r="F25" s="70">
        <f t="shared" si="3"/>
        <v>8.0872478778324014E-2</v>
      </c>
    </row>
    <row r="26" spans="1:7" ht="23.1" customHeight="1" x14ac:dyDescent="0.2">
      <c r="A26" s="25">
        <v>5</v>
      </c>
      <c r="B26" s="48" t="s">
        <v>84</v>
      </c>
      <c r="C26" s="51">
        <v>25703935</v>
      </c>
      <c r="D26" s="51">
        <v>27369949</v>
      </c>
      <c r="E26" s="51">
        <f t="shared" si="2"/>
        <v>1666014</v>
      </c>
      <c r="F26" s="70">
        <f t="shared" si="3"/>
        <v>6.4815523381925769E-2</v>
      </c>
    </row>
    <row r="27" spans="1:7" ht="23.1" customHeight="1" x14ac:dyDescent="0.2">
      <c r="A27" s="25">
        <v>6</v>
      </c>
      <c r="B27" s="48" t="s">
        <v>85</v>
      </c>
      <c r="C27" s="51">
        <v>10687109</v>
      </c>
      <c r="D27" s="51">
        <v>18183085</v>
      </c>
      <c r="E27" s="51">
        <f t="shared" si="2"/>
        <v>7495976</v>
      </c>
      <c r="F27" s="70">
        <f t="shared" si="3"/>
        <v>0.7014035320496872</v>
      </c>
    </row>
    <row r="28" spans="1:7" ht="23.1" customHeight="1" x14ac:dyDescent="0.2">
      <c r="A28" s="25">
        <v>7</v>
      </c>
      <c r="B28" s="48" t="s">
        <v>86</v>
      </c>
      <c r="C28" s="51">
        <v>4557278</v>
      </c>
      <c r="D28" s="51">
        <v>4587742</v>
      </c>
      <c r="E28" s="51">
        <f t="shared" si="2"/>
        <v>30464</v>
      </c>
      <c r="F28" s="70">
        <f t="shared" si="3"/>
        <v>6.6846920464364908E-3</v>
      </c>
    </row>
    <row r="29" spans="1:7" ht="23.1" customHeight="1" x14ac:dyDescent="0.2">
      <c r="A29" s="25">
        <v>8</v>
      </c>
      <c r="B29" s="48" t="s">
        <v>87</v>
      </c>
      <c r="C29" s="51">
        <v>6692376</v>
      </c>
      <c r="D29" s="51">
        <v>6373521</v>
      </c>
      <c r="E29" s="51">
        <f t="shared" si="2"/>
        <v>-318855</v>
      </c>
      <c r="F29" s="70">
        <f t="shared" si="3"/>
        <v>-4.7644513697377433E-2</v>
      </c>
    </row>
    <row r="30" spans="1:7" ht="23.1" customHeight="1" x14ac:dyDescent="0.2">
      <c r="A30" s="25">
        <v>9</v>
      </c>
      <c r="B30" s="48" t="s">
        <v>88</v>
      </c>
      <c r="C30" s="51">
        <v>55476252</v>
      </c>
      <c r="D30" s="51">
        <v>59727443</v>
      </c>
      <c r="E30" s="51">
        <f t="shared" si="2"/>
        <v>4251191</v>
      </c>
      <c r="F30" s="70">
        <f t="shared" si="3"/>
        <v>7.663082574504132E-2</v>
      </c>
    </row>
    <row r="31" spans="1:7" ht="23.1" customHeight="1" x14ac:dyDescent="0.25">
      <c r="A31" s="29"/>
      <c r="B31" s="71" t="s">
        <v>89</v>
      </c>
      <c r="C31" s="27">
        <f>SUM(C22:C30)</f>
        <v>460314702</v>
      </c>
      <c r="D31" s="27">
        <f>SUM(D22:D30)</f>
        <v>495471968</v>
      </c>
      <c r="E31" s="27">
        <f t="shared" si="2"/>
        <v>35157266</v>
      </c>
      <c r="F31" s="28">
        <f t="shared" si="3"/>
        <v>7.6376587250519754E-2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20789614</v>
      </c>
      <c r="D33" s="27">
        <f>+D19-D31</f>
        <v>16179416</v>
      </c>
      <c r="E33" s="27">
        <f>D33-C33</f>
        <v>-4610198</v>
      </c>
      <c r="F33" s="28">
        <f>IF(C33=0,0,E33/C33)</f>
        <v>-0.22175486278869824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20550654</v>
      </c>
      <c r="D36" s="51">
        <v>7435069</v>
      </c>
      <c r="E36" s="51">
        <f>D36-C36</f>
        <v>-13115585</v>
      </c>
      <c r="F36" s="70">
        <f>IF(C36=0,0,E36/C36)</f>
        <v>-0.63820766969265308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3239430</v>
      </c>
      <c r="D38" s="51">
        <v>71435</v>
      </c>
      <c r="E38" s="51">
        <f>D38-C38</f>
        <v>-3167995</v>
      </c>
      <c r="F38" s="70">
        <f>IF(C38=0,0,E38/C38)</f>
        <v>-0.97794828102474818</v>
      </c>
    </row>
    <row r="39" spans="1:6" ht="23.1" customHeight="1" x14ac:dyDescent="0.25">
      <c r="A39" s="20"/>
      <c r="B39" s="71" t="s">
        <v>95</v>
      </c>
      <c r="C39" s="27">
        <f>SUM(C36:C38)</f>
        <v>23790084</v>
      </c>
      <c r="D39" s="27">
        <f>SUM(D36:D38)</f>
        <v>7506504</v>
      </c>
      <c r="E39" s="27">
        <f>D39-C39</f>
        <v>-16283580</v>
      </c>
      <c r="F39" s="28">
        <f>IF(C39=0,0,E39/C39)</f>
        <v>-0.684469209944782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44579698</v>
      </c>
      <c r="D41" s="27">
        <f>D33+D39</f>
        <v>23685920</v>
      </c>
      <c r="E41" s="27">
        <f>D41-C41</f>
        <v>-20893778</v>
      </c>
      <c r="F41" s="28">
        <f>IF(C41=0,0,E41/C41)</f>
        <v>-0.46868370440732909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44579698</v>
      </c>
      <c r="D48" s="27">
        <f>D41+D46</f>
        <v>23685920</v>
      </c>
      <c r="E48" s="27">
        <f>D48-C48</f>
        <v>-20893778</v>
      </c>
      <c r="F48" s="28">
        <f>IF(C48=0,0,E48/C48)</f>
        <v>-0.46868370440732909</v>
      </c>
    </row>
    <row r="49" spans="1:6" ht="23.1" customHeight="1" x14ac:dyDescent="0.2">
      <c r="A49" s="44"/>
      <c r="B49" s="48" t="s">
        <v>102</v>
      </c>
      <c r="C49" s="51">
        <v>2460000</v>
      </c>
      <c r="D49" s="51">
        <v>35125000</v>
      </c>
      <c r="E49" s="51">
        <f>D49-C49</f>
        <v>32665000</v>
      </c>
      <c r="F49" s="70">
        <f>IF(C49=0,0,E49/C49)</f>
        <v>13.278455284552846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FILING&amp;RDANBURY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0.8554687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244317017</v>
      </c>
      <c r="D14" s="97">
        <v>268150184</v>
      </c>
      <c r="E14" s="97">
        <f t="shared" ref="E14:E25" si="0">D14-C14</f>
        <v>23833167</v>
      </c>
      <c r="F14" s="98">
        <f t="shared" ref="F14:F25" si="1">IF(C14=0,0,E14/C14)</f>
        <v>9.7550171873619432E-2</v>
      </c>
    </row>
    <row r="15" spans="1:6" ht="18" customHeight="1" x14ac:dyDescent="0.25">
      <c r="A15" s="99">
        <v>2</v>
      </c>
      <c r="B15" s="100" t="s">
        <v>113</v>
      </c>
      <c r="C15" s="97">
        <v>18140524</v>
      </c>
      <c r="D15" s="97">
        <v>23714332</v>
      </c>
      <c r="E15" s="97">
        <f t="shared" si="0"/>
        <v>5573808</v>
      </c>
      <c r="F15" s="98">
        <f t="shared" si="1"/>
        <v>0.30725727658142621</v>
      </c>
    </row>
    <row r="16" spans="1:6" ht="18" customHeight="1" x14ac:dyDescent="0.25">
      <c r="A16" s="99">
        <v>3</v>
      </c>
      <c r="B16" s="100" t="s">
        <v>114</v>
      </c>
      <c r="C16" s="97">
        <v>29728277</v>
      </c>
      <c r="D16" s="97">
        <v>41817164</v>
      </c>
      <c r="E16" s="97">
        <f t="shared" si="0"/>
        <v>12088887</v>
      </c>
      <c r="F16" s="98">
        <f t="shared" si="1"/>
        <v>0.40664606966626421</v>
      </c>
    </row>
    <row r="17" spans="1:6" ht="18" customHeight="1" x14ac:dyDescent="0.25">
      <c r="A17" s="99">
        <v>4</v>
      </c>
      <c r="B17" s="100" t="s">
        <v>115</v>
      </c>
      <c r="C17" s="97">
        <v>16597039</v>
      </c>
      <c r="D17" s="97">
        <v>18059075</v>
      </c>
      <c r="E17" s="97">
        <f t="shared" si="0"/>
        <v>1462036</v>
      </c>
      <c r="F17" s="98">
        <f t="shared" si="1"/>
        <v>8.8090170782872776E-2</v>
      </c>
    </row>
    <row r="18" spans="1:6" ht="18" customHeight="1" x14ac:dyDescent="0.25">
      <c r="A18" s="99">
        <v>5</v>
      </c>
      <c r="B18" s="100" t="s">
        <v>116</v>
      </c>
      <c r="C18" s="97">
        <v>1250805</v>
      </c>
      <c r="D18" s="97">
        <v>632468</v>
      </c>
      <c r="E18" s="97">
        <f t="shared" si="0"/>
        <v>-618337</v>
      </c>
      <c r="F18" s="98">
        <f t="shared" si="1"/>
        <v>-0.49435123780285495</v>
      </c>
    </row>
    <row r="19" spans="1:6" ht="18" customHeight="1" x14ac:dyDescent="0.25">
      <c r="A19" s="99">
        <v>6</v>
      </c>
      <c r="B19" s="100" t="s">
        <v>117</v>
      </c>
      <c r="C19" s="97">
        <v>98382451</v>
      </c>
      <c r="D19" s="97">
        <v>89264881</v>
      </c>
      <c r="E19" s="97">
        <f t="shared" si="0"/>
        <v>-9117570</v>
      </c>
      <c r="F19" s="98">
        <f t="shared" si="1"/>
        <v>-9.2674759647937616E-2</v>
      </c>
    </row>
    <row r="20" spans="1:6" ht="18" customHeight="1" x14ac:dyDescent="0.25">
      <c r="A20" s="99">
        <v>7</v>
      </c>
      <c r="B20" s="100" t="s">
        <v>118</v>
      </c>
      <c r="C20" s="97">
        <v>88090728</v>
      </c>
      <c r="D20" s="97">
        <v>92528372</v>
      </c>
      <c r="E20" s="97">
        <f t="shared" si="0"/>
        <v>4437644</v>
      </c>
      <c r="F20" s="98">
        <f t="shared" si="1"/>
        <v>5.0375835241139109E-2</v>
      </c>
    </row>
    <row r="21" spans="1:6" ht="18" customHeight="1" x14ac:dyDescent="0.25">
      <c r="A21" s="99">
        <v>8</v>
      </c>
      <c r="B21" s="100" t="s">
        <v>119</v>
      </c>
      <c r="C21" s="97">
        <v>4031338</v>
      </c>
      <c r="D21" s="97">
        <v>3174286</v>
      </c>
      <c r="E21" s="97">
        <f t="shared" si="0"/>
        <v>-857052</v>
      </c>
      <c r="F21" s="98">
        <f t="shared" si="1"/>
        <v>-0.21259740562562604</v>
      </c>
    </row>
    <row r="22" spans="1:6" ht="18" customHeight="1" x14ac:dyDescent="0.25">
      <c r="A22" s="99">
        <v>9</v>
      </c>
      <c r="B22" s="100" t="s">
        <v>120</v>
      </c>
      <c r="C22" s="97">
        <v>6593905</v>
      </c>
      <c r="D22" s="97">
        <v>5413243</v>
      </c>
      <c r="E22" s="97">
        <f t="shared" si="0"/>
        <v>-1180662</v>
      </c>
      <c r="F22" s="98">
        <f t="shared" si="1"/>
        <v>-0.1790535350448634</v>
      </c>
    </row>
    <row r="23" spans="1:6" ht="18" customHeight="1" x14ac:dyDescent="0.25">
      <c r="A23" s="99">
        <v>10</v>
      </c>
      <c r="B23" s="100" t="s">
        <v>121</v>
      </c>
      <c r="C23" s="97">
        <v>4769955</v>
      </c>
      <c r="D23" s="97">
        <v>0</v>
      </c>
      <c r="E23" s="97">
        <f t="shared" si="0"/>
        <v>-4769955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1022065</v>
      </c>
      <c r="D24" s="97">
        <v>1572425</v>
      </c>
      <c r="E24" s="97">
        <f t="shared" si="0"/>
        <v>550360</v>
      </c>
      <c r="F24" s="98">
        <f t="shared" si="1"/>
        <v>0.53847847250419489</v>
      </c>
    </row>
    <row r="25" spans="1:6" ht="18" customHeight="1" x14ac:dyDescent="0.25">
      <c r="A25" s="101"/>
      <c r="B25" s="102" t="s">
        <v>123</v>
      </c>
      <c r="C25" s="103">
        <f>SUM(C14:C24)</f>
        <v>512924104</v>
      </c>
      <c r="D25" s="103">
        <f>SUM(D14:D24)</f>
        <v>544326430</v>
      </c>
      <c r="E25" s="103">
        <f t="shared" si="0"/>
        <v>31402326</v>
      </c>
      <c r="F25" s="104">
        <f t="shared" si="1"/>
        <v>6.1222168650510528E-2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177258760</v>
      </c>
      <c r="D27" s="97">
        <v>179546972</v>
      </c>
      <c r="E27" s="97">
        <f t="shared" ref="E27:E38" si="2">D27-C27</f>
        <v>2288212</v>
      </c>
      <c r="F27" s="98">
        <f t="shared" ref="F27:F38" si="3">IF(C27=0,0,E27/C27)</f>
        <v>1.2908879651420331E-2</v>
      </c>
    </row>
    <row r="28" spans="1:6" ht="18" customHeight="1" x14ac:dyDescent="0.25">
      <c r="A28" s="99">
        <v>2</v>
      </c>
      <c r="B28" s="100" t="s">
        <v>113</v>
      </c>
      <c r="C28" s="97">
        <v>11869966</v>
      </c>
      <c r="D28" s="97">
        <v>18545125</v>
      </c>
      <c r="E28" s="97">
        <f t="shared" si="2"/>
        <v>6675159</v>
      </c>
      <c r="F28" s="98">
        <f t="shared" si="3"/>
        <v>0.56235704466213299</v>
      </c>
    </row>
    <row r="29" spans="1:6" ht="18" customHeight="1" x14ac:dyDescent="0.25">
      <c r="A29" s="99">
        <v>3</v>
      </c>
      <c r="B29" s="100" t="s">
        <v>114</v>
      </c>
      <c r="C29" s="97">
        <v>20275277</v>
      </c>
      <c r="D29" s="97">
        <v>31127438</v>
      </c>
      <c r="E29" s="97">
        <f t="shared" si="2"/>
        <v>10852161</v>
      </c>
      <c r="F29" s="98">
        <f t="shared" si="3"/>
        <v>0.5352410721688291</v>
      </c>
    </row>
    <row r="30" spans="1:6" ht="18" customHeight="1" x14ac:dyDescent="0.25">
      <c r="A30" s="99">
        <v>4</v>
      </c>
      <c r="B30" s="100" t="s">
        <v>115</v>
      </c>
      <c r="C30" s="97">
        <v>31924463</v>
      </c>
      <c r="D30" s="97">
        <v>34948400</v>
      </c>
      <c r="E30" s="97">
        <f t="shared" si="2"/>
        <v>3023937</v>
      </c>
      <c r="F30" s="98">
        <f t="shared" si="3"/>
        <v>9.4721624604930707E-2</v>
      </c>
    </row>
    <row r="31" spans="1:6" ht="18" customHeight="1" x14ac:dyDescent="0.25">
      <c r="A31" s="99">
        <v>5</v>
      </c>
      <c r="B31" s="100" t="s">
        <v>116</v>
      </c>
      <c r="C31" s="97">
        <v>805622</v>
      </c>
      <c r="D31" s="97">
        <v>696661</v>
      </c>
      <c r="E31" s="97">
        <f t="shared" si="2"/>
        <v>-108961</v>
      </c>
      <c r="F31" s="98">
        <f t="shared" si="3"/>
        <v>-0.13525077517744052</v>
      </c>
    </row>
    <row r="32" spans="1:6" ht="18" customHeight="1" x14ac:dyDescent="0.25">
      <c r="A32" s="99">
        <v>6</v>
      </c>
      <c r="B32" s="100" t="s">
        <v>117</v>
      </c>
      <c r="C32" s="97">
        <v>142345734</v>
      </c>
      <c r="D32" s="97">
        <v>144511445</v>
      </c>
      <c r="E32" s="97">
        <f t="shared" si="2"/>
        <v>2165711</v>
      </c>
      <c r="F32" s="98">
        <f t="shared" si="3"/>
        <v>1.521444260493258E-2</v>
      </c>
    </row>
    <row r="33" spans="1:6" ht="18" customHeight="1" x14ac:dyDescent="0.25">
      <c r="A33" s="99">
        <v>7</v>
      </c>
      <c r="B33" s="100" t="s">
        <v>118</v>
      </c>
      <c r="C33" s="97">
        <v>113193542</v>
      </c>
      <c r="D33" s="97">
        <v>131344234</v>
      </c>
      <c r="E33" s="97">
        <f t="shared" si="2"/>
        <v>18150692</v>
      </c>
      <c r="F33" s="98">
        <f t="shared" si="3"/>
        <v>0.16035095005685041</v>
      </c>
    </row>
    <row r="34" spans="1:6" ht="18" customHeight="1" x14ac:dyDescent="0.25">
      <c r="A34" s="99">
        <v>8</v>
      </c>
      <c r="B34" s="100" t="s">
        <v>119</v>
      </c>
      <c r="C34" s="97">
        <v>3717284</v>
      </c>
      <c r="D34" s="97">
        <v>4038224</v>
      </c>
      <c r="E34" s="97">
        <f t="shared" si="2"/>
        <v>320940</v>
      </c>
      <c r="F34" s="98">
        <f t="shared" si="3"/>
        <v>8.6337229009136776E-2</v>
      </c>
    </row>
    <row r="35" spans="1:6" ht="18" customHeight="1" x14ac:dyDescent="0.25">
      <c r="A35" s="99">
        <v>9</v>
      </c>
      <c r="B35" s="100" t="s">
        <v>120</v>
      </c>
      <c r="C35" s="97">
        <v>20616388</v>
      </c>
      <c r="D35" s="97">
        <v>22935833</v>
      </c>
      <c r="E35" s="97">
        <f t="shared" si="2"/>
        <v>2319445</v>
      </c>
      <c r="F35" s="98">
        <f t="shared" si="3"/>
        <v>0.11250491599207388</v>
      </c>
    </row>
    <row r="36" spans="1:6" ht="18" customHeight="1" x14ac:dyDescent="0.25">
      <c r="A36" s="99">
        <v>10</v>
      </c>
      <c r="B36" s="100" t="s">
        <v>121</v>
      </c>
      <c r="C36" s="97">
        <v>6133181</v>
      </c>
      <c r="D36" s="97">
        <v>0</v>
      </c>
      <c r="E36" s="97">
        <f t="shared" si="2"/>
        <v>-6133181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1750595</v>
      </c>
      <c r="D37" s="97">
        <v>1132327</v>
      </c>
      <c r="E37" s="97">
        <f t="shared" si="2"/>
        <v>-618268</v>
      </c>
      <c r="F37" s="98">
        <f t="shared" si="3"/>
        <v>-0.35317592018713639</v>
      </c>
    </row>
    <row r="38" spans="1:6" ht="18" customHeight="1" x14ac:dyDescent="0.25">
      <c r="A38" s="101"/>
      <c r="B38" s="102" t="s">
        <v>126</v>
      </c>
      <c r="C38" s="103">
        <f>SUM(C27:C37)</f>
        <v>529890812</v>
      </c>
      <c r="D38" s="103">
        <f>SUM(D27:D37)</f>
        <v>568826659</v>
      </c>
      <c r="E38" s="103">
        <f t="shared" si="2"/>
        <v>38935847</v>
      </c>
      <c r="F38" s="104">
        <f t="shared" si="3"/>
        <v>7.3479000047277671E-2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421575777</v>
      </c>
      <c r="D41" s="103">
        <f t="shared" si="4"/>
        <v>447697156</v>
      </c>
      <c r="E41" s="107">
        <f t="shared" ref="E41:E52" si="5">D41-C41</f>
        <v>26121379</v>
      </c>
      <c r="F41" s="108">
        <f t="shared" ref="F41:F52" si="6">IF(C41=0,0,E41/C41)</f>
        <v>6.1961290057706515E-2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30010490</v>
      </c>
      <c r="D42" s="103">
        <f t="shared" si="4"/>
        <v>42259457</v>
      </c>
      <c r="E42" s="107">
        <f t="shared" si="5"/>
        <v>12248967</v>
      </c>
      <c r="F42" s="108">
        <f t="shared" si="6"/>
        <v>0.40815618138857446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50003554</v>
      </c>
      <c r="D43" s="103">
        <f t="shared" si="4"/>
        <v>72944602</v>
      </c>
      <c r="E43" s="107">
        <f t="shared" si="5"/>
        <v>22941048</v>
      </c>
      <c r="F43" s="108">
        <f t="shared" si="6"/>
        <v>0.45878834932413004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48521502</v>
      </c>
      <c r="D44" s="103">
        <f t="shared" si="4"/>
        <v>53007475</v>
      </c>
      <c r="E44" s="107">
        <f t="shared" si="5"/>
        <v>4485973</v>
      </c>
      <c r="F44" s="108">
        <f t="shared" si="6"/>
        <v>9.2453300394534366E-2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2056427</v>
      </c>
      <c r="D45" s="103">
        <f t="shared" si="4"/>
        <v>1329129</v>
      </c>
      <c r="E45" s="107">
        <f t="shared" si="5"/>
        <v>-727298</v>
      </c>
      <c r="F45" s="108">
        <f t="shared" si="6"/>
        <v>-0.35367071138435741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240728185</v>
      </c>
      <c r="D46" s="103">
        <f t="shared" si="4"/>
        <v>233776326</v>
      </c>
      <c r="E46" s="107">
        <f t="shared" si="5"/>
        <v>-6951859</v>
      </c>
      <c r="F46" s="108">
        <f t="shared" si="6"/>
        <v>-2.8878458914148336E-2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201284270</v>
      </c>
      <c r="D47" s="103">
        <f t="shared" si="4"/>
        <v>223872606</v>
      </c>
      <c r="E47" s="107">
        <f t="shared" si="5"/>
        <v>22588336</v>
      </c>
      <c r="F47" s="108">
        <f t="shared" si="6"/>
        <v>0.11222106923705463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7748622</v>
      </c>
      <c r="D48" s="103">
        <f t="shared" si="4"/>
        <v>7212510</v>
      </c>
      <c r="E48" s="107">
        <f t="shared" si="5"/>
        <v>-536112</v>
      </c>
      <c r="F48" s="108">
        <f t="shared" si="6"/>
        <v>-6.9188044016084402E-2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27210293</v>
      </c>
      <c r="D49" s="103">
        <f t="shared" si="4"/>
        <v>28349076</v>
      </c>
      <c r="E49" s="107">
        <f t="shared" si="5"/>
        <v>1138783</v>
      </c>
      <c r="F49" s="108">
        <f t="shared" si="6"/>
        <v>4.1851184770410228E-2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10903136</v>
      </c>
      <c r="D50" s="103">
        <f t="shared" si="4"/>
        <v>0</v>
      </c>
      <c r="E50" s="107">
        <f t="shared" si="5"/>
        <v>-10903136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2772660</v>
      </c>
      <c r="D51" s="103">
        <f t="shared" si="4"/>
        <v>2704752</v>
      </c>
      <c r="E51" s="107">
        <f t="shared" si="5"/>
        <v>-67908</v>
      </c>
      <c r="F51" s="108">
        <f t="shared" si="6"/>
        <v>-2.4492004068295426E-2</v>
      </c>
    </row>
    <row r="52" spans="1:6" ht="18.75" customHeight="1" thickBot="1" x14ac:dyDescent="0.3">
      <c r="A52" s="109"/>
      <c r="B52" s="110" t="s">
        <v>128</v>
      </c>
      <c r="C52" s="111">
        <f>SUM(C41:C51)</f>
        <v>1042814916</v>
      </c>
      <c r="D52" s="112">
        <f>SUM(D41:D51)</f>
        <v>1113153089</v>
      </c>
      <c r="E52" s="111">
        <f t="shared" si="5"/>
        <v>70338173</v>
      </c>
      <c r="F52" s="113">
        <f t="shared" si="6"/>
        <v>6.7450294314739159E-2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84336220</v>
      </c>
      <c r="D57" s="97">
        <v>91658965</v>
      </c>
      <c r="E57" s="97">
        <f t="shared" ref="E57:E68" si="7">D57-C57</f>
        <v>7322745</v>
      </c>
      <c r="F57" s="98">
        <f t="shared" ref="F57:F68" si="8">IF(C57=0,0,E57/C57)</f>
        <v>8.6827996322339326E-2</v>
      </c>
    </row>
    <row r="58" spans="1:6" ht="18" customHeight="1" x14ac:dyDescent="0.25">
      <c r="A58" s="99">
        <v>2</v>
      </c>
      <c r="B58" s="100" t="s">
        <v>113</v>
      </c>
      <c r="C58" s="97">
        <v>6377528</v>
      </c>
      <c r="D58" s="97">
        <v>7290698</v>
      </c>
      <c r="E58" s="97">
        <f t="shared" si="7"/>
        <v>913170</v>
      </c>
      <c r="F58" s="98">
        <f t="shared" si="8"/>
        <v>0.14318557284264374</v>
      </c>
    </row>
    <row r="59" spans="1:6" ht="18" customHeight="1" x14ac:dyDescent="0.25">
      <c r="A59" s="99">
        <v>3</v>
      </c>
      <c r="B59" s="100" t="s">
        <v>114</v>
      </c>
      <c r="C59" s="97">
        <v>9729167</v>
      </c>
      <c r="D59" s="97">
        <v>9986029</v>
      </c>
      <c r="E59" s="97">
        <f t="shared" si="7"/>
        <v>256862</v>
      </c>
      <c r="F59" s="98">
        <f t="shared" si="8"/>
        <v>2.6401232500171904E-2</v>
      </c>
    </row>
    <row r="60" spans="1:6" ht="18" customHeight="1" x14ac:dyDescent="0.25">
      <c r="A60" s="99">
        <v>4</v>
      </c>
      <c r="B60" s="100" t="s">
        <v>115</v>
      </c>
      <c r="C60" s="97">
        <v>4450305</v>
      </c>
      <c r="D60" s="97">
        <v>4465320</v>
      </c>
      <c r="E60" s="97">
        <f t="shared" si="7"/>
        <v>15015</v>
      </c>
      <c r="F60" s="98">
        <f t="shared" si="8"/>
        <v>3.3739260567534133E-3</v>
      </c>
    </row>
    <row r="61" spans="1:6" ht="18" customHeight="1" x14ac:dyDescent="0.25">
      <c r="A61" s="99">
        <v>5</v>
      </c>
      <c r="B61" s="100" t="s">
        <v>116</v>
      </c>
      <c r="C61" s="97">
        <v>436158</v>
      </c>
      <c r="D61" s="97">
        <v>199476</v>
      </c>
      <c r="E61" s="97">
        <f t="shared" si="7"/>
        <v>-236682</v>
      </c>
      <c r="F61" s="98">
        <f t="shared" si="8"/>
        <v>-0.54265197474309768</v>
      </c>
    </row>
    <row r="62" spans="1:6" ht="18" customHeight="1" x14ac:dyDescent="0.25">
      <c r="A62" s="99">
        <v>6</v>
      </c>
      <c r="B62" s="100" t="s">
        <v>117</v>
      </c>
      <c r="C62" s="97">
        <v>63657349</v>
      </c>
      <c r="D62" s="97">
        <v>55263947</v>
      </c>
      <c r="E62" s="97">
        <f t="shared" si="7"/>
        <v>-8393402</v>
      </c>
      <c r="F62" s="98">
        <f t="shared" si="8"/>
        <v>-0.13185283603311851</v>
      </c>
    </row>
    <row r="63" spans="1:6" ht="18" customHeight="1" x14ac:dyDescent="0.25">
      <c r="A63" s="99">
        <v>7</v>
      </c>
      <c r="B63" s="100" t="s">
        <v>118</v>
      </c>
      <c r="C63" s="97">
        <v>48524276</v>
      </c>
      <c r="D63" s="97">
        <v>54551869</v>
      </c>
      <c r="E63" s="97">
        <f t="shared" si="7"/>
        <v>6027593</v>
      </c>
      <c r="F63" s="98">
        <f t="shared" si="8"/>
        <v>0.12421809240389285</v>
      </c>
    </row>
    <row r="64" spans="1:6" ht="18" customHeight="1" x14ac:dyDescent="0.25">
      <c r="A64" s="99">
        <v>8</v>
      </c>
      <c r="B64" s="100" t="s">
        <v>119</v>
      </c>
      <c r="C64" s="97">
        <v>2773962</v>
      </c>
      <c r="D64" s="97">
        <v>2183782</v>
      </c>
      <c r="E64" s="97">
        <f t="shared" si="7"/>
        <v>-590180</v>
      </c>
      <c r="F64" s="98">
        <f t="shared" si="8"/>
        <v>-0.21275706011834336</v>
      </c>
    </row>
    <row r="65" spans="1:6" ht="18" customHeight="1" x14ac:dyDescent="0.25">
      <c r="A65" s="99">
        <v>9</v>
      </c>
      <c r="B65" s="100" t="s">
        <v>120</v>
      </c>
      <c r="C65" s="97">
        <v>1946025</v>
      </c>
      <c r="D65" s="97">
        <v>613179</v>
      </c>
      <c r="E65" s="97">
        <f t="shared" si="7"/>
        <v>-1332846</v>
      </c>
      <c r="F65" s="98">
        <f t="shared" si="8"/>
        <v>-0.68490692565614519</v>
      </c>
    </row>
    <row r="66" spans="1:6" ht="18" customHeight="1" x14ac:dyDescent="0.25">
      <c r="A66" s="99">
        <v>10</v>
      </c>
      <c r="B66" s="100" t="s">
        <v>121</v>
      </c>
      <c r="C66" s="97">
        <v>379899</v>
      </c>
      <c r="D66" s="97">
        <v>0</v>
      </c>
      <c r="E66" s="97">
        <f t="shared" si="7"/>
        <v>-379899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155806</v>
      </c>
      <c r="D67" s="97">
        <v>286024</v>
      </c>
      <c r="E67" s="97">
        <f t="shared" si="7"/>
        <v>130218</v>
      </c>
      <c r="F67" s="98">
        <f t="shared" si="8"/>
        <v>0.83577012438545373</v>
      </c>
    </row>
    <row r="68" spans="1:6" ht="18" customHeight="1" x14ac:dyDescent="0.25">
      <c r="A68" s="101"/>
      <c r="B68" s="102" t="s">
        <v>131</v>
      </c>
      <c r="C68" s="103">
        <f>SUM(C57:C67)</f>
        <v>222766695</v>
      </c>
      <c r="D68" s="103">
        <f>SUM(D57:D67)</f>
        <v>226499289</v>
      </c>
      <c r="E68" s="103">
        <f t="shared" si="7"/>
        <v>3732594</v>
      </c>
      <c r="F68" s="104">
        <f t="shared" si="8"/>
        <v>1.6755619595649161E-2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61188262</v>
      </c>
      <c r="D70" s="97">
        <v>61372658</v>
      </c>
      <c r="E70" s="97">
        <f t="shared" ref="E70:E81" si="9">D70-C70</f>
        <v>184396</v>
      </c>
      <c r="F70" s="98">
        <f t="shared" ref="F70:F81" si="10">IF(C70=0,0,E70/C70)</f>
        <v>3.013584533582601E-3</v>
      </c>
    </row>
    <row r="71" spans="1:6" ht="18" customHeight="1" x14ac:dyDescent="0.25">
      <c r="A71" s="99">
        <v>2</v>
      </c>
      <c r="B71" s="100" t="s">
        <v>113</v>
      </c>
      <c r="C71" s="97">
        <v>4173035</v>
      </c>
      <c r="D71" s="97">
        <v>5701485</v>
      </c>
      <c r="E71" s="97">
        <f t="shared" si="9"/>
        <v>1528450</v>
      </c>
      <c r="F71" s="98">
        <f t="shared" si="10"/>
        <v>0.36626819568970787</v>
      </c>
    </row>
    <row r="72" spans="1:6" ht="18" customHeight="1" x14ac:dyDescent="0.25">
      <c r="A72" s="99">
        <v>3</v>
      </c>
      <c r="B72" s="100" t="s">
        <v>114</v>
      </c>
      <c r="C72" s="97">
        <v>4847819</v>
      </c>
      <c r="D72" s="97">
        <v>7534470</v>
      </c>
      <c r="E72" s="97">
        <f t="shared" si="9"/>
        <v>2686651</v>
      </c>
      <c r="F72" s="98">
        <f t="shared" si="10"/>
        <v>0.55419787743725579</v>
      </c>
    </row>
    <row r="73" spans="1:6" ht="18" customHeight="1" x14ac:dyDescent="0.25">
      <c r="A73" s="99">
        <v>4</v>
      </c>
      <c r="B73" s="100" t="s">
        <v>115</v>
      </c>
      <c r="C73" s="97">
        <v>8560178</v>
      </c>
      <c r="D73" s="97">
        <v>8641406</v>
      </c>
      <c r="E73" s="97">
        <f t="shared" si="9"/>
        <v>81228</v>
      </c>
      <c r="F73" s="98">
        <f t="shared" si="10"/>
        <v>9.4890550173138931E-3</v>
      </c>
    </row>
    <row r="74" spans="1:6" ht="18" customHeight="1" x14ac:dyDescent="0.25">
      <c r="A74" s="99">
        <v>5</v>
      </c>
      <c r="B74" s="100" t="s">
        <v>116</v>
      </c>
      <c r="C74" s="97">
        <v>170926</v>
      </c>
      <c r="D74" s="97">
        <v>162850</v>
      </c>
      <c r="E74" s="97">
        <f t="shared" si="9"/>
        <v>-8076</v>
      </c>
      <c r="F74" s="98">
        <f t="shared" si="10"/>
        <v>-4.7248516902051181E-2</v>
      </c>
    </row>
    <row r="75" spans="1:6" ht="18" customHeight="1" x14ac:dyDescent="0.25">
      <c r="A75" s="99">
        <v>6</v>
      </c>
      <c r="B75" s="100" t="s">
        <v>117</v>
      </c>
      <c r="C75" s="97">
        <v>87635692</v>
      </c>
      <c r="D75" s="97">
        <v>88667757</v>
      </c>
      <c r="E75" s="97">
        <f t="shared" si="9"/>
        <v>1032065</v>
      </c>
      <c r="F75" s="98">
        <f t="shared" si="10"/>
        <v>1.1776765567161836E-2</v>
      </c>
    </row>
    <row r="76" spans="1:6" ht="18" customHeight="1" x14ac:dyDescent="0.25">
      <c r="A76" s="99">
        <v>7</v>
      </c>
      <c r="B76" s="100" t="s">
        <v>118</v>
      </c>
      <c r="C76" s="97">
        <v>65263273</v>
      </c>
      <c r="D76" s="97">
        <v>77369210</v>
      </c>
      <c r="E76" s="97">
        <f t="shared" si="9"/>
        <v>12105937</v>
      </c>
      <c r="F76" s="98">
        <f t="shared" si="10"/>
        <v>0.18549386881041041</v>
      </c>
    </row>
    <row r="77" spans="1:6" ht="18" customHeight="1" x14ac:dyDescent="0.25">
      <c r="A77" s="99">
        <v>8</v>
      </c>
      <c r="B77" s="100" t="s">
        <v>119</v>
      </c>
      <c r="C77" s="97">
        <v>2541352</v>
      </c>
      <c r="D77" s="97">
        <v>2778137</v>
      </c>
      <c r="E77" s="97">
        <f t="shared" si="9"/>
        <v>236785</v>
      </c>
      <c r="F77" s="98">
        <f t="shared" si="10"/>
        <v>9.3172846579301097E-2</v>
      </c>
    </row>
    <row r="78" spans="1:6" ht="18" customHeight="1" x14ac:dyDescent="0.25">
      <c r="A78" s="99">
        <v>9</v>
      </c>
      <c r="B78" s="100" t="s">
        <v>120</v>
      </c>
      <c r="C78" s="97">
        <v>6084409</v>
      </c>
      <c r="D78" s="97">
        <v>2598031</v>
      </c>
      <c r="E78" s="97">
        <f t="shared" si="9"/>
        <v>-3486378</v>
      </c>
      <c r="F78" s="98">
        <f t="shared" si="10"/>
        <v>-0.57300191357944541</v>
      </c>
    </row>
    <row r="79" spans="1:6" ht="18" customHeight="1" x14ac:dyDescent="0.25">
      <c r="A79" s="99">
        <v>10</v>
      </c>
      <c r="B79" s="100" t="s">
        <v>121</v>
      </c>
      <c r="C79" s="97">
        <v>840246</v>
      </c>
      <c r="D79" s="97">
        <v>0</v>
      </c>
      <c r="E79" s="97">
        <f t="shared" si="9"/>
        <v>-840246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155118</v>
      </c>
      <c r="D80" s="97">
        <v>284556</v>
      </c>
      <c r="E80" s="97">
        <f t="shared" si="9"/>
        <v>129438</v>
      </c>
      <c r="F80" s="98">
        <f t="shared" si="10"/>
        <v>0.83444861331373532</v>
      </c>
    </row>
    <row r="81" spans="1:6" ht="18" customHeight="1" x14ac:dyDescent="0.25">
      <c r="A81" s="101"/>
      <c r="B81" s="102" t="s">
        <v>133</v>
      </c>
      <c r="C81" s="103">
        <f>SUM(C70:C80)</f>
        <v>241460310</v>
      </c>
      <c r="D81" s="103">
        <f>SUM(D70:D80)</f>
        <v>255110560</v>
      </c>
      <c r="E81" s="103">
        <f t="shared" si="9"/>
        <v>13650250</v>
      </c>
      <c r="F81" s="104">
        <f t="shared" si="10"/>
        <v>5.6532065249150054E-2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145524482</v>
      </c>
      <c r="D84" s="103">
        <f t="shared" si="11"/>
        <v>153031623</v>
      </c>
      <c r="E84" s="103">
        <f t="shared" ref="E84:E95" si="12">D84-C84</f>
        <v>7507141</v>
      </c>
      <c r="F84" s="104">
        <f t="shared" ref="F84:F95" si="13">IF(C84=0,0,E84/C84)</f>
        <v>5.1586790736695427E-2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10550563</v>
      </c>
      <c r="D85" s="103">
        <f t="shared" si="11"/>
        <v>12992183</v>
      </c>
      <c r="E85" s="103">
        <f t="shared" si="12"/>
        <v>2441620</v>
      </c>
      <c r="F85" s="104">
        <f t="shared" si="13"/>
        <v>0.23142082559954383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14576986</v>
      </c>
      <c r="D86" s="103">
        <f t="shared" si="11"/>
        <v>17520499</v>
      </c>
      <c r="E86" s="103">
        <f t="shared" si="12"/>
        <v>2943513</v>
      </c>
      <c r="F86" s="104">
        <f t="shared" si="13"/>
        <v>0.20192878006468554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13010483</v>
      </c>
      <c r="D87" s="103">
        <f t="shared" si="11"/>
        <v>13106726</v>
      </c>
      <c r="E87" s="103">
        <f t="shared" si="12"/>
        <v>96243</v>
      </c>
      <c r="F87" s="104">
        <f t="shared" si="13"/>
        <v>7.3973425890491535E-3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607084</v>
      </c>
      <c r="D88" s="103">
        <f t="shared" si="11"/>
        <v>362326</v>
      </c>
      <c r="E88" s="103">
        <f t="shared" si="12"/>
        <v>-244758</v>
      </c>
      <c r="F88" s="104">
        <f t="shared" si="13"/>
        <v>-0.40316990729454244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151293041</v>
      </c>
      <c r="D89" s="103">
        <f t="shared" si="11"/>
        <v>143931704</v>
      </c>
      <c r="E89" s="103">
        <f t="shared" si="12"/>
        <v>-7361337</v>
      </c>
      <c r="F89" s="104">
        <f t="shared" si="13"/>
        <v>-4.8656150681775243E-2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113787549</v>
      </c>
      <c r="D90" s="103">
        <f t="shared" si="11"/>
        <v>131921079</v>
      </c>
      <c r="E90" s="103">
        <f t="shared" si="12"/>
        <v>18133530</v>
      </c>
      <c r="F90" s="104">
        <f t="shared" si="13"/>
        <v>0.15936304243621593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5315314</v>
      </c>
      <c r="D91" s="103">
        <f t="shared" si="11"/>
        <v>4961919</v>
      </c>
      <c r="E91" s="103">
        <f t="shared" si="12"/>
        <v>-353395</v>
      </c>
      <c r="F91" s="104">
        <f t="shared" si="13"/>
        <v>-6.6486194418617597E-2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8030434</v>
      </c>
      <c r="D92" s="103">
        <f t="shared" si="11"/>
        <v>3211210</v>
      </c>
      <c r="E92" s="103">
        <f t="shared" si="12"/>
        <v>-4819224</v>
      </c>
      <c r="F92" s="104">
        <f t="shared" si="13"/>
        <v>-0.60011999351467182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1220145</v>
      </c>
      <c r="D93" s="103">
        <f t="shared" si="11"/>
        <v>0</v>
      </c>
      <c r="E93" s="103">
        <f t="shared" si="12"/>
        <v>-1220145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310924</v>
      </c>
      <c r="D94" s="103">
        <f t="shared" si="11"/>
        <v>570580</v>
      </c>
      <c r="E94" s="103">
        <f t="shared" si="12"/>
        <v>259656</v>
      </c>
      <c r="F94" s="104">
        <f t="shared" si="13"/>
        <v>0.83511083094260974</v>
      </c>
    </row>
    <row r="95" spans="1:6" ht="18.75" customHeight="1" thickBot="1" x14ac:dyDescent="0.3">
      <c r="A95" s="115"/>
      <c r="B95" s="116" t="s">
        <v>134</v>
      </c>
      <c r="C95" s="112">
        <f>SUM(C84:C94)</f>
        <v>464227005</v>
      </c>
      <c r="D95" s="112">
        <f>SUM(D84:D94)</f>
        <v>481609849</v>
      </c>
      <c r="E95" s="112">
        <f t="shared" si="12"/>
        <v>17382844</v>
      </c>
      <c r="F95" s="113">
        <f t="shared" si="13"/>
        <v>3.744470660426142E-2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8302</v>
      </c>
      <c r="D100" s="117">
        <v>8759</v>
      </c>
      <c r="E100" s="117">
        <f t="shared" ref="E100:E111" si="14">D100-C100</f>
        <v>457</v>
      </c>
      <c r="F100" s="98">
        <f t="shared" ref="F100:F111" si="15">IF(C100=0,0,E100/C100)</f>
        <v>5.5046976632136833E-2</v>
      </c>
    </row>
    <row r="101" spans="1:6" ht="18" customHeight="1" x14ac:dyDescent="0.25">
      <c r="A101" s="99">
        <v>2</v>
      </c>
      <c r="B101" s="100" t="s">
        <v>113</v>
      </c>
      <c r="C101" s="117">
        <v>615</v>
      </c>
      <c r="D101" s="117">
        <v>736</v>
      </c>
      <c r="E101" s="117">
        <f t="shared" si="14"/>
        <v>121</v>
      </c>
      <c r="F101" s="98">
        <f t="shared" si="15"/>
        <v>0.1967479674796748</v>
      </c>
    </row>
    <row r="102" spans="1:6" ht="18" customHeight="1" x14ac:dyDescent="0.25">
      <c r="A102" s="99">
        <v>3</v>
      </c>
      <c r="B102" s="100" t="s">
        <v>114</v>
      </c>
      <c r="C102" s="117">
        <v>1606</v>
      </c>
      <c r="D102" s="117">
        <v>1907</v>
      </c>
      <c r="E102" s="117">
        <f t="shared" si="14"/>
        <v>301</v>
      </c>
      <c r="F102" s="98">
        <f t="shared" si="15"/>
        <v>0.18742216687422167</v>
      </c>
    </row>
    <row r="103" spans="1:6" ht="18" customHeight="1" x14ac:dyDescent="0.25">
      <c r="A103" s="99">
        <v>4</v>
      </c>
      <c r="B103" s="100" t="s">
        <v>115</v>
      </c>
      <c r="C103" s="117">
        <v>1121</v>
      </c>
      <c r="D103" s="117">
        <v>1162</v>
      </c>
      <c r="E103" s="117">
        <f t="shared" si="14"/>
        <v>41</v>
      </c>
      <c r="F103" s="98">
        <f t="shared" si="15"/>
        <v>3.6574487065120426E-2</v>
      </c>
    </row>
    <row r="104" spans="1:6" ht="18" customHeight="1" x14ac:dyDescent="0.25">
      <c r="A104" s="99">
        <v>5</v>
      </c>
      <c r="B104" s="100" t="s">
        <v>116</v>
      </c>
      <c r="C104" s="117">
        <v>29</v>
      </c>
      <c r="D104" s="117">
        <v>34</v>
      </c>
      <c r="E104" s="117">
        <f t="shared" si="14"/>
        <v>5</v>
      </c>
      <c r="F104" s="98">
        <f t="shared" si="15"/>
        <v>0.17241379310344829</v>
      </c>
    </row>
    <row r="105" spans="1:6" ht="18" customHeight="1" x14ac:dyDescent="0.25">
      <c r="A105" s="99">
        <v>6</v>
      </c>
      <c r="B105" s="100" t="s">
        <v>117</v>
      </c>
      <c r="C105" s="117">
        <v>4036</v>
      </c>
      <c r="D105" s="117">
        <v>3829</v>
      </c>
      <c r="E105" s="117">
        <f t="shared" si="14"/>
        <v>-207</v>
      </c>
      <c r="F105" s="98">
        <f t="shared" si="15"/>
        <v>-5.1288404360753222E-2</v>
      </c>
    </row>
    <row r="106" spans="1:6" ht="18" customHeight="1" x14ac:dyDescent="0.25">
      <c r="A106" s="99">
        <v>7</v>
      </c>
      <c r="B106" s="100" t="s">
        <v>118</v>
      </c>
      <c r="C106" s="117">
        <v>4306</v>
      </c>
      <c r="D106" s="117">
        <v>3908</v>
      </c>
      <c r="E106" s="117">
        <f t="shared" si="14"/>
        <v>-398</v>
      </c>
      <c r="F106" s="98">
        <f t="shared" si="15"/>
        <v>-9.2429168601950773E-2</v>
      </c>
    </row>
    <row r="107" spans="1:6" ht="18" customHeight="1" x14ac:dyDescent="0.25">
      <c r="A107" s="99">
        <v>8</v>
      </c>
      <c r="B107" s="100" t="s">
        <v>119</v>
      </c>
      <c r="C107" s="117">
        <v>112</v>
      </c>
      <c r="D107" s="117">
        <v>83</v>
      </c>
      <c r="E107" s="117">
        <f t="shared" si="14"/>
        <v>-29</v>
      </c>
      <c r="F107" s="98">
        <f t="shared" si="15"/>
        <v>-0.25892857142857145</v>
      </c>
    </row>
    <row r="108" spans="1:6" ht="18" customHeight="1" x14ac:dyDescent="0.25">
      <c r="A108" s="99">
        <v>9</v>
      </c>
      <c r="B108" s="100" t="s">
        <v>120</v>
      </c>
      <c r="C108" s="117">
        <v>298</v>
      </c>
      <c r="D108" s="117">
        <v>248</v>
      </c>
      <c r="E108" s="117">
        <f t="shared" si="14"/>
        <v>-50</v>
      </c>
      <c r="F108" s="98">
        <f t="shared" si="15"/>
        <v>-0.16778523489932887</v>
      </c>
    </row>
    <row r="109" spans="1:6" ht="18" customHeight="1" x14ac:dyDescent="0.25">
      <c r="A109" s="99">
        <v>10</v>
      </c>
      <c r="B109" s="100" t="s">
        <v>121</v>
      </c>
      <c r="C109" s="117">
        <v>234</v>
      </c>
      <c r="D109" s="117">
        <v>0</v>
      </c>
      <c r="E109" s="117">
        <f t="shared" si="14"/>
        <v>-234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56</v>
      </c>
      <c r="D110" s="117">
        <v>97</v>
      </c>
      <c r="E110" s="117">
        <f t="shared" si="14"/>
        <v>41</v>
      </c>
      <c r="F110" s="98">
        <f t="shared" si="15"/>
        <v>0.7321428571428571</v>
      </c>
    </row>
    <row r="111" spans="1:6" ht="18" customHeight="1" x14ac:dyDescent="0.25">
      <c r="A111" s="101"/>
      <c r="B111" s="102" t="s">
        <v>138</v>
      </c>
      <c r="C111" s="118">
        <f>SUM(C100:C110)</f>
        <v>20715</v>
      </c>
      <c r="D111" s="118">
        <f>SUM(D100:D110)</f>
        <v>20763</v>
      </c>
      <c r="E111" s="118">
        <f t="shared" si="14"/>
        <v>48</v>
      </c>
      <c r="F111" s="104">
        <f t="shared" si="15"/>
        <v>2.3171614771904415E-3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46500</v>
      </c>
      <c r="D113" s="117">
        <v>48752</v>
      </c>
      <c r="E113" s="117">
        <f t="shared" ref="E113:E124" si="16">D113-C113</f>
        <v>2252</v>
      </c>
      <c r="F113" s="98">
        <f t="shared" ref="F113:F124" si="17">IF(C113=0,0,E113/C113)</f>
        <v>4.8430107526881719E-2</v>
      </c>
    </row>
    <row r="114" spans="1:6" ht="18" customHeight="1" x14ac:dyDescent="0.25">
      <c r="A114" s="99">
        <v>2</v>
      </c>
      <c r="B114" s="100" t="s">
        <v>113</v>
      </c>
      <c r="C114" s="117">
        <v>3496</v>
      </c>
      <c r="D114" s="117">
        <v>3997</v>
      </c>
      <c r="E114" s="117">
        <f t="shared" si="16"/>
        <v>501</v>
      </c>
      <c r="F114" s="98">
        <f t="shared" si="17"/>
        <v>0.1433066361556064</v>
      </c>
    </row>
    <row r="115" spans="1:6" ht="18" customHeight="1" x14ac:dyDescent="0.25">
      <c r="A115" s="99">
        <v>3</v>
      </c>
      <c r="B115" s="100" t="s">
        <v>114</v>
      </c>
      <c r="C115" s="117">
        <v>7550</v>
      </c>
      <c r="D115" s="117">
        <v>8838</v>
      </c>
      <c r="E115" s="117">
        <f t="shared" si="16"/>
        <v>1288</v>
      </c>
      <c r="F115" s="98">
        <f t="shared" si="17"/>
        <v>0.17059602649006622</v>
      </c>
    </row>
    <row r="116" spans="1:6" ht="18" customHeight="1" x14ac:dyDescent="0.25">
      <c r="A116" s="99">
        <v>4</v>
      </c>
      <c r="B116" s="100" t="s">
        <v>115</v>
      </c>
      <c r="C116" s="117">
        <v>3890</v>
      </c>
      <c r="D116" s="117">
        <v>4051</v>
      </c>
      <c r="E116" s="117">
        <f t="shared" si="16"/>
        <v>161</v>
      </c>
      <c r="F116" s="98">
        <f t="shared" si="17"/>
        <v>4.138817480719794E-2</v>
      </c>
    </row>
    <row r="117" spans="1:6" ht="18" customHeight="1" x14ac:dyDescent="0.25">
      <c r="A117" s="99">
        <v>5</v>
      </c>
      <c r="B117" s="100" t="s">
        <v>116</v>
      </c>
      <c r="C117" s="117">
        <v>226</v>
      </c>
      <c r="D117" s="117">
        <v>97</v>
      </c>
      <c r="E117" s="117">
        <f t="shared" si="16"/>
        <v>-129</v>
      </c>
      <c r="F117" s="98">
        <f t="shared" si="17"/>
        <v>-0.57079646017699115</v>
      </c>
    </row>
    <row r="118" spans="1:6" ht="18" customHeight="1" x14ac:dyDescent="0.25">
      <c r="A118" s="99">
        <v>6</v>
      </c>
      <c r="B118" s="100" t="s">
        <v>117</v>
      </c>
      <c r="C118" s="117">
        <v>16197</v>
      </c>
      <c r="D118" s="117">
        <v>14073</v>
      </c>
      <c r="E118" s="117">
        <f t="shared" si="16"/>
        <v>-2124</v>
      </c>
      <c r="F118" s="98">
        <f t="shared" si="17"/>
        <v>-0.13113539544360067</v>
      </c>
    </row>
    <row r="119" spans="1:6" ht="18" customHeight="1" x14ac:dyDescent="0.25">
      <c r="A119" s="99">
        <v>7</v>
      </c>
      <c r="B119" s="100" t="s">
        <v>118</v>
      </c>
      <c r="C119" s="117">
        <v>15205</v>
      </c>
      <c r="D119" s="117">
        <v>15104</v>
      </c>
      <c r="E119" s="117">
        <f t="shared" si="16"/>
        <v>-101</v>
      </c>
      <c r="F119" s="98">
        <f t="shared" si="17"/>
        <v>-6.6425517921736271E-3</v>
      </c>
    </row>
    <row r="120" spans="1:6" ht="18" customHeight="1" x14ac:dyDescent="0.25">
      <c r="A120" s="99">
        <v>8</v>
      </c>
      <c r="B120" s="100" t="s">
        <v>119</v>
      </c>
      <c r="C120" s="117">
        <v>443</v>
      </c>
      <c r="D120" s="117">
        <v>254</v>
      </c>
      <c r="E120" s="117">
        <f t="shared" si="16"/>
        <v>-189</v>
      </c>
      <c r="F120" s="98">
        <f t="shared" si="17"/>
        <v>-0.42663656884875845</v>
      </c>
    </row>
    <row r="121" spans="1:6" ht="18" customHeight="1" x14ac:dyDescent="0.25">
      <c r="A121" s="99">
        <v>9</v>
      </c>
      <c r="B121" s="100" t="s">
        <v>120</v>
      </c>
      <c r="C121" s="117">
        <v>1120</v>
      </c>
      <c r="D121" s="117">
        <v>960</v>
      </c>
      <c r="E121" s="117">
        <f t="shared" si="16"/>
        <v>-160</v>
      </c>
      <c r="F121" s="98">
        <f t="shared" si="17"/>
        <v>-0.14285714285714285</v>
      </c>
    </row>
    <row r="122" spans="1:6" ht="18" customHeight="1" x14ac:dyDescent="0.25">
      <c r="A122" s="99">
        <v>10</v>
      </c>
      <c r="B122" s="100" t="s">
        <v>121</v>
      </c>
      <c r="C122" s="117">
        <v>1008</v>
      </c>
      <c r="D122" s="117">
        <v>0</v>
      </c>
      <c r="E122" s="117">
        <f t="shared" si="16"/>
        <v>-1008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249</v>
      </c>
      <c r="D123" s="117">
        <v>537</v>
      </c>
      <c r="E123" s="117">
        <f t="shared" si="16"/>
        <v>288</v>
      </c>
      <c r="F123" s="98">
        <f t="shared" si="17"/>
        <v>1.1566265060240963</v>
      </c>
    </row>
    <row r="124" spans="1:6" ht="18" customHeight="1" x14ac:dyDescent="0.25">
      <c r="A124" s="101"/>
      <c r="B124" s="102" t="s">
        <v>140</v>
      </c>
      <c r="C124" s="118">
        <f>SUM(C113:C123)</f>
        <v>95884</v>
      </c>
      <c r="D124" s="118">
        <f>SUM(D113:D123)</f>
        <v>96663</v>
      </c>
      <c r="E124" s="118">
        <f t="shared" si="16"/>
        <v>779</v>
      </c>
      <c r="F124" s="104">
        <f t="shared" si="17"/>
        <v>8.1244003170497688E-3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51174</v>
      </c>
      <c r="D126" s="117">
        <v>51641</v>
      </c>
      <c r="E126" s="117">
        <f t="shared" ref="E126:E137" si="18">D126-C126</f>
        <v>467</v>
      </c>
      <c r="F126" s="98">
        <f t="shared" ref="F126:F137" si="19">IF(C126=0,0,E126/C126)</f>
        <v>9.1257279087036385E-3</v>
      </c>
    </row>
    <row r="127" spans="1:6" ht="18" customHeight="1" x14ac:dyDescent="0.25">
      <c r="A127" s="99">
        <v>2</v>
      </c>
      <c r="B127" s="100" t="s">
        <v>113</v>
      </c>
      <c r="C127" s="117">
        <v>3850</v>
      </c>
      <c r="D127" s="117">
        <v>5060</v>
      </c>
      <c r="E127" s="117">
        <f t="shared" si="18"/>
        <v>1210</v>
      </c>
      <c r="F127" s="98">
        <f t="shared" si="19"/>
        <v>0.31428571428571428</v>
      </c>
    </row>
    <row r="128" spans="1:6" ht="18" customHeight="1" x14ac:dyDescent="0.25">
      <c r="A128" s="99">
        <v>3</v>
      </c>
      <c r="B128" s="100" t="s">
        <v>114</v>
      </c>
      <c r="C128" s="117">
        <v>8764</v>
      </c>
      <c r="D128" s="117">
        <v>11668</v>
      </c>
      <c r="E128" s="117">
        <f t="shared" si="18"/>
        <v>2904</v>
      </c>
      <c r="F128" s="98">
        <f t="shared" si="19"/>
        <v>0.3313555454130534</v>
      </c>
    </row>
    <row r="129" spans="1:6" ht="18" customHeight="1" x14ac:dyDescent="0.25">
      <c r="A129" s="99">
        <v>4</v>
      </c>
      <c r="B129" s="100" t="s">
        <v>115</v>
      </c>
      <c r="C129" s="117">
        <v>22569</v>
      </c>
      <c r="D129" s="117">
        <v>22441</v>
      </c>
      <c r="E129" s="117">
        <f t="shared" si="18"/>
        <v>-128</v>
      </c>
      <c r="F129" s="98">
        <f t="shared" si="19"/>
        <v>-5.6714963002348351E-3</v>
      </c>
    </row>
    <row r="130" spans="1:6" ht="18" customHeight="1" x14ac:dyDescent="0.25">
      <c r="A130" s="99">
        <v>5</v>
      </c>
      <c r="B130" s="100" t="s">
        <v>116</v>
      </c>
      <c r="C130" s="117">
        <v>269</v>
      </c>
      <c r="D130" s="117">
        <v>278</v>
      </c>
      <c r="E130" s="117">
        <f t="shared" si="18"/>
        <v>9</v>
      </c>
      <c r="F130" s="98">
        <f t="shared" si="19"/>
        <v>3.3457249070631967E-2</v>
      </c>
    </row>
    <row r="131" spans="1:6" ht="18" customHeight="1" x14ac:dyDescent="0.25">
      <c r="A131" s="99">
        <v>6</v>
      </c>
      <c r="B131" s="100" t="s">
        <v>117</v>
      </c>
      <c r="C131" s="117">
        <v>45070</v>
      </c>
      <c r="D131" s="117">
        <v>42989</v>
      </c>
      <c r="E131" s="117">
        <f t="shared" si="18"/>
        <v>-2081</v>
      </c>
      <c r="F131" s="98">
        <f t="shared" si="19"/>
        <v>-4.6172620368315952E-2</v>
      </c>
    </row>
    <row r="132" spans="1:6" ht="18" customHeight="1" x14ac:dyDescent="0.25">
      <c r="A132" s="99">
        <v>7</v>
      </c>
      <c r="B132" s="100" t="s">
        <v>118</v>
      </c>
      <c r="C132" s="117">
        <v>36790</v>
      </c>
      <c r="D132" s="117">
        <v>39448</v>
      </c>
      <c r="E132" s="117">
        <f t="shared" si="18"/>
        <v>2658</v>
      </c>
      <c r="F132" s="98">
        <f t="shared" si="19"/>
        <v>7.2247893449306877E-2</v>
      </c>
    </row>
    <row r="133" spans="1:6" ht="18" customHeight="1" x14ac:dyDescent="0.25">
      <c r="A133" s="99">
        <v>8</v>
      </c>
      <c r="B133" s="100" t="s">
        <v>119</v>
      </c>
      <c r="C133" s="117">
        <v>1492</v>
      </c>
      <c r="D133" s="117">
        <v>1525</v>
      </c>
      <c r="E133" s="117">
        <f t="shared" si="18"/>
        <v>33</v>
      </c>
      <c r="F133" s="98">
        <f t="shared" si="19"/>
        <v>2.2117962466487937E-2</v>
      </c>
    </row>
    <row r="134" spans="1:6" ht="18" customHeight="1" x14ac:dyDescent="0.25">
      <c r="A134" s="99">
        <v>9</v>
      </c>
      <c r="B134" s="100" t="s">
        <v>120</v>
      </c>
      <c r="C134" s="117">
        <v>12793</v>
      </c>
      <c r="D134" s="117">
        <v>12584</v>
      </c>
      <c r="E134" s="117">
        <f t="shared" si="18"/>
        <v>-209</v>
      </c>
      <c r="F134" s="98">
        <f t="shared" si="19"/>
        <v>-1.6337059329320721E-2</v>
      </c>
    </row>
    <row r="135" spans="1:6" ht="18" customHeight="1" x14ac:dyDescent="0.25">
      <c r="A135" s="99">
        <v>10</v>
      </c>
      <c r="B135" s="100" t="s">
        <v>121</v>
      </c>
      <c r="C135" s="117">
        <v>2212</v>
      </c>
      <c r="D135" s="117">
        <v>0</v>
      </c>
      <c r="E135" s="117">
        <f t="shared" si="18"/>
        <v>-2212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841</v>
      </c>
      <c r="D136" s="117">
        <v>681</v>
      </c>
      <c r="E136" s="117">
        <f t="shared" si="18"/>
        <v>-160</v>
      </c>
      <c r="F136" s="98">
        <f t="shared" si="19"/>
        <v>-0.19024970273483949</v>
      </c>
    </row>
    <row r="137" spans="1:6" ht="18" customHeight="1" x14ac:dyDescent="0.25">
      <c r="A137" s="101"/>
      <c r="B137" s="102" t="s">
        <v>143</v>
      </c>
      <c r="C137" s="118">
        <f>SUM(C126:C136)</f>
        <v>185824</v>
      </c>
      <c r="D137" s="118">
        <f>SUM(D126:D136)</f>
        <v>188315</v>
      </c>
      <c r="E137" s="118">
        <f t="shared" si="18"/>
        <v>2491</v>
      </c>
      <c r="F137" s="104">
        <f t="shared" si="19"/>
        <v>1.3405157568451868E-2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17856523</v>
      </c>
      <c r="D142" s="97">
        <v>18094150</v>
      </c>
      <c r="E142" s="97">
        <f t="shared" ref="E142:E153" si="20">D142-C142</f>
        <v>237627</v>
      </c>
      <c r="F142" s="98">
        <f t="shared" ref="F142:F153" si="21">IF(C142=0,0,E142/C142)</f>
        <v>1.3307573932506344E-2</v>
      </c>
    </row>
    <row r="143" spans="1:6" ht="18" customHeight="1" x14ac:dyDescent="0.25">
      <c r="A143" s="99">
        <v>2</v>
      </c>
      <c r="B143" s="100" t="s">
        <v>113</v>
      </c>
      <c r="C143" s="97">
        <v>1399220</v>
      </c>
      <c r="D143" s="97">
        <v>1726648</v>
      </c>
      <c r="E143" s="97">
        <f t="shared" si="20"/>
        <v>327428</v>
      </c>
      <c r="F143" s="98">
        <f t="shared" si="21"/>
        <v>0.23400751847457871</v>
      </c>
    </row>
    <row r="144" spans="1:6" ht="18" customHeight="1" x14ac:dyDescent="0.25">
      <c r="A144" s="99">
        <v>3</v>
      </c>
      <c r="B144" s="100" t="s">
        <v>114</v>
      </c>
      <c r="C144" s="97">
        <v>7056421</v>
      </c>
      <c r="D144" s="97">
        <v>10076697</v>
      </c>
      <c r="E144" s="97">
        <f t="shared" si="20"/>
        <v>3020276</v>
      </c>
      <c r="F144" s="98">
        <f t="shared" si="21"/>
        <v>0.42801811286486452</v>
      </c>
    </row>
    <row r="145" spans="1:6" ht="18" customHeight="1" x14ac:dyDescent="0.25">
      <c r="A145" s="99">
        <v>4</v>
      </c>
      <c r="B145" s="100" t="s">
        <v>115</v>
      </c>
      <c r="C145" s="97">
        <v>14969456</v>
      </c>
      <c r="D145" s="97">
        <v>15691850</v>
      </c>
      <c r="E145" s="97">
        <f t="shared" si="20"/>
        <v>722394</v>
      </c>
      <c r="F145" s="98">
        <f t="shared" si="21"/>
        <v>4.8257865883703455E-2</v>
      </c>
    </row>
    <row r="146" spans="1:6" ht="18" customHeight="1" x14ac:dyDescent="0.25">
      <c r="A146" s="99">
        <v>5</v>
      </c>
      <c r="B146" s="100" t="s">
        <v>116</v>
      </c>
      <c r="C146" s="97">
        <v>286709</v>
      </c>
      <c r="D146" s="97">
        <v>290028</v>
      </c>
      <c r="E146" s="97">
        <f t="shared" si="20"/>
        <v>3319</v>
      </c>
      <c r="F146" s="98">
        <f t="shared" si="21"/>
        <v>1.157619746851337E-2</v>
      </c>
    </row>
    <row r="147" spans="1:6" ht="18" customHeight="1" x14ac:dyDescent="0.25">
      <c r="A147" s="99">
        <v>6</v>
      </c>
      <c r="B147" s="100" t="s">
        <v>117</v>
      </c>
      <c r="C147" s="97">
        <v>28420434</v>
      </c>
      <c r="D147" s="97">
        <v>27027564</v>
      </c>
      <c r="E147" s="97">
        <f t="shared" si="20"/>
        <v>-1392870</v>
      </c>
      <c r="F147" s="98">
        <f t="shared" si="21"/>
        <v>-4.9009455661373783E-2</v>
      </c>
    </row>
    <row r="148" spans="1:6" ht="18" customHeight="1" x14ac:dyDescent="0.25">
      <c r="A148" s="99">
        <v>7</v>
      </c>
      <c r="B148" s="100" t="s">
        <v>118</v>
      </c>
      <c r="C148" s="97">
        <v>21042863</v>
      </c>
      <c r="D148" s="97">
        <v>22069944</v>
      </c>
      <c r="E148" s="97">
        <f t="shared" si="20"/>
        <v>1027081</v>
      </c>
      <c r="F148" s="98">
        <f t="shared" si="21"/>
        <v>4.8808995239858759E-2</v>
      </c>
    </row>
    <row r="149" spans="1:6" ht="18" customHeight="1" x14ac:dyDescent="0.25">
      <c r="A149" s="99">
        <v>8</v>
      </c>
      <c r="B149" s="100" t="s">
        <v>119</v>
      </c>
      <c r="C149" s="97">
        <v>1906619</v>
      </c>
      <c r="D149" s="97">
        <v>1964289</v>
      </c>
      <c r="E149" s="97">
        <f t="shared" si="20"/>
        <v>57670</v>
      </c>
      <c r="F149" s="98">
        <f t="shared" si="21"/>
        <v>3.0247259677995447E-2</v>
      </c>
    </row>
    <row r="150" spans="1:6" ht="18" customHeight="1" x14ac:dyDescent="0.25">
      <c r="A150" s="99">
        <v>9</v>
      </c>
      <c r="B150" s="100" t="s">
        <v>120</v>
      </c>
      <c r="C150" s="97">
        <v>10409786</v>
      </c>
      <c r="D150" s="97">
        <v>10701566</v>
      </c>
      <c r="E150" s="97">
        <f t="shared" si="20"/>
        <v>291780</v>
      </c>
      <c r="F150" s="98">
        <f t="shared" si="21"/>
        <v>2.8029394648458671E-2</v>
      </c>
    </row>
    <row r="151" spans="1:6" ht="18" customHeight="1" x14ac:dyDescent="0.25">
      <c r="A151" s="99">
        <v>10</v>
      </c>
      <c r="B151" s="100" t="s">
        <v>121</v>
      </c>
      <c r="C151" s="97">
        <v>2647084</v>
      </c>
      <c r="D151" s="97">
        <v>0</v>
      </c>
      <c r="E151" s="97">
        <f t="shared" si="20"/>
        <v>-2647084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400248</v>
      </c>
      <c r="D152" s="97">
        <v>224466</v>
      </c>
      <c r="E152" s="97">
        <f t="shared" si="20"/>
        <v>-175782</v>
      </c>
      <c r="F152" s="98">
        <f t="shared" si="21"/>
        <v>-0.43918270672183246</v>
      </c>
    </row>
    <row r="153" spans="1:6" ht="33.75" customHeight="1" x14ac:dyDescent="0.25">
      <c r="A153" s="101"/>
      <c r="B153" s="102" t="s">
        <v>147</v>
      </c>
      <c r="C153" s="103">
        <f>SUM(C142:C152)</f>
        <v>106395363</v>
      </c>
      <c r="D153" s="103">
        <f>SUM(D142:D152)</f>
        <v>107867202</v>
      </c>
      <c r="E153" s="103">
        <f t="shared" si="20"/>
        <v>1471839</v>
      </c>
      <c r="F153" s="104">
        <f t="shared" si="21"/>
        <v>1.383367619132048E-2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3433316</v>
      </c>
      <c r="D155" s="97">
        <v>3175362</v>
      </c>
      <c r="E155" s="97">
        <f t="shared" ref="E155:E166" si="22">D155-C155</f>
        <v>-257954</v>
      </c>
      <c r="F155" s="98">
        <f t="shared" ref="F155:F166" si="23">IF(C155=0,0,E155/C155)</f>
        <v>-7.5132612319984526E-2</v>
      </c>
    </row>
    <row r="156" spans="1:6" ht="18" customHeight="1" x14ac:dyDescent="0.25">
      <c r="A156" s="99">
        <v>2</v>
      </c>
      <c r="B156" s="100" t="s">
        <v>113</v>
      </c>
      <c r="C156" s="97">
        <v>367320</v>
      </c>
      <c r="D156" s="97">
        <v>385171</v>
      </c>
      <c r="E156" s="97">
        <f t="shared" si="22"/>
        <v>17851</v>
      </c>
      <c r="F156" s="98">
        <f t="shared" si="23"/>
        <v>4.8597952738756396E-2</v>
      </c>
    </row>
    <row r="157" spans="1:6" ht="18" customHeight="1" x14ac:dyDescent="0.25">
      <c r="A157" s="99">
        <v>3</v>
      </c>
      <c r="B157" s="100" t="s">
        <v>114</v>
      </c>
      <c r="C157" s="97">
        <v>1135002</v>
      </c>
      <c r="D157" s="97">
        <v>1224281</v>
      </c>
      <c r="E157" s="97">
        <f t="shared" si="22"/>
        <v>89279</v>
      </c>
      <c r="F157" s="98">
        <f t="shared" si="23"/>
        <v>7.8659773286743104E-2</v>
      </c>
    </row>
    <row r="158" spans="1:6" ht="18" customHeight="1" x14ac:dyDescent="0.25">
      <c r="A158" s="99">
        <v>4</v>
      </c>
      <c r="B158" s="100" t="s">
        <v>115</v>
      </c>
      <c r="C158" s="97">
        <v>3194679</v>
      </c>
      <c r="D158" s="97">
        <v>3029757</v>
      </c>
      <c r="E158" s="97">
        <f t="shared" si="22"/>
        <v>-164922</v>
      </c>
      <c r="F158" s="98">
        <f t="shared" si="23"/>
        <v>-5.1623965975924342E-2</v>
      </c>
    </row>
    <row r="159" spans="1:6" ht="18" customHeight="1" x14ac:dyDescent="0.25">
      <c r="A159" s="99">
        <v>5</v>
      </c>
      <c r="B159" s="100" t="s">
        <v>116</v>
      </c>
      <c r="C159" s="97">
        <v>61582</v>
      </c>
      <c r="D159" s="97">
        <v>92026</v>
      </c>
      <c r="E159" s="97">
        <f t="shared" si="22"/>
        <v>30444</v>
      </c>
      <c r="F159" s="98">
        <f t="shared" si="23"/>
        <v>0.49436523659510895</v>
      </c>
    </row>
    <row r="160" spans="1:6" ht="18" customHeight="1" x14ac:dyDescent="0.25">
      <c r="A160" s="99">
        <v>6</v>
      </c>
      <c r="B160" s="100" t="s">
        <v>117</v>
      </c>
      <c r="C160" s="97">
        <v>17940367</v>
      </c>
      <c r="D160" s="97">
        <v>16689049</v>
      </c>
      <c r="E160" s="97">
        <f t="shared" si="22"/>
        <v>-1251318</v>
      </c>
      <c r="F160" s="98">
        <f t="shared" si="23"/>
        <v>-6.9748740368577741E-2</v>
      </c>
    </row>
    <row r="161" spans="1:6" ht="18" customHeight="1" x14ac:dyDescent="0.25">
      <c r="A161" s="99">
        <v>7</v>
      </c>
      <c r="B161" s="100" t="s">
        <v>118</v>
      </c>
      <c r="C161" s="97">
        <v>13409703</v>
      </c>
      <c r="D161" s="97">
        <v>14413621</v>
      </c>
      <c r="E161" s="97">
        <f t="shared" si="22"/>
        <v>1003918</v>
      </c>
      <c r="F161" s="98">
        <f t="shared" si="23"/>
        <v>7.4865043618042845E-2</v>
      </c>
    </row>
    <row r="162" spans="1:6" ht="18" customHeight="1" x14ac:dyDescent="0.25">
      <c r="A162" s="99">
        <v>8</v>
      </c>
      <c r="B162" s="100" t="s">
        <v>119</v>
      </c>
      <c r="C162" s="97">
        <v>1303410</v>
      </c>
      <c r="D162" s="97">
        <v>1311265</v>
      </c>
      <c r="E162" s="97">
        <f t="shared" si="22"/>
        <v>7855</v>
      </c>
      <c r="F162" s="98">
        <f t="shared" si="23"/>
        <v>6.026499719965322E-3</v>
      </c>
    </row>
    <row r="163" spans="1:6" ht="18" customHeight="1" x14ac:dyDescent="0.25">
      <c r="A163" s="99">
        <v>9</v>
      </c>
      <c r="B163" s="100" t="s">
        <v>120</v>
      </c>
      <c r="C163" s="97">
        <v>1587314</v>
      </c>
      <c r="D163" s="97">
        <v>1518749</v>
      </c>
      <c r="E163" s="97">
        <f t="shared" si="22"/>
        <v>-68565</v>
      </c>
      <c r="F163" s="98">
        <f t="shared" si="23"/>
        <v>-4.3195612210312519E-2</v>
      </c>
    </row>
    <row r="164" spans="1:6" ht="18" customHeight="1" x14ac:dyDescent="0.25">
      <c r="A164" s="99">
        <v>10</v>
      </c>
      <c r="B164" s="100" t="s">
        <v>121</v>
      </c>
      <c r="C164" s="97">
        <v>222678</v>
      </c>
      <c r="D164" s="97">
        <v>0</v>
      </c>
      <c r="E164" s="97">
        <f t="shared" si="22"/>
        <v>-222678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84086</v>
      </c>
      <c r="D165" s="97">
        <v>41382</v>
      </c>
      <c r="E165" s="97">
        <f t="shared" si="22"/>
        <v>-42704</v>
      </c>
      <c r="F165" s="98">
        <f t="shared" si="23"/>
        <v>-0.50786099945294105</v>
      </c>
    </row>
    <row r="166" spans="1:6" ht="33.75" customHeight="1" x14ac:dyDescent="0.25">
      <c r="A166" s="101"/>
      <c r="B166" s="102" t="s">
        <v>149</v>
      </c>
      <c r="C166" s="103">
        <f>SUM(C155:C165)</f>
        <v>42739457</v>
      </c>
      <c r="D166" s="103">
        <f>SUM(D155:D165)</f>
        <v>41880663</v>
      </c>
      <c r="E166" s="103">
        <f t="shared" si="22"/>
        <v>-858794</v>
      </c>
      <c r="F166" s="104">
        <f t="shared" si="23"/>
        <v>-2.0093704044953122E-2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7754</v>
      </c>
      <c r="D168" s="117">
        <v>7689</v>
      </c>
      <c r="E168" s="117">
        <f t="shared" ref="E168:E179" si="24">D168-C168</f>
        <v>-65</v>
      </c>
      <c r="F168" s="98">
        <f t="shared" ref="F168:F179" si="25">IF(C168=0,0,E168/C168)</f>
        <v>-8.3827701831312874E-3</v>
      </c>
    </row>
    <row r="169" spans="1:6" ht="18" customHeight="1" x14ac:dyDescent="0.25">
      <c r="A169" s="99">
        <v>2</v>
      </c>
      <c r="B169" s="100" t="s">
        <v>113</v>
      </c>
      <c r="C169" s="117">
        <v>605</v>
      </c>
      <c r="D169" s="117">
        <v>700</v>
      </c>
      <c r="E169" s="117">
        <f t="shared" si="24"/>
        <v>95</v>
      </c>
      <c r="F169" s="98">
        <f t="shared" si="25"/>
        <v>0.15702479338842976</v>
      </c>
    </row>
    <row r="170" spans="1:6" ht="18" customHeight="1" x14ac:dyDescent="0.25">
      <c r="A170" s="99">
        <v>3</v>
      </c>
      <c r="B170" s="100" t="s">
        <v>114</v>
      </c>
      <c r="C170" s="117">
        <v>3770</v>
      </c>
      <c r="D170" s="117">
        <v>5254</v>
      </c>
      <c r="E170" s="117">
        <f t="shared" si="24"/>
        <v>1484</v>
      </c>
      <c r="F170" s="98">
        <f t="shared" si="25"/>
        <v>0.39363395225464193</v>
      </c>
    </row>
    <row r="171" spans="1:6" ht="18" customHeight="1" x14ac:dyDescent="0.25">
      <c r="A171" s="99">
        <v>4</v>
      </c>
      <c r="B171" s="100" t="s">
        <v>115</v>
      </c>
      <c r="C171" s="117">
        <v>11386</v>
      </c>
      <c r="D171" s="117">
        <v>11351</v>
      </c>
      <c r="E171" s="117">
        <f t="shared" si="24"/>
        <v>-35</v>
      </c>
      <c r="F171" s="98">
        <f t="shared" si="25"/>
        <v>-3.0739504654839277E-3</v>
      </c>
    </row>
    <row r="172" spans="1:6" ht="18" customHeight="1" x14ac:dyDescent="0.25">
      <c r="A172" s="99">
        <v>5</v>
      </c>
      <c r="B172" s="100" t="s">
        <v>116</v>
      </c>
      <c r="C172" s="117">
        <v>156</v>
      </c>
      <c r="D172" s="117">
        <v>155</v>
      </c>
      <c r="E172" s="117">
        <f t="shared" si="24"/>
        <v>-1</v>
      </c>
      <c r="F172" s="98">
        <f t="shared" si="25"/>
        <v>-6.41025641025641E-3</v>
      </c>
    </row>
    <row r="173" spans="1:6" ht="18" customHeight="1" x14ac:dyDescent="0.25">
      <c r="A173" s="99">
        <v>6</v>
      </c>
      <c r="B173" s="100" t="s">
        <v>117</v>
      </c>
      <c r="C173" s="117">
        <v>13461</v>
      </c>
      <c r="D173" s="117">
        <v>12501</v>
      </c>
      <c r="E173" s="117">
        <f t="shared" si="24"/>
        <v>-960</v>
      </c>
      <c r="F173" s="98">
        <f t="shared" si="25"/>
        <v>-7.1317138399821706E-2</v>
      </c>
    </row>
    <row r="174" spans="1:6" ht="18" customHeight="1" x14ac:dyDescent="0.25">
      <c r="A174" s="99">
        <v>7</v>
      </c>
      <c r="B174" s="100" t="s">
        <v>118</v>
      </c>
      <c r="C174" s="117">
        <v>10231</v>
      </c>
      <c r="D174" s="117">
        <v>10297</v>
      </c>
      <c r="E174" s="117">
        <f t="shared" si="24"/>
        <v>66</v>
      </c>
      <c r="F174" s="98">
        <f t="shared" si="25"/>
        <v>6.4509823086697296E-3</v>
      </c>
    </row>
    <row r="175" spans="1:6" ht="18" customHeight="1" x14ac:dyDescent="0.25">
      <c r="A175" s="99">
        <v>8</v>
      </c>
      <c r="B175" s="100" t="s">
        <v>119</v>
      </c>
      <c r="C175" s="117">
        <v>1256</v>
      </c>
      <c r="D175" s="117">
        <v>1295</v>
      </c>
      <c r="E175" s="117">
        <f t="shared" si="24"/>
        <v>39</v>
      </c>
      <c r="F175" s="98">
        <f t="shared" si="25"/>
        <v>3.1050955414012739E-2</v>
      </c>
    </row>
    <row r="176" spans="1:6" ht="18" customHeight="1" x14ac:dyDescent="0.25">
      <c r="A176" s="99">
        <v>9</v>
      </c>
      <c r="B176" s="100" t="s">
        <v>120</v>
      </c>
      <c r="C176" s="117">
        <v>5785</v>
      </c>
      <c r="D176" s="117">
        <v>5619</v>
      </c>
      <c r="E176" s="117">
        <f t="shared" si="24"/>
        <v>-166</v>
      </c>
      <c r="F176" s="98">
        <f t="shared" si="25"/>
        <v>-2.8694900605012966E-2</v>
      </c>
    </row>
    <row r="177" spans="1:6" ht="18" customHeight="1" x14ac:dyDescent="0.25">
      <c r="A177" s="99">
        <v>10</v>
      </c>
      <c r="B177" s="100" t="s">
        <v>121</v>
      </c>
      <c r="C177" s="117">
        <v>1449</v>
      </c>
      <c r="D177" s="117">
        <v>0</v>
      </c>
      <c r="E177" s="117">
        <f t="shared" si="24"/>
        <v>-1449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283</v>
      </c>
      <c r="D178" s="117">
        <v>131</v>
      </c>
      <c r="E178" s="117">
        <f t="shared" si="24"/>
        <v>-152</v>
      </c>
      <c r="F178" s="98">
        <f t="shared" si="25"/>
        <v>-0.53710247349823326</v>
      </c>
    </row>
    <row r="179" spans="1:6" ht="33.75" customHeight="1" x14ac:dyDescent="0.25">
      <c r="A179" s="101"/>
      <c r="B179" s="102" t="s">
        <v>151</v>
      </c>
      <c r="C179" s="118">
        <f>SUM(C168:C178)</f>
        <v>56136</v>
      </c>
      <c r="D179" s="118">
        <f>SUM(D168:D178)</f>
        <v>54992</v>
      </c>
      <c r="E179" s="118">
        <f t="shared" si="24"/>
        <v>-1144</v>
      </c>
      <c r="F179" s="104">
        <f t="shared" si="25"/>
        <v>-2.0379079378651844E-2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FILING&amp;RDANBURY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F18" sqref="F18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54797841</v>
      </c>
      <c r="D15" s="146">
        <v>58301687</v>
      </c>
      <c r="E15" s="146">
        <f>+D15-C15</f>
        <v>3503846</v>
      </c>
      <c r="F15" s="150">
        <f>IF(C15=0,0,E15/C15)</f>
        <v>6.3941314768222346E-2</v>
      </c>
    </row>
    <row r="16" spans="1:7" ht="15" customHeight="1" x14ac:dyDescent="0.2">
      <c r="A16" s="141">
        <v>2</v>
      </c>
      <c r="B16" s="149" t="s">
        <v>158</v>
      </c>
      <c r="C16" s="146">
        <v>6365059</v>
      </c>
      <c r="D16" s="146">
        <v>7419911</v>
      </c>
      <c r="E16" s="146">
        <f>+D16-C16</f>
        <v>1054852</v>
      </c>
      <c r="F16" s="150">
        <f>IF(C16=0,0,E16/C16)</f>
        <v>0.16572540804413596</v>
      </c>
    </row>
    <row r="17" spans="1:7" ht="15" customHeight="1" x14ac:dyDescent="0.2">
      <c r="A17" s="141">
        <v>3</v>
      </c>
      <c r="B17" s="149" t="s">
        <v>159</v>
      </c>
      <c r="C17" s="146">
        <v>125010388</v>
      </c>
      <c r="D17" s="146">
        <v>128541073</v>
      </c>
      <c r="E17" s="146">
        <f>+D17-C17</f>
        <v>3530685</v>
      </c>
      <c r="F17" s="150">
        <f>IF(C17=0,0,E17/C17)</f>
        <v>2.8243132882684919E-2</v>
      </c>
    </row>
    <row r="18" spans="1:7" ht="15.75" customHeight="1" x14ac:dyDescent="0.25">
      <c r="A18" s="141"/>
      <c r="B18" s="151" t="s">
        <v>160</v>
      </c>
      <c r="C18" s="147">
        <f>SUM(C15:C17)</f>
        <v>186173288</v>
      </c>
      <c r="D18" s="147">
        <f>SUM(D15:D17)</f>
        <v>194262671</v>
      </c>
      <c r="E18" s="147">
        <f>+D18-C18</f>
        <v>8089383</v>
      </c>
      <c r="F18" s="148">
        <f>IF(C18=0,0,E18/C18)</f>
        <v>4.3450825233317038E-2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18746472</v>
      </c>
      <c r="D21" s="146">
        <v>20247827</v>
      </c>
      <c r="E21" s="146">
        <f>+D21-C21</f>
        <v>1501355</v>
      </c>
      <c r="F21" s="150">
        <f>IF(C21=0,0,E21/C21)</f>
        <v>8.0087335899789572E-2</v>
      </c>
    </row>
    <row r="22" spans="1:7" ht="15" customHeight="1" x14ac:dyDescent="0.2">
      <c r="A22" s="141">
        <v>2</v>
      </c>
      <c r="B22" s="149" t="s">
        <v>163</v>
      </c>
      <c r="C22" s="146">
        <v>2177502</v>
      </c>
      <c r="D22" s="146">
        <v>2576891</v>
      </c>
      <c r="E22" s="146">
        <f>+D22-C22</f>
        <v>399389</v>
      </c>
      <c r="F22" s="150">
        <f>IF(C22=0,0,E22/C22)</f>
        <v>0.18341613463500836</v>
      </c>
    </row>
    <row r="23" spans="1:7" ht="15" customHeight="1" x14ac:dyDescent="0.2">
      <c r="A23" s="141">
        <v>3</v>
      </c>
      <c r="B23" s="149" t="s">
        <v>164</v>
      </c>
      <c r="C23" s="146">
        <v>42766350</v>
      </c>
      <c r="D23" s="146">
        <v>44641545</v>
      </c>
      <c r="E23" s="146">
        <f>+D23-C23</f>
        <v>1875195</v>
      </c>
      <c r="F23" s="150">
        <f>IF(C23=0,0,E23/C23)</f>
        <v>4.3847440803341881E-2</v>
      </c>
    </row>
    <row r="24" spans="1:7" ht="15.75" customHeight="1" x14ac:dyDescent="0.25">
      <c r="A24" s="141"/>
      <c r="B24" s="151" t="s">
        <v>165</v>
      </c>
      <c r="C24" s="147">
        <f>SUM(C21:C23)</f>
        <v>63690324</v>
      </c>
      <c r="D24" s="147">
        <f>SUM(D21:D23)</f>
        <v>67466263</v>
      </c>
      <c r="E24" s="147">
        <f>+D24-C24</f>
        <v>3775939</v>
      </c>
      <c r="F24" s="148">
        <f>IF(C24=0,0,E24/C24)</f>
        <v>5.9285912880581361E-2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149029</v>
      </c>
      <c r="D27" s="146">
        <v>412766</v>
      </c>
      <c r="E27" s="146">
        <f>+D27-C27</f>
        <v>263737</v>
      </c>
      <c r="F27" s="150">
        <f>IF(C27=0,0,E27/C27)</f>
        <v>1.7697025411161587</v>
      </c>
    </row>
    <row r="28" spans="1:7" ht="15" customHeight="1" x14ac:dyDescent="0.2">
      <c r="A28" s="141">
        <v>2</v>
      </c>
      <c r="B28" s="149" t="s">
        <v>168</v>
      </c>
      <c r="C28" s="146">
        <v>41098443</v>
      </c>
      <c r="D28" s="146">
        <v>45908952</v>
      </c>
      <c r="E28" s="146">
        <f>+D28-C28</f>
        <v>4810509</v>
      </c>
      <c r="F28" s="150">
        <f>IF(C28=0,0,E28/C28)</f>
        <v>0.11704844876970157</v>
      </c>
    </row>
    <row r="29" spans="1:7" ht="15" customHeight="1" x14ac:dyDescent="0.2">
      <c r="A29" s="141">
        <v>3</v>
      </c>
      <c r="B29" s="149" t="s">
        <v>169</v>
      </c>
      <c r="C29" s="146">
        <v>329219</v>
      </c>
      <c r="D29" s="146">
        <v>490035</v>
      </c>
      <c r="E29" s="146">
        <f>+D29-C29</f>
        <v>160816</v>
      </c>
      <c r="F29" s="150">
        <f>IF(C29=0,0,E29/C29)</f>
        <v>0.48847727500539156</v>
      </c>
    </row>
    <row r="30" spans="1:7" ht="15.75" customHeight="1" x14ac:dyDescent="0.25">
      <c r="A30" s="141"/>
      <c r="B30" s="151" t="s">
        <v>170</v>
      </c>
      <c r="C30" s="147">
        <f>SUM(C27:C29)</f>
        <v>41576691</v>
      </c>
      <c r="D30" s="147">
        <f>SUM(D27:D29)</f>
        <v>46811753</v>
      </c>
      <c r="E30" s="147">
        <f>+D30-C30</f>
        <v>5235062</v>
      </c>
      <c r="F30" s="148">
        <f>IF(C30=0,0,E30/C30)</f>
        <v>0.12591338738332977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47533352</v>
      </c>
      <c r="D33" s="146">
        <v>51736677</v>
      </c>
      <c r="E33" s="146">
        <f>+D33-C33</f>
        <v>4203325</v>
      </c>
      <c r="F33" s="150">
        <f>IF(C33=0,0,E33/C33)</f>
        <v>8.8428962468289629E-2</v>
      </c>
    </row>
    <row r="34" spans="1:7" ht="15" customHeight="1" x14ac:dyDescent="0.2">
      <c r="A34" s="141">
        <v>2</v>
      </c>
      <c r="B34" s="149" t="s">
        <v>174</v>
      </c>
      <c r="C34" s="146">
        <v>18702345</v>
      </c>
      <c r="D34" s="146">
        <v>19855665</v>
      </c>
      <c r="E34" s="146">
        <f>+D34-C34</f>
        <v>1153320</v>
      </c>
      <c r="F34" s="150">
        <f>IF(C34=0,0,E34/C34)</f>
        <v>6.1667133185704784E-2</v>
      </c>
    </row>
    <row r="35" spans="1:7" ht="15.75" customHeight="1" x14ac:dyDescent="0.25">
      <c r="A35" s="141"/>
      <c r="B35" s="151" t="s">
        <v>175</v>
      </c>
      <c r="C35" s="147">
        <f>SUM(C33:C34)</f>
        <v>66235697</v>
      </c>
      <c r="D35" s="147">
        <f>SUM(D33:D34)</f>
        <v>71592342</v>
      </c>
      <c r="E35" s="147">
        <f>+D35-C35</f>
        <v>5356645</v>
      </c>
      <c r="F35" s="148">
        <f>IF(C35=0,0,E35/C35)</f>
        <v>8.0872478778324014E-2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8578495</v>
      </c>
      <c r="D38" s="146">
        <v>9652053</v>
      </c>
      <c r="E38" s="146">
        <f>+D38-C38</f>
        <v>1073558</v>
      </c>
      <c r="F38" s="150">
        <f>IF(C38=0,0,E38/C38)</f>
        <v>0.12514526149400332</v>
      </c>
    </row>
    <row r="39" spans="1:7" ht="15" customHeight="1" x14ac:dyDescent="0.2">
      <c r="A39" s="141">
        <v>2</v>
      </c>
      <c r="B39" s="149" t="s">
        <v>179</v>
      </c>
      <c r="C39" s="146">
        <v>17038115</v>
      </c>
      <c r="D39" s="146">
        <v>17629693</v>
      </c>
      <c r="E39" s="146">
        <f>+D39-C39</f>
        <v>591578</v>
      </c>
      <c r="F39" s="150">
        <f>IF(C39=0,0,E39/C39)</f>
        <v>3.4720859672563546E-2</v>
      </c>
    </row>
    <row r="40" spans="1:7" ht="15" customHeight="1" x14ac:dyDescent="0.2">
      <c r="A40" s="141">
        <v>3</v>
      </c>
      <c r="B40" s="149" t="s">
        <v>180</v>
      </c>
      <c r="C40" s="146">
        <v>87325</v>
      </c>
      <c r="D40" s="146">
        <v>88203</v>
      </c>
      <c r="E40" s="146">
        <f>+D40-C40</f>
        <v>878</v>
      </c>
      <c r="F40" s="150">
        <f>IF(C40=0,0,E40/C40)</f>
        <v>1.00543945032923E-2</v>
      </c>
    </row>
    <row r="41" spans="1:7" ht="15.75" customHeight="1" x14ac:dyDescent="0.25">
      <c r="A41" s="141"/>
      <c r="B41" s="151" t="s">
        <v>181</v>
      </c>
      <c r="C41" s="147">
        <f>SUM(C38:C40)</f>
        <v>25703935</v>
      </c>
      <c r="D41" s="147">
        <f>SUM(D38:D40)</f>
        <v>27369949</v>
      </c>
      <c r="E41" s="147">
        <f>+D41-C41</f>
        <v>1666014</v>
      </c>
      <c r="F41" s="148">
        <f>IF(C41=0,0,E41/C41)</f>
        <v>6.4815523381925769E-2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10687109</v>
      </c>
      <c r="D44" s="146">
        <v>18183085</v>
      </c>
      <c r="E44" s="146">
        <f>+D44-C44</f>
        <v>7495976</v>
      </c>
      <c r="F44" s="150">
        <f>IF(C44=0,0,E44/C44)</f>
        <v>0.7014035320496872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4557278</v>
      </c>
      <c r="D47" s="146">
        <v>4587742</v>
      </c>
      <c r="E47" s="146">
        <f>+D47-C47</f>
        <v>30464</v>
      </c>
      <c r="F47" s="150">
        <f>IF(C47=0,0,E47/C47)</f>
        <v>6.6846920464364908E-3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6692376</v>
      </c>
      <c r="D50" s="146">
        <v>6373521</v>
      </c>
      <c r="E50" s="146">
        <f>+D50-C50</f>
        <v>-318855</v>
      </c>
      <c r="F50" s="150">
        <f>IF(C50=0,0,E50/C50)</f>
        <v>-4.7644513697377433E-2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422892</v>
      </c>
      <c r="D53" s="146">
        <v>462231</v>
      </c>
      <c r="E53" s="146">
        <f t="shared" ref="E53:E59" si="0">+D53-C53</f>
        <v>39339</v>
      </c>
      <c r="F53" s="150">
        <f t="shared" ref="F53:F59" si="1">IF(C53=0,0,E53/C53)</f>
        <v>9.3023750744871028E-2</v>
      </c>
    </row>
    <row r="54" spans="1:7" ht="15" customHeight="1" x14ac:dyDescent="0.2">
      <c r="A54" s="141">
        <v>2</v>
      </c>
      <c r="B54" s="149" t="s">
        <v>193</v>
      </c>
      <c r="C54" s="146">
        <v>122387</v>
      </c>
      <c r="D54" s="146">
        <v>141222</v>
      </c>
      <c r="E54" s="146">
        <f t="shared" si="0"/>
        <v>18835</v>
      </c>
      <c r="F54" s="150">
        <f t="shared" si="1"/>
        <v>0.15389706423067809</v>
      </c>
    </row>
    <row r="55" spans="1:7" ht="15" customHeight="1" x14ac:dyDescent="0.2">
      <c r="A55" s="141">
        <v>3</v>
      </c>
      <c r="B55" s="149" t="s">
        <v>194</v>
      </c>
      <c r="C55" s="146">
        <v>1258752</v>
      </c>
      <c r="D55" s="146">
        <v>1838684</v>
      </c>
      <c r="E55" s="146">
        <f t="shared" si="0"/>
        <v>579932</v>
      </c>
      <c r="F55" s="150">
        <f t="shared" si="1"/>
        <v>0.46071982407972339</v>
      </c>
    </row>
    <row r="56" spans="1:7" ht="15" customHeight="1" x14ac:dyDescent="0.2">
      <c r="A56" s="141">
        <v>4</v>
      </c>
      <c r="B56" s="149" t="s">
        <v>195</v>
      </c>
      <c r="C56" s="146">
        <v>4091028</v>
      </c>
      <c r="D56" s="146">
        <v>3002549</v>
      </c>
      <c r="E56" s="146">
        <f t="shared" si="0"/>
        <v>-1088479</v>
      </c>
      <c r="F56" s="150">
        <f t="shared" si="1"/>
        <v>-0.26606491082436984</v>
      </c>
    </row>
    <row r="57" spans="1:7" ht="15" customHeight="1" x14ac:dyDescent="0.2">
      <c r="A57" s="141">
        <v>5</v>
      </c>
      <c r="B57" s="149" t="s">
        <v>196</v>
      </c>
      <c r="C57" s="146">
        <v>612790</v>
      </c>
      <c r="D57" s="146">
        <v>781414</v>
      </c>
      <c r="E57" s="146">
        <f t="shared" si="0"/>
        <v>168624</v>
      </c>
      <c r="F57" s="150">
        <f t="shared" si="1"/>
        <v>0.27517420323438696</v>
      </c>
    </row>
    <row r="58" spans="1:7" ht="15" customHeight="1" x14ac:dyDescent="0.2">
      <c r="A58" s="141">
        <v>6</v>
      </c>
      <c r="B58" s="149" t="s">
        <v>197</v>
      </c>
      <c r="C58" s="146">
        <v>19059</v>
      </c>
      <c r="D58" s="146">
        <v>20157</v>
      </c>
      <c r="E58" s="146">
        <f t="shared" si="0"/>
        <v>1098</v>
      </c>
      <c r="F58" s="150">
        <f t="shared" si="1"/>
        <v>5.7610577679836295E-2</v>
      </c>
    </row>
    <row r="59" spans="1:7" ht="15.75" customHeight="1" x14ac:dyDescent="0.25">
      <c r="A59" s="141"/>
      <c r="B59" s="151" t="s">
        <v>198</v>
      </c>
      <c r="C59" s="147">
        <f>SUM(C53:C58)</f>
        <v>6526908</v>
      </c>
      <c r="D59" s="147">
        <f>SUM(D53:D58)</f>
        <v>6246257</v>
      </c>
      <c r="E59" s="147">
        <f t="shared" si="0"/>
        <v>-280651</v>
      </c>
      <c r="F59" s="148">
        <f t="shared" si="1"/>
        <v>-4.2999073987253993E-2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347637</v>
      </c>
      <c r="D62" s="146">
        <v>440724</v>
      </c>
      <c r="E62" s="146">
        <f t="shared" ref="E62:E78" si="2">+D62-C62</f>
        <v>93087</v>
      </c>
      <c r="F62" s="150">
        <f t="shared" ref="F62:F78" si="3">IF(C62=0,0,E62/C62)</f>
        <v>0.2677706918423528</v>
      </c>
    </row>
    <row r="63" spans="1:7" ht="15" customHeight="1" x14ac:dyDescent="0.2">
      <c r="A63" s="141">
        <v>2</v>
      </c>
      <c r="B63" s="149" t="s">
        <v>202</v>
      </c>
      <c r="C63" s="146">
        <v>1054189</v>
      </c>
      <c r="D63" s="146">
        <v>1759483</v>
      </c>
      <c r="E63" s="146">
        <f t="shared" si="2"/>
        <v>705294</v>
      </c>
      <c r="F63" s="150">
        <f t="shared" si="3"/>
        <v>0.66903942272211148</v>
      </c>
    </row>
    <row r="64" spans="1:7" ht="15" customHeight="1" x14ac:dyDescent="0.2">
      <c r="A64" s="141">
        <v>3</v>
      </c>
      <c r="B64" s="149" t="s">
        <v>203</v>
      </c>
      <c r="C64" s="146">
        <v>2511112</v>
      </c>
      <c r="D64" s="146">
        <v>3631996</v>
      </c>
      <c r="E64" s="146">
        <f t="shared" si="2"/>
        <v>1120884</v>
      </c>
      <c r="F64" s="150">
        <f t="shared" si="3"/>
        <v>0.44636957650634462</v>
      </c>
    </row>
    <row r="65" spans="1:7" ht="15" customHeight="1" x14ac:dyDescent="0.2">
      <c r="A65" s="141">
        <v>4</v>
      </c>
      <c r="B65" s="149" t="s">
        <v>204</v>
      </c>
      <c r="C65" s="146">
        <v>1084399</v>
      </c>
      <c r="D65" s="146">
        <v>1231947</v>
      </c>
      <c r="E65" s="146">
        <f t="shared" si="2"/>
        <v>147548</v>
      </c>
      <c r="F65" s="150">
        <f t="shared" si="3"/>
        <v>0.13606430843259723</v>
      </c>
    </row>
    <row r="66" spans="1:7" ht="15" customHeight="1" x14ac:dyDescent="0.2">
      <c r="A66" s="141">
        <v>5</v>
      </c>
      <c r="B66" s="149" t="s">
        <v>205</v>
      </c>
      <c r="C66" s="146">
        <v>4935335</v>
      </c>
      <c r="D66" s="146">
        <v>5858538</v>
      </c>
      <c r="E66" s="146">
        <f t="shared" si="2"/>
        <v>923203</v>
      </c>
      <c r="F66" s="150">
        <f t="shared" si="3"/>
        <v>0.18705984497506248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7535591</v>
      </c>
      <c r="D68" s="146">
        <v>7767449</v>
      </c>
      <c r="E68" s="146">
        <f t="shared" si="2"/>
        <v>231858</v>
      </c>
      <c r="F68" s="150">
        <f t="shared" si="3"/>
        <v>3.0768389632611429E-2</v>
      </c>
    </row>
    <row r="69" spans="1:7" ht="15" customHeight="1" x14ac:dyDescent="0.2">
      <c r="A69" s="141">
        <v>8</v>
      </c>
      <c r="B69" s="149" t="s">
        <v>208</v>
      </c>
      <c r="C69" s="146">
        <v>654918</v>
      </c>
      <c r="D69" s="146">
        <v>848225</v>
      </c>
      <c r="E69" s="146">
        <f t="shared" si="2"/>
        <v>193307</v>
      </c>
      <c r="F69" s="150">
        <f t="shared" si="3"/>
        <v>0.2951621424361523</v>
      </c>
    </row>
    <row r="70" spans="1:7" ht="15" customHeight="1" x14ac:dyDescent="0.2">
      <c r="A70" s="141">
        <v>9</v>
      </c>
      <c r="B70" s="149" t="s">
        <v>209</v>
      </c>
      <c r="C70" s="146">
        <v>436180</v>
      </c>
      <c r="D70" s="146">
        <v>510240</v>
      </c>
      <c r="E70" s="146">
        <f t="shared" si="2"/>
        <v>74060</v>
      </c>
      <c r="F70" s="150">
        <f t="shared" si="3"/>
        <v>0.16979228758769316</v>
      </c>
    </row>
    <row r="71" spans="1:7" ht="15" customHeight="1" x14ac:dyDescent="0.2">
      <c r="A71" s="141">
        <v>10</v>
      </c>
      <c r="B71" s="149" t="s">
        <v>210</v>
      </c>
      <c r="C71" s="146">
        <v>350159</v>
      </c>
      <c r="D71" s="146">
        <v>362374</v>
      </c>
      <c r="E71" s="146">
        <f t="shared" si="2"/>
        <v>12215</v>
      </c>
      <c r="F71" s="150">
        <f t="shared" si="3"/>
        <v>3.4884152627806225E-2</v>
      </c>
    </row>
    <row r="72" spans="1:7" ht="15" customHeight="1" x14ac:dyDescent="0.2">
      <c r="A72" s="141">
        <v>11</v>
      </c>
      <c r="B72" s="149" t="s">
        <v>211</v>
      </c>
      <c r="C72" s="146">
        <v>95656</v>
      </c>
      <c r="D72" s="146">
        <v>216077</v>
      </c>
      <c r="E72" s="146">
        <f t="shared" si="2"/>
        <v>120421</v>
      </c>
      <c r="F72" s="150">
        <f t="shared" si="3"/>
        <v>1.2588964623233252</v>
      </c>
    </row>
    <row r="73" spans="1:7" ht="15" customHeight="1" x14ac:dyDescent="0.2">
      <c r="A73" s="141">
        <v>12</v>
      </c>
      <c r="B73" s="149" t="s">
        <v>212</v>
      </c>
      <c r="C73" s="146">
        <v>9219790</v>
      </c>
      <c r="D73" s="146">
        <v>9571824</v>
      </c>
      <c r="E73" s="146">
        <f t="shared" si="2"/>
        <v>352034</v>
      </c>
      <c r="F73" s="150">
        <f t="shared" si="3"/>
        <v>3.8182431487051222E-2</v>
      </c>
    </row>
    <row r="74" spans="1:7" ht="15" customHeight="1" x14ac:dyDescent="0.2">
      <c r="A74" s="141">
        <v>13</v>
      </c>
      <c r="B74" s="149" t="s">
        <v>213</v>
      </c>
      <c r="C74" s="146">
        <v>308751</v>
      </c>
      <c r="D74" s="146">
        <v>304487</v>
      </c>
      <c r="E74" s="146">
        <f t="shared" si="2"/>
        <v>-4264</v>
      </c>
      <c r="F74" s="150">
        <f t="shared" si="3"/>
        <v>-1.3810481585484743E-2</v>
      </c>
    </row>
    <row r="75" spans="1:7" ht="15" customHeight="1" x14ac:dyDescent="0.2">
      <c r="A75" s="141">
        <v>14</v>
      </c>
      <c r="B75" s="149" t="s">
        <v>214</v>
      </c>
      <c r="C75" s="146">
        <v>664390</v>
      </c>
      <c r="D75" s="146">
        <v>632087</v>
      </c>
      <c r="E75" s="146">
        <f t="shared" si="2"/>
        <v>-32303</v>
      </c>
      <c r="F75" s="150">
        <f t="shared" si="3"/>
        <v>-4.8620539141167082E-2</v>
      </c>
    </row>
    <row r="76" spans="1:7" ht="15" customHeight="1" x14ac:dyDescent="0.2">
      <c r="A76" s="141">
        <v>15</v>
      </c>
      <c r="B76" s="149" t="s">
        <v>215</v>
      </c>
      <c r="C76" s="146">
        <v>2055845</v>
      </c>
      <c r="D76" s="146">
        <v>1702716</v>
      </c>
      <c r="E76" s="146">
        <f t="shared" si="2"/>
        <v>-353129</v>
      </c>
      <c r="F76" s="150">
        <f t="shared" si="3"/>
        <v>-0.17176829965294077</v>
      </c>
    </row>
    <row r="77" spans="1:7" ht="15" customHeight="1" x14ac:dyDescent="0.2">
      <c r="A77" s="141">
        <v>16</v>
      </c>
      <c r="B77" s="149" t="s">
        <v>216</v>
      </c>
      <c r="C77" s="146">
        <v>17217144</v>
      </c>
      <c r="D77" s="146">
        <v>17740218</v>
      </c>
      <c r="E77" s="146">
        <f t="shared" si="2"/>
        <v>523074</v>
      </c>
      <c r="F77" s="150">
        <f t="shared" si="3"/>
        <v>3.0380996987653702E-2</v>
      </c>
    </row>
    <row r="78" spans="1:7" ht="15.75" customHeight="1" x14ac:dyDescent="0.25">
      <c r="A78" s="141"/>
      <c r="B78" s="151" t="s">
        <v>217</v>
      </c>
      <c r="C78" s="147">
        <f>SUM(C62:C77)</f>
        <v>48471096</v>
      </c>
      <c r="D78" s="147">
        <f>SUM(D62:D77)</f>
        <v>52578385</v>
      </c>
      <c r="E78" s="147">
        <f t="shared" si="2"/>
        <v>4107289</v>
      </c>
      <c r="F78" s="148">
        <f t="shared" si="3"/>
        <v>8.473687081472224E-2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460314702</v>
      </c>
      <c r="D83" s="147">
        <f>+D81+D78+D59+D50+D47+D44+D41+D35+D30+D24+D18</f>
        <v>495471968</v>
      </c>
      <c r="E83" s="147">
        <f>+D83-C83</f>
        <v>35157266</v>
      </c>
      <c r="F83" s="148">
        <f>IF(C83=0,0,E83/C83)</f>
        <v>7.6376587250519754E-2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40304335</v>
      </c>
      <c r="D91" s="146">
        <v>46845167</v>
      </c>
      <c r="E91" s="146">
        <f t="shared" ref="E91:E109" si="4">D91-C91</f>
        <v>6540832</v>
      </c>
      <c r="F91" s="150">
        <f t="shared" ref="F91:F109" si="5">IF(C91=0,0,E91/C91)</f>
        <v>0.16228606674691445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1135450</v>
      </c>
      <c r="D92" s="146">
        <v>1099748</v>
      </c>
      <c r="E92" s="146">
        <f t="shared" si="4"/>
        <v>-35702</v>
      </c>
      <c r="F92" s="150">
        <f t="shared" si="5"/>
        <v>-3.1443040204324278E-2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5543039</v>
      </c>
      <c r="D93" s="146">
        <v>5580340</v>
      </c>
      <c r="E93" s="146">
        <f t="shared" si="4"/>
        <v>37301</v>
      </c>
      <c r="F93" s="150">
        <f t="shared" si="5"/>
        <v>6.7293410708457943E-3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2620891</v>
      </c>
      <c r="D94" s="146">
        <v>2710264</v>
      </c>
      <c r="E94" s="146">
        <f t="shared" si="4"/>
        <v>89373</v>
      </c>
      <c r="F94" s="150">
        <f t="shared" si="5"/>
        <v>3.4100235377968788E-2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20482758</v>
      </c>
      <c r="D95" s="146">
        <v>19705104</v>
      </c>
      <c r="E95" s="146">
        <f t="shared" si="4"/>
        <v>-777654</v>
      </c>
      <c r="F95" s="150">
        <f t="shared" si="5"/>
        <v>-3.7966273877765876E-2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1896629</v>
      </c>
      <c r="D96" s="146">
        <v>2245393</v>
      </c>
      <c r="E96" s="146">
        <f t="shared" si="4"/>
        <v>348764</v>
      </c>
      <c r="F96" s="150">
        <f t="shared" si="5"/>
        <v>0.18388625292558533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4753357</v>
      </c>
      <c r="D97" s="146">
        <v>5014584</v>
      </c>
      <c r="E97" s="146">
        <f t="shared" si="4"/>
        <v>261227</v>
      </c>
      <c r="F97" s="150">
        <f t="shared" si="5"/>
        <v>5.4956318239930219E-2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210132</v>
      </c>
      <c r="D98" s="146">
        <v>238047</v>
      </c>
      <c r="E98" s="146">
        <f t="shared" si="4"/>
        <v>27915</v>
      </c>
      <c r="F98" s="150">
        <f t="shared" si="5"/>
        <v>0.13284506881388841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1334268</v>
      </c>
      <c r="D99" s="146">
        <v>1553035</v>
      </c>
      <c r="E99" s="146">
        <f t="shared" si="4"/>
        <v>218767</v>
      </c>
      <c r="F99" s="150">
        <f t="shared" si="5"/>
        <v>0.16396031382001217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6879656</v>
      </c>
      <c r="D100" s="146">
        <v>7665837</v>
      </c>
      <c r="E100" s="146">
        <f t="shared" si="4"/>
        <v>786181</v>
      </c>
      <c r="F100" s="150">
        <f t="shared" si="5"/>
        <v>0.11427620799644633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6739059</v>
      </c>
      <c r="D101" s="146">
        <v>6740127</v>
      </c>
      <c r="E101" s="146">
        <f t="shared" si="4"/>
        <v>1068</v>
      </c>
      <c r="F101" s="150">
        <f t="shared" si="5"/>
        <v>1.5847909923329058E-4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0</v>
      </c>
      <c r="D102" s="146">
        <v>0</v>
      </c>
      <c r="E102" s="146">
        <f t="shared" si="4"/>
        <v>0</v>
      </c>
      <c r="F102" s="150">
        <f t="shared" si="5"/>
        <v>0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9351485</v>
      </c>
      <c r="D103" s="146">
        <v>9626613</v>
      </c>
      <c r="E103" s="146">
        <f t="shared" si="4"/>
        <v>275128</v>
      </c>
      <c r="F103" s="150">
        <f t="shared" si="5"/>
        <v>2.9420781833045768E-2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5632010</v>
      </c>
      <c r="D104" s="146">
        <v>6727095</v>
      </c>
      <c r="E104" s="146">
        <f t="shared" si="4"/>
        <v>1095085</v>
      </c>
      <c r="F104" s="150">
        <f t="shared" si="5"/>
        <v>0.19443946299811257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2148942</v>
      </c>
      <c r="D105" s="146">
        <v>2045789</v>
      </c>
      <c r="E105" s="146">
        <f t="shared" si="4"/>
        <v>-103153</v>
      </c>
      <c r="F105" s="150">
        <f t="shared" si="5"/>
        <v>-4.8001760866510125E-2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2727066</v>
      </c>
      <c r="D106" s="146">
        <v>2291251</v>
      </c>
      <c r="E106" s="146">
        <f t="shared" si="4"/>
        <v>-435815</v>
      </c>
      <c r="F106" s="150">
        <f t="shared" si="5"/>
        <v>-0.15981094700311618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12227252</v>
      </c>
      <c r="D107" s="146">
        <v>12048321</v>
      </c>
      <c r="E107" s="146">
        <f t="shared" si="4"/>
        <v>-178931</v>
      </c>
      <c r="F107" s="150">
        <f t="shared" si="5"/>
        <v>-1.4633786888501194E-2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140721</v>
      </c>
      <c r="D108" s="146">
        <v>185369</v>
      </c>
      <c r="E108" s="146">
        <f t="shared" si="4"/>
        <v>44648</v>
      </c>
      <c r="F108" s="150">
        <f t="shared" si="5"/>
        <v>0.31728029220940729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124127050</v>
      </c>
      <c r="D109" s="147">
        <f>SUM(D91:D108)</f>
        <v>132322084</v>
      </c>
      <c r="E109" s="147">
        <f t="shared" si="4"/>
        <v>8195034</v>
      </c>
      <c r="F109" s="148">
        <f t="shared" si="5"/>
        <v>6.602133862038935E-2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0</v>
      </c>
      <c r="D112" s="146">
        <v>0</v>
      </c>
      <c r="E112" s="146">
        <f t="shared" ref="E112:E118" si="6">D112-C112</f>
        <v>0</v>
      </c>
      <c r="F112" s="150">
        <f t="shared" ref="F112:F118" si="7">IF(C112=0,0,E112/C112)</f>
        <v>0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11328813</v>
      </c>
      <c r="D113" s="146">
        <v>13127183</v>
      </c>
      <c r="E113" s="146">
        <f t="shared" si="6"/>
        <v>1798370</v>
      </c>
      <c r="F113" s="150">
        <f t="shared" si="7"/>
        <v>0.15874302100317128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7521020</v>
      </c>
      <c r="D114" s="146">
        <v>7555521</v>
      </c>
      <c r="E114" s="146">
        <f t="shared" si="6"/>
        <v>34501</v>
      </c>
      <c r="F114" s="150">
        <f t="shared" si="7"/>
        <v>4.5872767257632606E-3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3762369</v>
      </c>
      <c r="D115" s="146">
        <v>2301068</v>
      </c>
      <c r="E115" s="146">
        <f t="shared" si="6"/>
        <v>-1461301</v>
      </c>
      <c r="F115" s="150">
        <f t="shared" si="7"/>
        <v>-0.38839917084156284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4049389</v>
      </c>
      <c r="D116" s="146">
        <v>4176394</v>
      </c>
      <c r="E116" s="146">
        <f t="shared" si="6"/>
        <v>127005</v>
      </c>
      <c r="F116" s="150">
        <f t="shared" si="7"/>
        <v>3.1363990962587192E-2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354105</v>
      </c>
      <c r="D117" s="146">
        <v>511860</v>
      </c>
      <c r="E117" s="146">
        <f t="shared" si="6"/>
        <v>157755</v>
      </c>
      <c r="F117" s="150">
        <f t="shared" si="7"/>
        <v>0.44550345236582367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27015696</v>
      </c>
      <c r="D118" s="147">
        <f>SUM(D112:D117)</f>
        <v>27672026</v>
      </c>
      <c r="E118" s="147">
        <f t="shared" si="6"/>
        <v>656330</v>
      </c>
      <c r="F118" s="148">
        <f t="shared" si="7"/>
        <v>2.429439537667288E-2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40450846</v>
      </c>
      <c r="D121" s="146">
        <v>44206484</v>
      </c>
      <c r="E121" s="146">
        <f t="shared" ref="E121:E155" si="8">D121-C121</f>
        <v>3755638</v>
      </c>
      <c r="F121" s="150">
        <f t="shared" ref="F121:F155" si="9">IF(C121=0,0,E121/C121)</f>
        <v>9.2844485873051955E-2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3914324</v>
      </c>
      <c r="D122" s="146">
        <v>4221166</v>
      </c>
      <c r="E122" s="146">
        <f t="shared" si="8"/>
        <v>306842</v>
      </c>
      <c r="F122" s="150">
        <f t="shared" si="9"/>
        <v>7.8389525241139971E-2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2911150</v>
      </c>
      <c r="D123" s="146">
        <v>2812014</v>
      </c>
      <c r="E123" s="146">
        <f t="shared" si="8"/>
        <v>-99136</v>
      </c>
      <c r="F123" s="150">
        <f t="shared" si="9"/>
        <v>-3.4053896226577125E-2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5008238</v>
      </c>
      <c r="D124" s="146">
        <v>5265671</v>
      </c>
      <c r="E124" s="146">
        <f t="shared" si="8"/>
        <v>257433</v>
      </c>
      <c r="F124" s="150">
        <f t="shared" si="9"/>
        <v>5.14019102127335E-2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9763083</v>
      </c>
      <c r="D125" s="146">
        <v>9615624</v>
      </c>
      <c r="E125" s="146">
        <f t="shared" si="8"/>
        <v>-147459</v>
      </c>
      <c r="F125" s="150">
        <f t="shared" si="9"/>
        <v>-1.5103733113812513E-2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2514561</v>
      </c>
      <c r="D126" s="146">
        <v>2120683</v>
      </c>
      <c r="E126" s="146">
        <f t="shared" si="8"/>
        <v>-393878</v>
      </c>
      <c r="F126" s="150">
        <f t="shared" si="9"/>
        <v>-0.15663887255071562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4232625</v>
      </c>
      <c r="D127" s="146">
        <v>4310049</v>
      </c>
      <c r="E127" s="146">
        <f t="shared" si="8"/>
        <v>77424</v>
      </c>
      <c r="F127" s="150">
        <f t="shared" si="9"/>
        <v>1.8292194560113405E-2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2457569</v>
      </c>
      <c r="D128" s="146">
        <v>2659783</v>
      </c>
      <c r="E128" s="146">
        <f t="shared" si="8"/>
        <v>202214</v>
      </c>
      <c r="F128" s="150">
        <f t="shared" si="9"/>
        <v>8.2282125140738668E-2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2559422</v>
      </c>
      <c r="D129" s="146">
        <v>2494825</v>
      </c>
      <c r="E129" s="146">
        <f t="shared" si="8"/>
        <v>-64597</v>
      </c>
      <c r="F129" s="150">
        <f t="shared" si="9"/>
        <v>-2.5238901595750915E-2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28136424</v>
      </c>
      <c r="D130" s="146">
        <v>29815094</v>
      </c>
      <c r="E130" s="146">
        <f t="shared" si="8"/>
        <v>1678670</v>
      </c>
      <c r="F130" s="150">
        <f t="shared" si="9"/>
        <v>5.9661810612464471E-2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18328634</v>
      </c>
      <c r="D132" s="146">
        <v>16649748</v>
      </c>
      <c r="E132" s="146">
        <f t="shared" si="8"/>
        <v>-1678886</v>
      </c>
      <c r="F132" s="150">
        <f t="shared" si="9"/>
        <v>-9.1599079342192108E-2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339430</v>
      </c>
      <c r="D133" s="146">
        <v>265550</v>
      </c>
      <c r="E133" s="146">
        <f t="shared" si="8"/>
        <v>-73880</v>
      </c>
      <c r="F133" s="150">
        <f t="shared" si="9"/>
        <v>-0.21765901658663053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167777</v>
      </c>
      <c r="D134" s="146">
        <v>151650</v>
      </c>
      <c r="E134" s="146">
        <f t="shared" si="8"/>
        <v>-16127</v>
      </c>
      <c r="F134" s="150">
        <f t="shared" si="9"/>
        <v>-9.6121637649975861E-2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3078243</v>
      </c>
      <c r="D138" s="146">
        <v>3451552</v>
      </c>
      <c r="E138" s="146">
        <f t="shared" si="8"/>
        <v>373309</v>
      </c>
      <c r="F138" s="150">
        <f t="shared" si="9"/>
        <v>0.12127340174248752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982122</v>
      </c>
      <c r="D139" s="146">
        <v>991968</v>
      </c>
      <c r="E139" s="146">
        <f t="shared" si="8"/>
        <v>9846</v>
      </c>
      <c r="F139" s="150">
        <f t="shared" si="9"/>
        <v>1.0025231081270963E-2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13413797</v>
      </c>
      <c r="D140" s="146">
        <v>14908187</v>
      </c>
      <c r="E140" s="146">
        <f t="shared" si="8"/>
        <v>1494390</v>
      </c>
      <c r="F140" s="150">
        <f t="shared" si="9"/>
        <v>0.11140693421855125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73516</v>
      </c>
      <c r="D141" s="146">
        <v>66784</v>
      </c>
      <c r="E141" s="146">
        <f t="shared" si="8"/>
        <v>-6732</v>
      </c>
      <c r="F141" s="150">
        <f t="shared" si="9"/>
        <v>-9.157190271505522E-2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3637663</v>
      </c>
      <c r="D142" s="146">
        <v>3868528</v>
      </c>
      <c r="E142" s="146">
        <f t="shared" si="8"/>
        <v>230865</v>
      </c>
      <c r="F142" s="150">
        <f t="shared" si="9"/>
        <v>6.3465197298375353E-2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3932948</v>
      </c>
      <c r="D143" s="146">
        <v>4249545</v>
      </c>
      <c r="E143" s="146">
        <f t="shared" si="8"/>
        <v>316597</v>
      </c>
      <c r="F143" s="150">
        <f t="shared" si="9"/>
        <v>8.0498648850684015E-2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25809465</v>
      </c>
      <c r="D144" s="146">
        <v>26228686</v>
      </c>
      <c r="E144" s="146">
        <f t="shared" si="8"/>
        <v>419221</v>
      </c>
      <c r="F144" s="150">
        <f t="shared" si="9"/>
        <v>1.6242917084875644E-2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2598130</v>
      </c>
      <c r="D145" s="146">
        <v>2126746</v>
      </c>
      <c r="E145" s="146">
        <f t="shared" si="8"/>
        <v>-471384</v>
      </c>
      <c r="F145" s="150">
        <f t="shared" si="9"/>
        <v>-0.18143202996000971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1101464</v>
      </c>
      <c r="D146" s="146">
        <v>1211296</v>
      </c>
      <c r="E146" s="146">
        <f t="shared" si="8"/>
        <v>109832</v>
      </c>
      <c r="F146" s="150">
        <f t="shared" si="9"/>
        <v>9.9714561710596075E-2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4996998</v>
      </c>
      <c r="D148" s="146">
        <v>5444516</v>
      </c>
      <c r="E148" s="146">
        <f t="shared" si="8"/>
        <v>447518</v>
      </c>
      <c r="F148" s="150">
        <f t="shared" si="9"/>
        <v>8.955737024509515E-2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1475315</v>
      </c>
      <c r="D149" s="146">
        <v>1416685</v>
      </c>
      <c r="E149" s="146">
        <f t="shared" si="8"/>
        <v>-58630</v>
      </c>
      <c r="F149" s="150">
        <f t="shared" si="9"/>
        <v>-3.9740665552780254E-2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666281</v>
      </c>
      <c r="D151" s="146">
        <v>656768</v>
      </c>
      <c r="E151" s="146">
        <f t="shared" si="8"/>
        <v>-9513</v>
      </c>
      <c r="F151" s="150">
        <f t="shared" si="9"/>
        <v>-1.4277759683977181E-2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8554357</v>
      </c>
      <c r="D152" s="146">
        <v>8555682</v>
      </c>
      <c r="E152" s="146">
        <f t="shared" si="8"/>
        <v>1325</v>
      </c>
      <c r="F152" s="150">
        <f t="shared" si="9"/>
        <v>1.5489182880723822E-4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1798239</v>
      </c>
      <c r="D153" s="146">
        <v>1900889</v>
      </c>
      <c r="E153" s="146">
        <f t="shared" si="8"/>
        <v>102650</v>
      </c>
      <c r="F153" s="150">
        <f t="shared" si="9"/>
        <v>5.7083624590502154E-2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10962829</v>
      </c>
      <c r="D154" s="146">
        <v>11152333</v>
      </c>
      <c r="E154" s="146">
        <f t="shared" si="8"/>
        <v>189504</v>
      </c>
      <c r="F154" s="150">
        <f t="shared" si="9"/>
        <v>1.7286049066349569E-2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203865450</v>
      </c>
      <c r="D155" s="147">
        <f>SUM(D121:D154)</f>
        <v>210818506</v>
      </c>
      <c r="E155" s="147">
        <f t="shared" si="8"/>
        <v>6953056</v>
      </c>
      <c r="F155" s="148">
        <f t="shared" si="9"/>
        <v>3.4106102824191152E-2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49449328</v>
      </c>
      <c r="D158" s="146">
        <v>55429799</v>
      </c>
      <c r="E158" s="146">
        <f t="shared" ref="E158:E171" si="10">D158-C158</f>
        <v>5980471</v>
      </c>
      <c r="F158" s="150">
        <f t="shared" ref="F158:F171" si="11">IF(C158=0,0,E158/C158)</f>
        <v>0.12094140086190858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6595514</v>
      </c>
      <c r="D159" s="146">
        <v>6514626</v>
      </c>
      <c r="E159" s="146">
        <f t="shared" si="10"/>
        <v>-80888</v>
      </c>
      <c r="F159" s="150">
        <f t="shared" si="11"/>
        <v>-1.22640934429068E-2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5000173</v>
      </c>
      <c r="D161" s="146">
        <v>4708667</v>
      </c>
      <c r="E161" s="146">
        <f t="shared" si="10"/>
        <v>-291506</v>
      </c>
      <c r="F161" s="150">
        <f t="shared" si="11"/>
        <v>-5.8299182848273449E-2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3013534</v>
      </c>
      <c r="D162" s="146">
        <v>3108965</v>
      </c>
      <c r="E162" s="146">
        <f t="shared" si="10"/>
        <v>95431</v>
      </c>
      <c r="F162" s="150">
        <f t="shared" si="11"/>
        <v>3.1667470816655795E-2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5002548</v>
      </c>
      <c r="D163" s="146">
        <v>5053829</v>
      </c>
      <c r="E163" s="146">
        <f t="shared" si="10"/>
        <v>51281</v>
      </c>
      <c r="F163" s="150">
        <f t="shared" si="11"/>
        <v>1.0250976102578127E-2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4677882</v>
      </c>
      <c r="D165" s="146">
        <v>5350508</v>
      </c>
      <c r="E165" s="146">
        <f t="shared" si="10"/>
        <v>672626</v>
      </c>
      <c r="F165" s="150">
        <f t="shared" si="11"/>
        <v>0.14378857782218535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3267275</v>
      </c>
      <c r="D166" s="146">
        <v>3457111</v>
      </c>
      <c r="E166" s="146">
        <f t="shared" si="10"/>
        <v>189836</v>
      </c>
      <c r="F166" s="150">
        <f t="shared" si="11"/>
        <v>5.8102241164272983E-2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3818729</v>
      </c>
      <c r="D167" s="146">
        <v>6121279</v>
      </c>
      <c r="E167" s="146">
        <f t="shared" si="10"/>
        <v>2302550</v>
      </c>
      <c r="F167" s="150">
        <f t="shared" si="11"/>
        <v>0.60296239926949513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6292893</v>
      </c>
      <c r="D169" s="146">
        <v>7134176</v>
      </c>
      <c r="E169" s="146">
        <f t="shared" si="10"/>
        <v>841283</v>
      </c>
      <c r="F169" s="150">
        <f t="shared" si="11"/>
        <v>0.13368779669382588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87117876</v>
      </c>
      <c r="D171" s="147">
        <f>SUM(D158:D170)</f>
        <v>96878960</v>
      </c>
      <c r="E171" s="147">
        <f t="shared" si="10"/>
        <v>9761084</v>
      </c>
      <c r="F171" s="148">
        <f t="shared" si="11"/>
        <v>0.11204455902942353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18188630</v>
      </c>
      <c r="D174" s="146">
        <v>27780392</v>
      </c>
      <c r="E174" s="146">
        <f>D174-C174</f>
        <v>9591762</v>
      </c>
      <c r="F174" s="150">
        <f>IF(C174=0,0,E174/C174)</f>
        <v>0.52734933857030464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460314702</v>
      </c>
      <c r="D176" s="147">
        <f>+D174+D171+D155+D118+D109</f>
        <v>495471968</v>
      </c>
      <c r="E176" s="147">
        <f>D176-C176</f>
        <v>35157266</v>
      </c>
      <c r="F176" s="148">
        <f>IF(C176=0,0,E176/C176)</f>
        <v>7.6376587250519754E-2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FILING&amp;RDANBURY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457712742</v>
      </c>
      <c r="D11" s="164">
        <v>471020724</v>
      </c>
      <c r="E11" s="51">
        <v>497720490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9727398</v>
      </c>
      <c r="D12" s="49">
        <v>10083592</v>
      </c>
      <c r="E12" s="49">
        <v>13930894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467440140</v>
      </c>
      <c r="D13" s="51">
        <f>+D11+D12</f>
        <v>481104316</v>
      </c>
      <c r="E13" s="51">
        <f>+E11+E12</f>
        <v>511651384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442588744</v>
      </c>
      <c r="D14" s="49">
        <v>460314702</v>
      </c>
      <c r="E14" s="49">
        <v>495471968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24851396</v>
      </c>
      <c r="D15" s="51">
        <f>+D13-D14</f>
        <v>20789614</v>
      </c>
      <c r="E15" s="51">
        <f>+E13-E14</f>
        <v>16179416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13663243</v>
      </c>
      <c r="D16" s="49">
        <v>23790084</v>
      </c>
      <c r="E16" s="49">
        <v>7506504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38514639</v>
      </c>
      <c r="D17" s="51">
        <f>D15+D16</f>
        <v>44579698</v>
      </c>
      <c r="E17" s="51">
        <f>E15+E16</f>
        <v>23685920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5.1655001561275657E-2</v>
      </c>
      <c r="D20" s="169">
        <f>IF(+D27=0,0,+D24/+D27)</f>
        <v>4.1176162777800666E-2</v>
      </c>
      <c r="E20" s="169">
        <f>IF(+E27=0,0,+E24/+E27)</f>
        <v>3.116473114244582E-2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2.8399806533890036E-2</v>
      </c>
      <c r="D21" s="169">
        <f>IF(D27=0,0,+D26/D27)</f>
        <v>4.711893021590257E-2</v>
      </c>
      <c r="E21" s="169">
        <f>IF(E27=0,0,+E26/E27)</f>
        <v>1.4459000187626929E-2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8.0054808095165686E-2</v>
      </c>
      <c r="D22" s="169">
        <f>IF(D27=0,0,+D28/D27)</f>
        <v>8.8295092993703236E-2</v>
      </c>
      <c r="E22" s="169">
        <f>IF(E27=0,0,+E28/E27)</f>
        <v>4.5623731330072748E-2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24851396</v>
      </c>
      <c r="D24" s="51">
        <f>+D15</f>
        <v>20789614</v>
      </c>
      <c r="E24" s="51">
        <f>+E15</f>
        <v>16179416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467440140</v>
      </c>
      <c r="D25" s="51">
        <f>+D13</f>
        <v>481104316</v>
      </c>
      <c r="E25" s="51">
        <f>+E13</f>
        <v>511651384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13663243</v>
      </c>
      <c r="D26" s="51">
        <f>+D16</f>
        <v>23790084</v>
      </c>
      <c r="E26" s="51">
        <f>+E16</f>
        <v>7506504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481103383</v>
      </c>
      <c r="D27" s="51">
        <f>+D25+D26</f>
        <v>504894400</v>
      </c>
      <c r="E27" s="51">
        <f>+E25+E26</f>
        <v>519157888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38514639</v>
      </c>
      <c r="D28" s="51">
        <f>+D17</f>
        <v>44579698</v>
      </c>
      <c r="E28" s="51">
        <f>+E17</f>
        <v>23685920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325008268</v>
      </c>
      <c r="D31" s="51">
        <v>368034236</v>
      </c>
      <c r="E31" s="51">
        <v>332255763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380666988</v>
      </c>
      <c r="D32" s="51">
        <v>424005127</v>
      </c>
      <c r="E32" s="51">
        <v>388241578</v>
      </c>
      <c r="F32" s="13"/>
    </row>
    <row r="33" spans="1:6" ht="24" customHeight="1" x14ac:dyDescent="0.2">
      <c r="A33" s="25">
        <v>3</v>
      </c>
      <c r="B33" s="48" t="s">
        <v>319</v>
      </c>
      <c r="C33" s="51">
        <v>4264802</v>
      </c>
      <c r="D33" s="51">
        <f>+D32-C32</f>
        <v>43338139</v>
      </c>
      <c r="E33" s="51">
        <f>+E32-D32</f>
        <v>-35763549</v>
      </c>
      <c r="F33" s="5"/>
    </row>
    <row r="34" spans="1:6" ht="24" customHeight="1" x14ac:dyDescent="0.2">
      <c r="A34" s="25">
        <v>4</v>
      </c>
      <c r="B34" s="48" t="s">
        <v>320</v>
      </c>
      <c r="C34" s="171">
        <v>1.0113000000000001</v>
      </c>
      <c r="D34" s="171">
        <f>IF(C32=0,0,+D33/C32)</f>
        <v>0.11384790477287197</v>
      </c>
      <c r="E34" s="171">
        <f>IF(D32=0,0,+E33/D32)</f>
        <v>-8.434697300252221E-2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0.43834225388283532</v>
      </c>
      <c r="D38" s="172">
        <f>IF((D40+D41)=0,0,+D39/(D40+D41))</f>
        <v>0.4382568620528064</v>
      </c>
      <c r="E38" s="172">
        <f>IF((E40+E41)=0,0,+E39/(E40+E41))</f>
        <v>0.44043692926356071</v>
      </c>
      <c r="F38" s="5"/>
    </row>
    <row r="39" spans="1:6" ht="24" customHeight="1" x14ac:dyDescent="0.2">
      <c r="A39" s="21">
        <v>2</v>
      </c>
      <c r="B39" s="48" t="s">
        <v>324</v>
      </c>
      <c r="C39" s="51">
        <v>442588744</v>
      </c>
      <c r="D39" s="51">
        <v>460314702</v>
      </c>
      <c r="E39" s="23">
        <v>495471968</v>
      </c>
      <c r="F39" s="5"/>
    </row>
    <row r="40" spans="1:6" ht="24" customHeight="1" x14ac:dyDescent="0.2">
      <c r="A40" s="21">
        <v>3</v>
      </c>
      <c r="B40" s="48" t="s">
        <v>325</v>
      </c>
      <c r="C40" s="51">
        <v>1002343396</v>
      </c>
      <c r="D40" s="51">
        <v>1042814916</v>
      </c>
      <c r="E40" s="23">
        <v>1113153089</v>
      </c>
      <c r="F40" s="5"/>
    </row>
    <row r="41" spans="1:6" ht="24" customHeight="1" x14ac:dyDescent="0.2">
      <c r="A41" s="21">
        <v>4</v>
      </c>
      <c r="B41" s="48" t="s">
        <v>326</v>
      </c>
      <c r="C41" s="51">
        <v>7344217</v>
      </c>
      <c r="D41" s="51">
        <v>7515933</v>
      </c>
      <c r="E41" s="23">
        <v>11802461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1.3649496435473021</v>
      </c>
      <c r="D43" s="173">
        <f>IF(D38=0,0,IF((D46-D47)=0,0,((+D44-D45)/(D46-D47)/D38)))</f>
        <v>1.3717959473376626</v>
      </c>
      <c r="E43" s="173">
        <f>IF(E38=0,0,IF((E46-E47)=0,0,((+E44-E45)/(E46-E47)/E38)))</f>
        <v>1.3715529871159813</v>
      </c>
      <c r="F43" s="5"/>
    </row>
    <row r="44" spans="1:6" ht="24" customHeight="1" x14ac:dyDescent="0.2">
      <c r="A44" s="21">
        <v>6</v>
      </c>
      <c r="B44" s="48" t="s">
        <v>328</v>
      </c>
      <c r="C44" s="51">
        <v>268618141</v>
      </c>
      <c r="D44" s="51">
        <v>278426338</v>
      </c>
      <c r="E44" s="23">
        <v>284025912</v>
      </c>
      <c r="F44" s="5"/>
    </row>
    <row r="45" spans="1:6" ht="24" customHeight="1" x14ac:dyDescent="0.2">
      <c r="A45" s="21">
        <v>7</v>
      </c>
      <c r="B45" s="48" t="s">
        <v>329</v>
      </c>
      <c r="C45" s="51">
        <v>2795211</v>
      </c>
      <c r="D45" s="51">
        <v>8030434</v>
      </c>
      <c r="E45" s="23">
        <v>3211210</v>
      </c>
      <c r="F45" s="5"/>
    </row>
    <row r="46" spans="1:6" ht="24" customHeight="1" x14ac:dyDescent="0.2">
      <c r="A46" s="21">
        <v>8</v>
      </c>
      <c r="B46" s="48" t="s">
        <v>330</v>
      </c>
      <c r="C46" s="51">
        <v>471850921</v>
      </c>
      <c r="D46" s="51">
        <v>476971370</v>
      </c>
      <c r="E46" s="23">
        <v>493210518</v>
      </c>
      <c r="F46" s="5"/>
    </row>
    <row r="47" spans="1:6" ht="24" customHeight="1" x14ac:dyDescent="0.2">
      <c r="A47" s="21">
        <v>9</v>
      </c>
      <c r="B47" s="48" t="s">
        <v>331</v>
      </c>
      <c r="C47" s="51">
        <v>27565078</v>
      </c>
      <c r="D47" s="51">
        <v>27210293</v>
      </c>
      <c r="E47" s="174">
        <v>28349076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0.78982817653089576</v>
      </c>
      <c r="D49" s="175">
        <f>IF(D38=0,0,IF(D51=0,0,(D50/D51)/D38))</f>
        <v>0.78861315561695489</v>
      </c>
      <c r="E49" s="175">
        <f>IF(E38=0,0,IF(E51=0,0,(E50/E51)/E38))</f>
        <v>0.76935895962593148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148032576</v>
      </c>
      <c r="D50" s="176">
        <v>156075045</v>
      </c>
      <c r="E50" s="176">
        <v>166023806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427574048</v>
      </c>
      <c r="D51" s="176">
        <v>451586267</v>
      </c>
      <c r="E51" s="176">
        <v>489956613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0.64247370069122467</v>
      </c>
      <c r="D53" s="175">
        <f>IF(D38=0,0,IF(D55=0,0,(D54/D55)/D38))</f>
        <v>0.63890522957599671</v>
      </c>
      <c r="E53" s="175">
        <f>IF(E38=0,0,IF(E55=0,0,(E54/E55)/E38))</f>
        <v>0.55210107073335823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22952045</v>
      </c>
      <c r="D54" s="176">
        <v>27587469</v>
      </c>
      <c r="E54" s="176">
        <v>30627225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81499078</v>
      </c>
      <c r="D55" s="176">
        <v>98525056</v>
      </c>
      <c r="E55" s="176">
        <v>125952077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12695349.888613898</v>
      </c>
      <c r="D57" s="53">
        <f>+D60*D38</f>
        <v>10279288.842293713</v>
      </c>
      <c r="E57" s="53">
        <f>+E60*E38</f>
        <v>13011699.593650028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12266705</v>
      </c>
      <c r="D58" s="51">
        <v>12767832</v>
      </c>
      <c r="E58" s="52">
        <v>11359623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16695481</v>
      </c>
      <c r="D59" s="51">
        <v>10687109</v>
      </c>
      <c r="E59" s="52">
        <v>18183085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28962186</v>
      </c>
      <c r="D60" s="51">
        <v>23454941</v>
      </c>
      <c r="E60" s="52">
        <v>29542708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2.8684303567860048E-2</v>
      </c>
      <c r="D62" s="178">
        <f>IF(D63=0,0,+D57/D63)</f>
        <v>2.2331002676281481E-2</v>
      </c>
      <c r="E62" s="178">
        <f>IF(E63=0,0,+E57/E63)</f>
        <v>2.6261222498968961E-2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442588744</v>
      </c>
      <c r="D63" s="176">
        <v>460314702</v>
      </c>
      <c r="E63" s="176">
        <v>495471968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4.8731741739565635</v>
      </c>
      <c r="D67" s="179">
        <f>IF(D69=0,0,D68/D69)</f>
        <v>3.2111350898003712</v>
      </c>
      <c r="E67" s="179">
        <f>IF(E69=0,0,E68/E69)</f>
        <v>1.9628431874494192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241828286</v>
      </c>
      <c r="D68" s="180">
        <v>269665576</v>
      </c>
      <c r="E68" s="180">
        <v>116037544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49624388</v>
      </c>
      <c r="D69" s="180">
        <v>83978272</v>
      </c>
      <c r="E69" s="180">
        <v>59117073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159.76250604582353</v>
      </c>
      <c r="D71" s="181">
        <f>IF((D77/365)=0,0,+D74/(D77/365))</f>
        <v>167.56431260940207</v>
      </c>
      <c r="E71" s="181">
        <f>IF((E77/365)=0,0,+E74/(E77/365))</f>
        <v>28.541209795550998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38643022</v>
      </c>
      <c r="D72" s="182">
        <v>26334940</v>
      </c>
      <c r="E72" s="182">
        <v>36603282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144958291</v>
      </c>
      <c r="D73" s="184">
        <v>173186305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183601313</v>
      </c>
      <c r="D74" s="180">
        <f>+D72+D73</f>
        <v>199521245</v>
      </c>
      <c r="E74" s="180">
        <f>+E72+E73</f>
        <v>36603282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442588744</v>
      </c>
      <c r="D75" s="180">
        <f>+D14</f>
        <v>460314702</v>
      </c>
      <c r="E75" s="180">
        <f>+E14</f>
        <v>495471968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23125624</v>
      </c>
      <c r="D76" s="180">
        <v>25703935</v>
      </c>
      <c r="E76" s="180">
        <v>27369949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419463120</v>
      </c>
      <c r="D77" s="180">
        <f>+D75-D76</f>
        <v>434610767</v>
      </c>
      <c r="E77" s="180">
        <f>+E75-E76</f>
        <v>468102019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26.30836631810438</v>
      </c>
      <c r="D79" s="179">
        <f>IF((D84/365)=0,0,+D83/(D84/365))</f>
        <v>31.267466704925706</v>
      </c>
      <c r="E79" s="179">
        <f>IF((E84/365)=0,0,+E83/(E84/365))</f>
        <v>30.951474521372429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41637724</v>
      </c>
      <c r="D80" s="189">
        <v>51429630</v>
      </c>
      <c r="E80" s="189">
        <v>53313528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8646835</v>
      </c>
      <c r="D82" s="190">
        <v>11079973</v>
      </c>
      <c r="E82" s="190">
        <v>11107547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32990889</v>
      </c>
      <c r="D83" s="191">
        <f>+D80+D81-D82</f>
        <v>40349657</v>
      </c>
      <c r="E83" s="191">
        <f>+E80+E81-E82</f>
        <v>42205981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457712742</v>
      </c>
      <c r="D84" s="191">
        <f>+D11</f>
        <v>471020724</v>
      </c>
      <c r="E84" s="191">
        <f>+E11</f>
        <v>497720490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43.18115409049549</v>
      </c>
      <c r="D86" s="179">
        <f>IF((D90/365)=0,0,+D87/(D90/365))</f>
        <v>70.527634397055792</v>
      </c>
      <c r="E86" s="179">
        <f>IF((E90/365)=0,0,+E87/(E90/365))</f>
        <v>46.096215716172757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49624388</v>
      </c>
      <c r="D87" s="51">
        <f>+D69</f>
        <v>83978272</v>
      </c>
      <c r="E87" s="51">
        <f>+E69</f>
        <v>59117073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442588744</v>
      </c>
      <c r="D88" s="51">
        <f t="shared" si="0"/>
        <v>460314702</v>
      </c>
      <c r="E88" s="51">
        <f t="shared" si="0"/>
        <v>495471968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23125624</v>
      </c>
      <c r="D89" s="52">
        <f t="shared" si="0"/>
        <v>25703935</v>
      </c>
      <c r="E89" s="52">
        <f t="shared" si="0"/>
        <v>27369949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419463120</v>
      </c>
      <c r="D90" s="51">
        <f>+D88-D89</f>
        <v>434610767</v>
      </c>
      <c r="E90" s="51">
        <f>+E88-E89</f>
        <v>468102019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68.042486367090135</v>
      </c>
      <c r="D94" s="192">
        <f>IF(D96=0,0,(D95/D96)*100)</f>
        <v>70.266786870472885</v>
      </c>
      <c r="E94" s="192">
        <f>IF(E96=0,0,(E95/E96)*100)</f>
        <v>54.291475705630354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380666988</v>
      </c>
      <c r="D95" s="51">
        <f>+D32</f>
        <v>424005127</v>
      </c>
      <c r="E95" s="51">
        <f>+E32</f>
        <v>388241578</v>
      </c>
      <c r="F95" s="28"/>
    </row>
    <row r="96" spans="1:6" ht="24" customHeight="1" x14ac:dyDescent="0.25">
      <c r="A96" s="21">
        <v>3</v>
      </c>
      <c r="B96" s="48" t="s">
        <v>43</v>
      </c>
      <c r="C96" s="51">
        <v>559454847</v>
      </c>
      <c r="D96" s="51">
        <v>603421824</v>
      </c>
      <c r="E96" s="51">
        <v>715105959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37.517037494990547</v>
      </c>
      <c r="D98" s="192">
        <f>IF(D104=0,0,(D101/D104)*100)</f>
        <v>42.534717985915513</v>
      </c>
      <c r="E98" s="192">
        <f>IF(E104=0,0,(E101/E104)*100)</f>
        <v>16.405227549967993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38514639</v>
      </c>
      <c r="D99" s="51">
        <f>+D28</f>
        <v>44579698</v>
      </c>
      <c r="E99" s="51">
        <f>+E28</f>
        <v>23685920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23125624</v>
      </c>
      <c r="D100" s="52">
        <f>+D76</f>
        <v>25703935</v>
      </c>
      <c r="E100" s="52">
        <f>+E76</f>
        <v>27369949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61640263</v>
      </c>
      <c r="D101" s="51">
        <f>+D99+D100</f>
        <v>70283633</v>
      </c>
      <c r="E101" s="51">
        <f>+E99+E100</f>
        <v>51055869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49624388</v>
      </c>
      <c r="D102" s="180">
        <f>+D69</f>
        <v>83978272</v>
      </c>
      <c r="E102" s="180">
        <f>+E69</f>
        <v>59117073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114675000</v>
      </c>
      <c r="D103" s="194">
        <v>81260000</v>
      </c>
      <c r="E103" s="194">
        <v>252100000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164299388</v>
      </c>
      <c r="D104" s="180">
        <f>+D102+D103</f>
        <v>165238272</v>
      </c>
      <c r="E104" s="180">
        <f>+E102+E103</f>
        <v>311217073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23.150672217999013</v>
      </c>
      <c r="D106" s="197">
        <f>IF(D109=0,0,(D107/D109)*100)</f>
        <v>16.082645656247717</v>
      </c>
      <c r="E106" s="197">
        <f>IF(E109=0,0,(E107/E109)*100)</f>
        <v>39.369612822486438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114675000</v>
      </c>
      <c r="D107" s="180">
        <f>+D103</f>
        <v>81260000</v>
      </c>
      <c r="E107" s="180">
        <f>+E103</f>
        <v>252100000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380666988</v>
      </c>
      <c r="D108" s="180">
        <f>+D32</f>
        <v>424005127</v>
      </c>
      <c r="E108" s="180">
        <f>+E32</f>
        <v>388241578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495341988</v>
      </c>
      <c r="D109" s="180">
        <f>+D107+D108</f>
        <v>505265127</v>
      </c>
      <c r="E109" s="180">
        <f>+E107+E108</f>
        <v>640341578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9.34850287328773</v>
      </c>
      <c r="D111" s="197">
        <f>IF((+D113+D115)=0,0,((+D112+D113+D114)/(+D113+D115)))</f>
        <v>10.66523386988516</v>
      </c>
      <c r="E111" s="197">
        <f>IF((+E113+E115)=0,0,((+E112+E113+E114)/(+E113+E115)))</f>
        <v>1.4011525822115229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38514639</v>
      </c>
      <c r="D112" s="180">
        <f>+D17</f>
        <v>44579698</v>
      </c>
      <c r="E112" s="180">
        <f>+E17</f>
        <v>23685920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4667920</v>
      </c>
      <c r="D113" s="180">
        <v>4557278</v>
      </c>
      <c r="E113" s="180">
        <v>4587742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23125624</v>
      </c>
      <c r="D114" s="180">
        <v>25703935</v>
      </c>
      <c r="E114" s="180">
        <v>27369949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2425000</v>
      </c>
      <c r="D115" s="180">
        <v>2460000</v>
      </c>
      <c r="E115" s="180">
        <v>35125000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10.896733554087016</v>
      </c>
      <c r="D119" s="197">
        <f>IF(+D121=0,0,(+D120)/(+D121))</f>
        <v>10.68731223448861</v>
      </c>
      <c r="E119" s="197">
        <f>IF(+E121=0,0,(+E120)/(+E121))</f>
        <v>10.954849897601198</v>
      </c>
    </row>
    <row r="120" spans="1:8" ht="24" customHeight="1" x14ac:dyDescent="0.25">
      <c r="A120" s="17">
        <v>21</v>
      </c>
      <c r="B120" s="48" t="s">
        <v>369</v>
      </c>
      <c r="C120" s="180">
        <v>251993763</v>
      </c>
      <c r="D120" s="180">
        <v>274705979</v>
      </c>
      <c r="E120" s="180">
        <v>299833683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23125624</v>
      </c>
      <c r="D121" s="180">
        <v>25703935</v>
      </c>
      <c r="E121" s="180">
        <v>27369949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91794</v>
      </c>
      <c r="D124" s="198">
        <v>95884</v>
      </c>
      <c r="E124" s="198">
        <v>96663</v>
      </c>
    </row>
    <row r="125" spans="1:8" ht="24" customHeight="1" x14ac:dyDescent="0.2">
      <c r="A125" s="44">
        <v>2</v>
      </c>
      <c r="B125" s="48" t="s">
        <v>373</v>
      </c>
      <c r="C125" s="198">
        <v>20497</v>
      </c>
      <c r="D125" s="198">
        <v>20715</v>
      </c>
      <c r="E125" s="198">
        <v>20763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4.4784114748499784</v>
      </c>
      <c r="D126" s="199">
        <f>IF(D125=0,0,D124/D125)</f>
        <v>4.6287231474776735</v>
      </c>
      <c r="E126" s="199">
        <f>IF(E125=0,0,E124/E125)</f>
        <v>4.6555411067764778</v>
      </c>
    </row>
    <row r="127" spans="1:8" ht="24" customHeight="1" x14ac:dyDescent="0.2">
      <c r="A127" s="44">
        <v>4</v>
      </c>
      <c r="B127" s="48" t="s">
        <v>375</v>
      </c>
      <c r="C127" s="198">
        <v>271</v>
      </c>
      <c r="D127" s="198">
        <v>278</v>
      </c>
      <c r="E127" s="198">
        <v>286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365</v>
      </c>
      <c r="E128" s="198">
        <v>371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371</v>
      </c>
      <c r="D129" s="198">
        <v>371</v>
      </c>
      <c r="E129" s="198">
        <v>371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0.92800000000000005</v>
      </c>
      <c r="D130" s="171">
        <v>0.94489999999999996</v>
      </c>
      <c r="E130" s="171">
        <v>0.92589999999999995</v>
      </c>
    </row>
    <row r="131" spans="1:8" ht="24" customHeight="1" x14ac:dyDescent="0.2">
      <c r="A131" s="44">
        <v>7</v>
      </c>
      <c r="B131" s="48" t="s">
        <v>379</v>
      </c>
      <c r="C131" s="171">
        <v>0.71640000000000004</v>
      </c>
      <c r="D131" s="171">
        <v>0.71970000000000001</v>
      </c>
      <c r="E131" s="171">
        <v>0.71379999999999999</v>
      </c>
    </row>
    <row r="132" spans="1:8" ht="24" customHeight="1" x14ac:dyDescent="0.2">
      <c r="A132" s="44">
        <v>8</v>
      </c>
      <c r="B132" s="48" t="s">
        <v>380</v>
      </c>
      <c r="C132" s="199">
        <v>2448</v>
      </c>
      <c r="D132" s="199">
        <v>2492.8000000000002</v>
      </c>
      <c r="E132" s="199">
        <v>2541.3000000000002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0.4432471394264566</v>
      </c>
      <c r="D135" s="203">
        <f>IF(D149=0,0,D143/D149)</f>
        <v>0.43129520886139683</v>
      </c>
      <c r="E135" s="203">
        <f>IF(E149=0,0,E143/E149)</f>
        <v>0.41760782644695155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0.42657441522166722</v>
      </c>
      <c r="D136" s="203">
        <f>IF(D149=0,0,D144/D149)</f>
        <v>0.43304546192356153</v>
      </c>
      <c r="E136" s="203">
        <f>IF(E149=0,0,E144/E149)</f>
        <v>0.44015204902333072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8.1308539892849252E-2</v>
      </c>
      <c r="D137" s="203">
        <f>IF(D149=0,0,D145/D149)</f>
        <v>9.4479906729680874E-2</v>
      </c>
      <c r="E137" s="203">
        <f>IF(E149=0,0,E145/E149)</f>
        <v>0.11314892645462532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2.0360935265742001E-2</v>
      </c>
      <c r="D138" s="203">
        <f>IF(D149=0,0,D146/D149)</f>
        <v>1.3114308004393754E-2</v>
      </c>
      <c r="E138" s="203">
        <f>IF(E149=0,0,E146/E149)</f>
        <v>2.4298113410706262E-3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2.750063312633428E-2</v>
      </c>
      <c r="D139" s="203">
        <f>IF(D149=0,0,D147/D149)</f>
        <v>2.6093118330501517E-2</v>
      </c>
      <c r="E139" s="203">
        <f>IF(E149=0,0,E147/E149)</f>
        <v>2.5467364983434007E-2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1.0083370669506562E-3</v>
      </c>
      <c r="D140" s="203">
        <f>IF(D149=0,0,D148/D149)</f>
        <v>1.9719961504654966E-3</v>
      </c>
      <c r="E140" s="203">
        <f>IF(E149=0,0,E148/E149)</f>
        <v>1.1940217505878026E-3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444285843</v>
      </c>
      <c r="D143" s="205">
        <f>+D46-D147</f>
        <v>449761077</v>
      </c>
      <c r="E143" s="205">
        <f>+E46-E147</f>
        <v>464861442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427574048</v>
      </c>
      <c r="D144" s="205">
        <f>+D51</f>
        <v>451586267</v>
      </c>
      <c r="E144" s="205">
        <f>+E51</f>
        <v>489956613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81499078</v>
      </c>
      <c r="D145" s="205">
        <f>+D55</f>
        <v>98525056</v>
      </c>
      <c r="E145" s="205">
        <f>+E55</f>
        <v>125952077</v>
      </c>
    </row>
    <row r="146" spans="1:7" ht="20.100000000000001" customHeight="1" x14ac:dyDescent="0.2">
      <c r="A146" s="202">
        <v>11</v>
      </c>
      <c r="B146" s="201" t="s">
        <v>392</v>
      </c>
      <c r="C146" s="204">
        <v>20408649</v>
      </c>
      <c r="D146" s="205">
        <v>13675796</v>
      </c>
      <c r="E146" s="205">
        <v>2704752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27565078</v>
      </c>
      <c r="D147" s="205">
        <f>+D47</f>
        <v>27210293</v>
      </c>
      <c r="E147" s="205">
        <f>+E47</f>
        <v>28349076</v>
      </c>
    </row>
    <row r="148" spans="1:7" ht="20.100000000000001" customHeight="1" x14ac:dyDescent="0.2">
      <c r="A148" s="202">
        <v>13</v>
      </c>
      <c r="B148" s="201" t="s">
        <v>394</v>
      </c>
      <c r="C148" s="206">
        <v>1010700</v>
      </c>
      <c r="D148" s="205">
        <v>2056427</v>
      </c>
      <c r="E148" s="205">
        <v>1329129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1002343396</v>
      </c>
      <c r="D149" s="205">
        <f>SUM(D143:D148)</f>
        <v>1042814916</v>
      </c>
      <c r="E149" s="205">
        <f>SUM(E143:E148)</f>
        <v>1113153089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0.59932053555425036</v>
      </c>
      <c r="D152" s="203">
        <f>IF(D166=0,0,D160/D166)</f>
        <v>0.58246483097208013</v>
      </c>
      <c r="E152" s="203">
        <f>IF(E166=0,0,E160/E166)</f>
        <v>0.5830750815895378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0.33375210606472239</v>
      </c>
      <c r="D153" s="203">
        <f>IF(D166=0,0,D161/D166)</f>
        <v>0.33620414865783177</v>
      </c>
      <c r="E153" s="203">
        <f>IF(E166=0,0,E161/E166)</f>
        <v>0.34472676658238355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5.174734888922207E-2</v>
      </c>
      <c r="D154" s="203">
        <f>IF(D166=0,0,D162/D166)</f>
        <v>5.9426678549215378E-2</v>
      </c>
      <c r="E154" s="203">
        <f>IF(E166=0,0,E162/E166)</f>
        <v>6.3593435772946585E-2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8.215980276885651E-3</v>
      </c>
      <c r="D155" s="203">
        <f>IF(D166=0,0,D163/D166)</f>
        <v>3.2981041247266518E-3</v>
      </c>
      <c r="E155" s="203">
        <f>IF(E166=0,0,E163/E166)</f>
        <v>1.1847349076949628E-3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6.3020423163160973E-3</v>
      </c>
      <c r="D156" s="203">
        <f>IF(D166=0,0,D164/D166)</f>
        <v>1.7298506794106043E-2</v>
      </c>
      <c r="E156" s="203">
        <f>IF(E166=0,0,E164/E166)</f>
        <v>6.6676584930056111E-3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6.6198689860339703E-4</v>
      </c>
      <c r="D157" s="203">
        <f>IF(D166=0,0,D165/D166)</f>
        <v>1.3077309020400483E-3</v>
      </c>
      <c r="E157" s="203">
        <f>IF(E166=0,0,E165/E166)</f>
        <v>7.5232265443142966E-4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265822930</v>
      </c>
      <c r="D160" s="208">
        <f>+D44-D164</f>
        <v>270395904</v>
      </c>
      <c r="E160" s="208">
        <f>+E44-E164</f>
        <v>280814702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148032576</v>
      </c>
      <c r="D161" s="208">
        <f>+D50</f>
        <v>156075045</v>
      </c>
      <c r="E161" s="208">
        <f>+E50</f>
        <v>166023806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22952045</v>
      </c>
      <c r="D162" s="208">
        <f>+D54</f>
        <v>27587469</v>
      </c>
      <c r="E162" s="208">
        <f>+E54</f>
        <v>30627225</v>
      </c>
    </row>
    <row r="163" spans="1:6" ht="20.100000000000001" customHeight="1" x14ac:dyDescent="0.2">
      <c r="A163" s="202">
        <v>11</v>
      </c>
      <c r="B163" s="201" t="s">
        <v>408</v>
      </c>
      <c r="C163" s="207">
        <v>3644120</v>
      </c>
      <c r="D163" s="208">
        <v>1531069</v>
      </c>
      <c r="E163" s="208">
        <v>570580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2795211</v>
      </c>
      <c r="D164" s="208">
        <f>+D45</f>
        <v>8030434</v>
      </c>
      <c r="E164" s="208">
        <f>+E45</f>
        <v>3211210</v>
      </c>
    </row>
    <row r="165" spans="1:6" ht="20.100000000000001" customHeight="1" x14ac:dyDescent="0.2">
      <c r="A165" s="202">
        <v>13</v>
      </c>
      <c r="B165" s="201" t="s">
        <v>410</v>
      </c>
      <c r="C165" s="209">
        <v>293618</v>
      </c>
      <c r="D165" s="208">
        <v>607084</v>
      </c>
      <c r="E165" s="208">
        <v>362326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443540500</v>
      </c>
      <c r="D166" s="208">
        <f>SUM(D160:D165)</f>
        <v>464227005</v>
      </c>
      <c r="E166" s="208">
        <f>SUM(E160:E165)</f>
        <v>481609849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9049</v>
      </c>
      <c r="D169" s="198">
        <v>8752</v>
      </c>
      <c r="E169" s="198">
        <v>8068</v>
      </c>
    </row>
    <row r="170" spans="1:6" ht="20.100000000000001" customHeight="1" x14ac:dyDescent="0.2">
      <c r="A170" s="202">
        <v>2</v>
      </c>
      <c r="B170" s="201" t="s">
        <v>414</v>
      </c>
      <c r="C170" s="198">
        <v>8566</v>
      </c>
      <c r="D170" s="198">
        <v>8917</v>
      </c>
      <c r="E170" s="198">
        <v>9495</v>
      </c>
    </row>
    <row r="171" spans="1:6" ht="20.100000000000001" customHeight="1" x14ac:dyDescent="0.2">
      <c r="A171" s="202">
        <v>3</v>
      </c>
      <c r="B171" s="201" t="s">
        <v>415</v>
      </c>
      <c r="C171" s="198">
        <v>2857</v>
      </c>
      <c r="D171" s="198">
        <v>3017</v>
      </c>
      <c r="E171" s="198">
        <v>3166</v>
      </c>
    </row>
    <row r="172" spans="1:6" ht="20.100000000000001" customHeight="1" x14ac:dyDescent="0.2">
      <c r="A172" s="202">
        <v>4</v>
      </c>
      <c r="B172" s="201" t="s">
        <v>416</v>
      </c>
      <c r="C172" s="198">
        <v>2312</v>
      </c>
      <c r="D172" s="198">
        <v>2727</v>
      </c>
      <c r="E172" s="198">
        <v>3069</v>
      </c>
    </row>
    <row r="173" spans="1:6" ht="20.100000000000001" customHeight="1" x14ac:dyDescent="0.2">
      <c r="A173" s="202">
        <v>5</v>
      </c>
      <c r="B173" s="201" t="s">
        <v>417</v>
      </c>
      <c r="C173" s="198">
        <v>545</v>
      </c>
      <c r="D173" s="198">
        <v>290</v>
      </c>
      <c r="E173" s="198">
        <v>97</v>
      </c>
    </row>
    <row r="174" spans="1:6" ht="20.100000000000001" customHeight="1" x14ac:dyDescent="0.2">
      <c r="A174" s="202">
        <v>6</v>
      </c>
      <c r="B174" s="201" t="s">
        <v>418</v>
      </c>
      <c r="C174" s="198">
        <v>25</v>
      </c>
      <c r="D174" s="198">
        <v>29</v>
      </c>
      <c r="E174" s="198">
        <v>34</v>
      </c>
    </row>
    <row r="175" spans="1:6" ht="20.100000000000001" customHeight="1" x14ac:dyDescent="0.2">
      <c r="A175" s="202">
        <v>7</v>
      </c>
      <c r="B175" s="201" t="s">
        <v>419</v>
      </c>
      <c r="C175" s="198">
        <v>322</v>
      </c>
      <c r="D175" s="198">
        <v>298</v>
      </c>
      <c r="E175" s="198">
        <v>248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20497</v>
      </c>
      <c r="D176" s="198">
        <f>+D169+D170+D171+D174</f>
        <v>20715</v>
      </c>
      <c r="E176" s="198">
        <f>+E169+E170+E171+E174</f>
        <v>20763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1.1226</v>
      </c>
      <c r="D179" s="210">
        <v>1.1614</v>
      </c>
      <c r="E179" s="210">
        <v>1.1952</v>
      </c>
    </row>
    <row r="180" spans="1:6" ht="20.100000000000001" customHeight="1" x14ac:dyDescent="0.2">
      <c r="A180" s="202">
        <v>2</v>
      </c>
      <c r="B180" s="201" t="s">
        <v>414</v>
      </c>
      <c r="C180" s="210">
        <v>1.3711</v>
      </c>
      <c r="D180" s="210">
        <v>1.3485</v>
      </c>
      <c r="E180" s="210">
        <v>1.3328</v>
      </c>
    </row>
    <row r="181" spans="1:6" ht="20.100000000000001" customHeight="1" x14ac:dyDescent="0.2">
      <c r="A181" s="202">
        <v>3</v>
      </c>
      <c r="B181" s="201" t="s">
        <v>415</v>
      </c>
      <c r="C181" s="210">
        <v>0.92737899999999995</v>
      </c>
      <c r="D181" s="210">
        <v>0.88328399999999996</v>
      </c>
      <c r="E181" s="210">
        <v>1.027836</v>
      </c>
    </row>
    <row r="182" spans="1:6" ht="20.100000000000001" customHeight="1" x14ac:dyDescent="0.2">
      <c r="A182" s="202">
        <v>4</v>
      </c>
      <c r="B182" s="201" t="s">
        <v>416</v>
      </c>
      <c r="C182" s="210">
        <v>0.94140000000000001</v>
      </c>
      <c r="D182" s="210">
        <v>0.86580000000000001</v>
      </c>
      <c r="E182" s="210">
        <v>1.0314000000000001</v>
      </c>
    </row>
    <row r="183" spans="1:6" ht="20.100000000000001" customHeight="1" x14ac:dyDescent="0.2">
      <c r="A183" s="202">
        <v>5</v>
      </c>
      <c r="B183" s="201" t="s">
        <v>417</v>
      </c>
      <c r="C183" s="210">
        <v>0.8679</v>
      </c>
      <c r="D183" s="210">
        <v>1.0477000000000001</v>
      </c>
      <c r="E183" s="210">
        <v>0.91510000000000002</v>
      </c>
    </row>
    <row r="184" spans="1:6" ht="20.100000000000001" customHeight="1" x14ac:dyDescent="0.2">
      <c r="A184" s="202">
        <v>6</v>
      </c>
      <c r="B184" s="201" t="s">
        <v>418</v>
      </c>
      <c r="C184" s="210">
        <v>0.81389999999999996</v>
      </c>
      <c r="D184" s="210">
        <v>0.90859999999999996</v>
      </c>
      <c r="E184" s="210">
        <v>0.90149999999999997</v>
      </c>
    </row>
    <row r="185" spans="1:6" ht="20.100000000000001" customHeight="1" x14ac:dyDescent="0.2">
      <c r="A185" s="202">
        <v>7</v>
      </c>
      <c r="B185" s="201" t="s">
        <v>419</v>
      </c>
      <c r="C185" s="210">
        <v>1.0331999999999999</v>
      </c>
      <c r="D185" s="210">
        <v>1.2416</v>
      </c>
      <c r="E185" s="210">
        <v>1.2153</v>
      </c>
    </row>
    <row r="186" spans="1:6" ht="20.100000000000001" customHeight="1" x14ac:dyDescent="0.2">
      <c r="A186" s="202">
        <v>8</v>
      </c>
      <c r="B186" s="201" t="s">
        <v>423</v>
      </c>
      <c r="C186" s="210">
        <v>1.1988639999999999</v>
      </c>
      <c r="D186" s="210">
        <v>1.201079</v>
      </c>
      <c r="E186" s="210">
        <v>1.232124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13885</v>
      </c>
      <c r="D189" s="198">
        <v>14124</v>
      </c>
      <c r="E189" s="198">
        <v>14603</v>
      </c>
    </row>
    <row r="190" spans="1:6" ht="20.100000000000001" customHeight="1" x14ac:dyDescent="0.2">
      <c r="A190" s="202">
        <v>2</v>
      </c>
      <c r="B190" s="201" t="s">
        <v>427</v>
      </c>
      <c r="C190" s="198">
        <v>55697</v>
      </c>
      <c r="D190" s="198">
        <v>56136</v>
      </c>
      <c r="E190" s="198">
        <v>54992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69582</v>
      </c>
      <c r="D191" s="198">
        <f>+D190+D189</f>
        <v>70260</v>
      </c>
      <c r="E191" s="198">
        <f>+E190+E189</f>
        <v>69595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FILING&amp;RDANBURY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E18" sqref="E18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855468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429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86"/>
      <c r="D9" s="687"/>
      <c r="E9" s="687"/>
      <c r="F9" s="688"/>
      <c r="G9" s="212"/>
    </row>
    <row r="10" spans="1:7" ht="20.25" customHeight="1" x14ac:dyDescent="0.3">
      <c r="A10" s="689" t="s">
        <v>12</v>
      </c>
      <c r="B10" s="690" t="s">
        <v>113</v>
      </c>
      <c r="C10" s="692"/>
      <c r="D10" s="693"/>
      <c r="E10" s="693"/>
      <c r="F10" s="694"/>
    </row>
    <row r="11" spans="1:7" ht="20.25" customHeight="1" x14ac:dyDescent="0.3">
      <c r="A11" s="675"/>
      <c r="B11" s="691"/>
      <c r="C11" s="681"/>
      <c r="D11" s="682"/>
      <c r="E11" s="682"/>
      <c r="F11" s="683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169823</v>
      </c>
      <c r="E14" s="237">
        <f t="shared" ref="E14:E24" si="0">D14-C14</f>
        <v>169823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24407</v>
      </c>
      <c r="E15" s="237">
        <f t="shared" si="0"/>
        <v>24407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117071</v>
      </c>
      <c r="D16" s="237">
        <v>178916</v>
      </c>
      <c r="E16" s="237">
        <f t="shared" si="0"/>
        <v>61845</v>
      </c>
      <c r="F16" s="238">
        <f t="shared" si="1"/>
        <v>0.52826916999086027</v>
      </c>
    </row>
    <row r="17" spans="1:6" ht="20.25" customHeight="1" x14ac:dyDescent="0.3">
      <c r="A17" s="235">
        <v>4</v>
      </c>
      <c r="B17" s="236" t="s">
        <v>437</v>
      </c>
      <c r="C17" s="237">
        <v>94009</v>
      </c>
      <c r="D17" s="237">
        <v>22547</v>
      </c>
      <c r="E17" s="237">
        <f t="shared" si="0"/>
        <v>-71462</v>
      </c>
      <c r="F17" s="238">
        <f t="shared" si="1"/>
        <v>-0.76016126115584681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4</v>
      </c>
      <c r="E18" s="239">
        <f t="shared" si="0"/>
        <v>4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25</v>
      </c>
      <c r="E19" s="239">
        <f t="shared" si="0"/>
        <v>25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32</v>
      </c>
      <c r="D20" s="239">
        <v>42</v>
      </c>
      <c r="E20" s="239">
        <f t="shared" si="0"/>
        <v>10</v>
      </c>
      <c r="F20" s="238">
        <f t="shared" si="1"/>
        <v>0.3125</v>
      </c>
    </row>
    <row r="21" spans="1:6" ht="20.25" customHeight="1" x14ac:dyDescent="0.3">
      <c r="A21" s="235">
        <v>8</v>
      </c>
      <c r="B21" s="236" t="s">
        <v>439</v>
      </c>
      <c r="C21" s="239">
        <v>8</v>
      </c>
      <c r="D21" s="239">
        <v>0</v>
      </c>
      <c r="E21" s="239">
        <f t="shared" si="0"/>
        <v>-8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1</v>
      </c>
      <c r="E22" s="239">
        <f t="shared" si="0"/>
        <v>1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117071</v>
      </c>
      <c r="D23" s="243">
        <f>+D14+D16</f>
        <v>348739</v>
      </c>
      <c r="E23" s="243">
        <f t="shared" si="0"/>
        <v>231668</v>
      </c>
      <c r="F23" s="244">
        <f t="shared" si="1"/>
        <v>1.9788675248353562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94009</v>
      </c>
      <c r="D24" s="243">
        <f>+D15+D17</f>
        <v>46954</v>
      </c>
      <c r="E24" s="243">
        <f t="shared" si="0"/>
        <v>-47055</v>
      </c>
      <c r="F24" s="244">
        <f t="shared" si="1"/>
        <v>-0.50053718261017566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2916107</v>
      </c>
      <c r="D40" s="237">
        <v>2841503</v>
      </c>
      <c r="E40" s="237">
        <f t="shared" ref="E40:E50" si="4">D40-C40</f>
        <v>-74604</v>
      </c>
      <c r="F40" s="238">
        <f t="shared" ref="F40:F50" si="5">IF(C40=0,0,E40/C40)</f>
        <v>-2.5583423379183273E-2</v>
      </c>
    </row>
    <row r="41" spans="1:6" ht="20.25" customHeight="1" x14ac:dyDescent="0.3">
      <c r="A41" s="235">
        <v>2</v>
      </c>
      <c r="B41" s="236" t="s">
        <v>435</v>
      </c>
      <c r="C41" s="237">
        <v>957578</v>
      </c>
      <c r="D41" s="237">
        <v>869758</v>
      </c>
      <c r="E41" s="237">
        <f t="shared" si="4"/>
        <v>-87820</v>
      </c>
      <c r="F41" s="238">
        <f t="shared" si="5"/>
        <v>-9.1710544728471205E-2</v>
      </c>
    </row>
    <row r="42" spans="1:6" ht="20.25" customHeight="1" x14ac:dyDescent="0.3">
      <c r="A42" s="235">
        <v>3</v>
      </c>
      <c r="B42" s="236" t="s">
        <v>436</v>
      </c>
      <c r="C42" s="237">
        <v>2024828</v>
      </c>
      <c r="D42" s="237">
        <v>3215019</v>
      </c>
      <c r="E42" s="237">
        <f t="shared" si="4"/>
        <v>1190191</v>
      </c>
      <c r="F42" s="238">
        <f t="shared" si="5"/>
        <v>0.58779856856977486</v>
      </c>
    </row>
    <row r="43" spans="1:6" ht="20.25" customHeight="1" x14ac:dyDescent="0.3">
      <c r="A43" s="235">
        <v>4</v>
      </c>
      <c r="B43" s="236" t="s">
        <v>437</v>
      </c>
      <c r="C43" s="237">
        <v>716537</v>
      </c>
      <c r="D43" s="237">
        <v>904033</v>
      </c>
      <c r="E43" s="237">
        <f t="shared" si="4"/>
        <v>187496</v>
      </c>
      <c r="F43" s="238">
        <f t="shared" si="5"/>
        <v>0.26166966953555781</v>
      </c>
    </row>
    <row r="44" spans="1:6" ht="20.25" customHeight="1" x14ac:dyDescent="0.3">
      <c r="A44" s="235">
        <v>5</v>
      </c>
      <c r="B44" s="236" t="s">
        <v>373</v>
      </c>
      <c r="C44" s="239">
        <v>83</v>
      </c>
      <c r="D44" s="239">
        <v>98</v>
      </c>
      <c r="E44" s="239">
        <f t="shared" si="4"/>
        <v>15</v>
      </c>
      <c r="F44" s="238">
        <f t="shared" si="5"/>
        <v>0.18072289156626506</v>
      </c>
    </row>
    <row r="45" spans="1:6" ht="20.25" customHeight="1" x14ac:dyDescent="0.3">
      <c r="A45" s="235">
        <v>6</v>
      </c>
      <c r="B45" s="236" t="s">
        <v>372</v>
      </c>
      <c r="C45" s="239">
        <v>555</v>
      </c>
      <c r="D45" s="239">
        <v>472</v>
      </c>
      <c r="E45" s="239">
        <f t="shared" si="4"/>
        <v>-83</v>
      </c>
      <c r="F45" s="238">
        <f t="shared" si="5"/>
        <v>-0.14954954954954955</v>
      </c>
    </row>
    <row r="46" spans="1:6" ht="20.25" customHeight="1" x14ac:dyDescent="0.3">
      <c r="A46" s="235">
        <v>7</v>
      </c>
      <c r="B46" s="236" t="s">
        <v>438</v>
      </c>
      <c r="C46" s="239">
        <v>553</v>
      </c>
      <c r="D46" s="239">
        <v>756</v>
      </c>
      <c r="E46" s="239">
        <f t="shared" si="4"/>
        <v>203</v>
      </c>
      <c r="F46" s="238">
        <f t="shared" si="5"/>
        <v>0.36708860759493672</v>
      </c>
    </row>
    <row r="47" spans="1:6" ht="20.25" customHeight="1" x14ac:dyDescent="0.3">
      <c r="A47" s="235">
        <v>8</v>
      </c>
      <c r="B47" s="236" t="s">
        <v>439</v>
      </c>
      <c r="C47" s="239">
        <v>74</v>
      </c>
      <c r="D47" s="239">
        <v>79</v>
      </c>
      <c r="E47" s="239">
        <f t="shared" si="4"/>
        <v>5</v>
      </c>
      <c r="F47" s="238">
        <f t="shared" si="5"/>
        <v>6.7567567567567571E-2</v>
      </c>
    </row>
    <row r="48" spans="1:6" ht="20.25" customHeight="1" x14ac:dyDescent="0.3">
      <c r="A48" s="235">
        <v>9</v>
      </c>
      <c r="B48" s="236" t="s">
        <v>440</v>
      </c>
      <c r="C48" s="239">
        <v>50</v>
      </c>
      <c r="D48" s="239">
        <v>67</v>
      </c>
      <c r="E48" s="239">
        <f t="shared" si="4"/>
        <v>17</v>
      </c>
      <c r="F48" s="238">
        <f t="shared" si="5"/>
        <v>0.34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4940935</v>
      </c>
      <c r="D49" s="243">
        <f>+D40+D42</f>
        <v>6056522</v>
      </c>
      <c r="E49" s="243">
        <f t="shared" si="4"/>
        <v>1115587</v>
      </c>
      <c r="F49" s="244">
        <f t="shared" si="5"/>
        <v>0.22578459340185614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1674115</v>
      </c>
      <c r="D50" s="243">
        <f>+D41+D43</f>
        <v>1773791</v>
      </c>
      <c r="E50" s="243">
        <f t="shared" si="4"/>
        <v>99676</v>
      </c>
      <c r="F50" s="244">
        <f t="shared" si="5"/>
        <v>5.9539517894529347E-2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7609148</v>
      </c>
      <c r="D53" s="237">
        <v>2206792</v>
      </c>
      <c r="E53" s="237">
        <f t="shared" ref="E53:E63" si="6">D53-C53</f>
        <v>-5402356</v>
      </c>
      <c r="F53" s="238">
        <f t="shared" ref="F53:F63" si="7">IF(C53=0,0,E53/C53)</f>
        <v>-0.7099817220009389</v>
      </c>
    </row>
    <row r="54" spans="1:6" ht="20.25" customHeight="1" x14ac:dyDescent="0.3">
      <c r="A54" s="235">
        <v>2</v>
      </c>
      <c r="B54" s="236" t="s">
        <v>435</v>
      </c>
      <c r="C54" s="237">
        <v>2636320</v>
      </c>
      <c r="D54" s="237">
        <v>839402</v>
      </c>
      <c r="E54" s="237">
        <f t="shared" si="6"/>
        <v>-1796918</v>
      </c>
      <c r="F54" s="238">
        <f t="shared" si="7"/>
        <v>-0.68160086787643381</v>
      </c>
    </row>
    <row r="55" spans="1:6" ht="20.25" customHeight="1" x14ac:dyDescent="0.3">
      <c r="A55" s="235">
        <v>3</v>
      </c>
      <c r="B55" s="236" t="s">
        <v>436</v>
      </c>
      <c r="C55" s="237">
        <v>4609775</v>
      </c>
      <c r="D55" s="237">
        <v>1396921</v>
      </c>
      <c r="E55" s="237">
        <f t="shared" si="6"/>
        <v>-3212854</v>
      </c>
      <c r="F55" s="238">
        <f t="shared" si="7"/>
        <v>-0.69696547011513577</v>
      </c>
    </row>
    <row r="56" spans="1:6" ht="20.25" customHeight="1" x14ac:dyDescent="0.3">
      <c r="A56" s="235">
        <v>4</v>
      </c>
      <c r="B56" s="236" t="s">
        <v>437</v>
      </c>
      <c r="C56" s="237">
        <v>1424520</v>
      </c>
      <c r="D56" s="237">
        <v>437668</v>
      </c>
      <c r="E56" s="237">
        <f t="shared" si="6"/>
        <v>-986852</v>
      </c>
      <c r="F56" s="238">
        <f t="shared" si="7"/>
        <v>-0.69276107039564205</v>
      </c>
    </row>
    <row r="57" spans="1:6" ht="20.25" customHeight="1" x14ac:dyDescent="0.3">
      <c r="A57" s="235">
        <v>5</v>
      </c>
      <c r="B57" s="236" t="s">
        <v>373</v>
      </c>
      <c r="C57" s="239">
        <v>256</v>
      </c>
      <c r="D57" s="239">
        <v>61</v>
      </c>
      <c r="E57" s="239">
        <f t="shared" si="6"/>
        <v>-195</v>
      </c>
      <c r="F57" s="238">
        <f t="shared" si="7"/>
        <v>-0.76171875</v>
      </c>
    </row>
    <row r="58" spans="1:6" ht="20.25" customHeight="1" x14ac:dyDescent="0.3">
      <c r="A58" s="235">
        <v>6</v>
      </c>
      <c r="B58" s="236" t="s">
        <v>372</v>
      </c>
      <c r="C58" s="239">
        <v>1364</v>
      </c>
      <c r="D58" s="239">
        <v>457</v>
      </c>
      <c r="E58" s="239">
        <f t="shared" si="6"/>
        <v>-907</v>
      </c>
      <c r="F58" s="238">
        <f t="shared" si="7"/>
        <v>-0.66495601173020524</v>
      </c>
    </row>
    <row r="59" spans="1:6" ht="20.25" customHeight="1" x14ac:dyDescent="0.3">
      <c r="A59" s="235">
        <v>7</v>
      </c>
      <c r="B59" s="236" t="s">
        <v>438</v>
      </c>
      <c r="C59" s="239">
        <v>1262</v>
      </c>
      <c r="D59" s="239">
        <v>328</v>
      </c>
      <c r="E59" s="239">
        <f t="shared" si="6"/>
        <v>-934</v>
      </c>
      <c r="F59" s="238">
        <f t="shared" si="7"/>
        <v>-0.74009508716323291</v>
      </c>
    </row>
    <row r="60" spans="1:6" ht="20.25" customHeight="1" x14ac:dyDescent="0.3">
      <c r="A60" s="235">
        <v>8</v>
      </c>
      <c r="B60" s="236" t="s">
        <v>439</v>
      </c>
      <c r="C60" s="239">
        <v>214</v>
      </c>
      <c r="D60" s="239">
        <v>64</v>
      </c>
      <c r="E60" s="239">
        <f t="shared" si="6"/>
        <v>-150</v>
      </c>
      <c r="F60" s="238">
        <f t="shared" si="7"/>
        <v>-0.7009345794392523</v>
      </c>
    </row>
    <row r="61" spans="1:6" ht="20.25" customHeight="1" x14ac:dyDescent="0.3">
      <c r="A61" s="235">
        <v>9</v>
      </c>
      <c r="B61" s="236" t="s">
        <v>440</v>
      </c>
      <c r="C61" s="239">
        <v>174</v>
      </c>
      <c r="D61" s="239">
        <v>44</v>
      </c>
      <c r="E61" s="239">
        <f t="shared" si="6"/>
        <v>-130</v>
      </c>
      <c r="F61" s="238">
        <f t="shared" si="7"/>
        <v>-0.74712643678160917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12218923</v>
      </c>
      <c r="D62" s="243">
        <f>+D53+D55</f>
        <v>3603713</v>
      </c>
      <c r="E62" s="243">
        <f t="shared" si="6"/>
        <v>-8615210</v>
      </c>
      <c r="F62" s="244">
        <f t="shared" si="7"/>
        <v>-0.70507114252213554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4060840</v>
      </c>
      <c r="D63" s="243">
        <f>+D54+D56</f>
        <v>1277070</v>
      </c>
      <c r="E63" s="243">
        <f t="shared" si="6"/>
        <v>-2783770</v>
      </c>
      <c r="F63" s="244">
        <f t="shared" si="7"/>
        <v>-0.68551580461185369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2851662</v>
      </c>
      <c r="D66" s="237">
        <v>4819561</v>
      </c>
      <c r="E66" s="237">
        <f t="shared" ref="E66:E76" si="8">D66-C66</f>
        <v>1967899</v>
      </c>
      <c r="F66" s="238">
        <f t="shared" ref="F66:F76" si="9">IF(C66=0,0,E66/C66)</f>
        <v>0.69008844666724178</v>
      </c>
    </row>
    <row r="67" spans="1:6" ht="20.25" customHeight="1" x14ac:dyDescent="0.3">
      <c r="A67" s="235">
        <v>2</v>
      </c>
      <c r="B67" s="236" t="s">
        <v>435</v>
      </c>
      <c r="C67" s="237">
        <v>932143</v>
      </c>
      <c r="D67" s="237">
        <v>1554061</v>
      </c>
      <c r="E67" s="237">
        <f t="shared" si="8"/>
        <v>621918</v>
      </c>
      <c r="F67" s="238">
        <f t="shared" si="9"/>
        <v>0.66719162188634151</v>
      </c>
    </row>
    <row r="68" spans="1:6" ht="20.25" customHeight="1" x14ac:dyDescent="0.3">
      <c r="A68" s="235">
        <v>3</v>
      </c>
      <c r="B68" s="236" t="s">
        <v>436</v>
      </c>
      <c r="C68" s="237">
        <v>1465204</v>
      </c>
      <c r="D68" s="237">
        <v>1986574</v>
      </c>
      <c r="E68" s="237">
        <f t="shared" si="8"/>
        <v>521370</v>
      </c>
      <c r="F68" s="238">
        <f t="shared" si="9"/>
        <v>0.35583440940647171</v>
      </c>
    </row>
    <row r="69" spans="1:6" ht="20.25" customHeight="1" x14ac:dyDescent="0.3">
      <c r="A69" s="235">
        <v>4</v>
      </c>
      <c r="B69" s="236" t="s">
        <v>437</v>
      </c>
      <c r="C69" s="237">
        <v>505335</v>
      </c>
      <c r="D69" s="237">
        <v>739266</v>
      </c>
      <c r="E69" s="237">
        <f t="shared" si="8"/>
        <v>233931</v>
      </c>
      <c r="F69" s="238">
        <f t="shared" si="9"/>
        <v>0.46292261569058152</v>
      </c>
    </row>
    <row r="70" spans="1:6" ht="20.25" customHeight="1" x14ac:dyDescent="0.3">
      <c r="A70" s="235">
        <v>5</v>
      </c>
      <c r="B70" s="236" t="s">
        <v>373</v>
      </c>
      <c r="C70" s="239">
        <v>91</v>
      </c>
      <c r="D70" s="239">
        <v>133</v>
      </c>
      <c r="E70" s="239">
        <f t="shared" si="8"/>
        <v>42</v>
      </c>
      <c r="F70" s="238">
        <f t="shared" si="9"/>
        <v>0.46153846153846156</v>
      </c>
    </row>
    <row r="71" spans="1:6" ht="20.25" customHeight="1" x14ac:dyDescent="0.3">
      <c r="A71" s="235">
        <v>6</v>
      </c>
      <c r="B71" s="236" t="s">
        <v>372</v>
      </c>
      <c r="C71" s="239">
        <v>597</v>
      </c>
      <c r="D71" s="239">
        <v>713</v>
      </c>
      <c r="E71" s="239">
        <f t="shared" si="8"/>
        <v>116</v>
      </c>
      <c r="F71" s="238">
        <f t="shared" si="9"/>
        <v>0.19430485762144054</v>
      </c>
    </row>
    <row r="72" spans="1:6" ht="20.25" customHeight="1" x14ac:dyDescent="0.3">
      <c r="A72" s="235">
        <v>7</v>
      </c>
      <c r="B72" s="236" t="s">
        <v>438</v>
      </c>
      <c r="C72" s="239">
        <v>400</v>
      </c>
      <c r="D72" s="239">
        <v>467</v>
      </c>
      <c r="E72" s="239">
        <f t="shared" si="8"/>
        <v>67</v>
      </c>
      <c r="F72" s="238">
        <f t="shared" si="9"/>
        <v>0.16750000000000001</v>
      </c>
    </row>
    <row r="73" spans="1:6" ht="20.25" customHeight="1" x14ac:dyDescent="0.3">
      <c r="A73" s="235">
        <v>8</v>
      </c>
      <c r="B73" s="236" t="s">
        <v>439</v>
      </c>
      <c r="C73" s="239">
        <v>112</v>
      </c>
      <c r="D73" s="239">
        <v>140</v>
      </c>
      <c r="E73" s="239">
        <f t="shared" si="8"/>
        <v>28</v>
      </c>
      <c r="F73" s="238">
        <f t="shared" si="9"/>
        <v>0.25</v>
      </c>
    </row>
    <row r="74" spans="1:6" ht="20.25" customHeight="1" x14ac:dyDescent="0.3">
      <c r="A74" s="235">
        <v>9</v>
      </c>
      <c r="B74" s="236" t="s">
        <v>440</v>
      </c>
      <c r="C74" s="239">
        <v>77</v>
      </c>
      <c r="D74" s="239">
        <v>106</v>
      </c>
      <c r="E74" s="239">
        <f t="shared" si="8"/>
        <v>29</v>
      </c>
      <c r="F74" s="238">
        <f t="shared" si="9"/>
        <v>0.37662337662337664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4316866</v>
      </c>
      <c r="D75" s="243">
        <f>+D66+D68</f>
        <v>6806135</v>
      </c>
      <c r="E75" s="243">
        <f t="shared" si="8"/>
        <v>2489269</v>
      </c>
      <c r="F75" s="244">
        <f t="shared" si="9"/>
        <v>0.57663800544191091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1437478</v>
      </c>
      <c r="D76" s="243">
        <f>+D67+D69</f>
        <v>2293327</v>
      </c>
      <c r="E76" s="243">
        <f t="shared" si="8"/>
        <v>855849</v>
      </c>
      <c r="F76" s="244">
        <f t="shared" si="9"/>
        <v>0.59538232932956192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2177543</v>
      </c>
      <c r="D118" s="237">
        <v>2275333</v>
      </c>
      <c r="E118" s="237">
        <f t="shared" ref="E118:E128" si="16">D118-C118</f>
        <v>97790</v>
      </c>
      <c r="F118" s="238">
        <f t="shared" ref="F118:F128" si="17">IF(C118=0,0,E118/C118)</f>
        <v>4.4908412830424016E-2</v>
      </c>
    </row>
    <row r="119" spans="1:6" ht="20.25" customHeight="1" x14ac:dyDescent="0.3">
      <c r="A119" s="235">
        <v>2</v>
      </c>
      <c r="B119" s="236" t="s">
        <v>435</v>
      </c>
      <c r="C119" s="237">
        <v>821518</v>
      </c>
      <c r="D119" s="237">
        <v>711483</v>
      </c>
      <c r="E119" s="237">
        <f t="shared" si="16"/>
        <v>-110035</v>
      </c>
      <c r="F119" s="238">
        <f t="shared" si="17"/>
        <v>-0.13394107006785</v>
      </c>
    </row>
    <row r="120" spans="1:6" ht="20.25" customHeight="1" x14ac:dyDescent="0.3">
      <c r="A120" s="235">
        <v>3</v>
      </c>
      <c r="B120" s="236" t="s">
        <v>436</v>
      </c>
      <c r="C120" s="237">
        <v>1558489</v>
      </c>
      <c r="D120" s="237">
        <v>2024448</v>
      </c>
      <c r="E120" s="237">
        <f t="shared" si="16"/>
        <v>465959</v>
      </c>
      <c r="F120" s="238">
        <f t="shared" si="17"/>
        <v>0.29898125684557286</v>
      </c>
    </row>
    <row r="121" spans="1:6" ht="20.25" customHeight="1" x14ac:dyDescent="0.3">
      <c r="A121" s="235">
        <v>4</v>
      </c>
      <c r="B121" s="236" t="s">
        <v>437</v>
      </c>
      <c r="C121" s="237">
        <v>799970</v>
      </c>
      <c r="D121" s="237">
        <v>874702</v>
      </c>
      <c r="E121" s="237">
        <f t="shared" si="16"/>
        <v>74732</v>
      </c>
      <c r="F121" s="238">
        <f t="shared" si="17"/>
        <v>9.3418503193869767E-2</v>
      </c>
    </row>
    <row r="122" spans="1:6" ht="20.25" customHeight="1" x14ac:dyDescent="0.3">
      <c r="A122" s="235">
        <v>5</v>
      </c>
      <c r="B122" s="236" t="s">
        <v>373</v>
      </c>
      <c r="C122" s="239">
        <v>89</v>
      </c>
      <c r="D122" s="239">
        <v>75</v>
      </c>
      <c r="E122" s="239">
        <f t="shared" si="16"/>
        <v>-14</v>
      </c>
      <c r="F122" s="238">
        <f t="shared" si="17"/>
        <v>-0.15730337078651685</v>
      </c>
    </row>
    <row r="123" spans="1:6" ht="20.25" customHeight="1" x14ac:dyDescent="0.3">
      <c r="A123" s="235">
        <v>6</v>
      </c>
      <c r="B123" s="236" t="s">
        <v>372</v>
      </c>
      <c r="C123" s="239">
        <v>468</v>
      </c>
      <c r="D123" s="239">
        <v>397</v>
      </c>
      <c r="E123" s="239">
        <f t="shared" si="16"/>
        <v>-71</v>
      </c>
      <c r="F123" s="238">
        <f t="shared" si="17"/>
        <v>-0.1517094017094017</v>
      </c>
    </row>
    <row r="124" spans="1:6" ht="20.25" customHeight="1" x14ac:dyDescent="0.3">
      <c r="A124" s="235">
        <v>7</v>
      </c>
      <c r="B124" s="236" t="s">
        <v>438</v>
      </c>
      <c r="C124" s="239">
        <v>426</v>
      </c>
      <c r="D124" s="239">
        <v>476</v>
      </c>
      <c r="E124" s="239">
        <f t="shared" si="16"/>
        <v>50</v>
      </c>
      <c r="F124" s="238">
        <f t="shared" si="17"/>
        <v>0.11737089201877934</v>
      </c>
    </row>
    <row r="125" spans="1:6" ht="20.25" customHeight="1" x14ac:dyDescent="0.3">
      <c r="A125" s="235">
        <v>8</v>
      </c>
      <c r="B125" s="236" t="s">
        <v>439</v>
      </c>
      <c r="C125" s="239">
        <v>65</v>
      </c>
      <c r="D125" s="239">
        <v>74</v>
      </c>
      <c r="E125" s="239">
        <f t="shared" si="16"/>
        <v>9</v>
      </c>
      <c r="F125" s="238">
        <f t="shared" si="17"/>
        <v>0.13846153846153847</v>
      </c>
    </row>
    <row r="126" spans="1:6" ht="20.25" customHeight="1" x14ac:dyDescent="0.3">
      <c r="A126" s="235">
        <v>9</v>
      </c>
      <c r="B126" s="236" t="s">
        <v>440</v>
      </c>
      <c r="C126" s="239">
        <v>71</v>
      </c>
      <c r="D126" s="239">
        <v>59</v>
      </c>
      <c r="E126" s="239">
        <f t="shared" si="16"/>
        <v>-12</v>
      </c>
      <c r="F126" s="238">
        <f t="shared" si="17"/>
        <v>-0.16901408450704225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3736032</v>
      </c>
      <c r="D127" s="243">
        <f>+D118+D120</f>
        <v>4299781</v>
      </c>
      <c r="E127" s="243">
        <f t="shared" si="16"/>
        <v>563749</v>
      </c>
      <c r="F127" s="244">
        <f t="shared" si="17"/>
        <v>0.1508951208126697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1621488</v>
      </c>
      <c r="D128" s="243">
        <f>+D119+D121</f>
        <v>1586185</v>
      </c>
      <c r="E128" s="243">
        <f t="shared" si="16"/>
        <v>-35303</v>
      </c>
      <c r="F128" s="244">
        <f t="shared" si="17"/>
        <v>-2.1771977344266502E-2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1903804</v>
      </c>
      <c r="D144" s="237">
        <v>10734214</v>
      </c>
      <c r="E144" s="237">
        <f t="shared" ref="E144:E154" si="20">D144-C144</f>
        <v>8830410</v>
      </c>
      <c r="F144" s="238">
        <f t="shared" ref="F144:F154" si="21">IF(C144=0,0,E144/C144)</f>
        <v>4.638297849988759</v>
      </c>
    </row>
    <row r="145" spans="1:6" ht="20.25" customHeight="1" x14ac:dyDescent="0.3">
      <c r="A145" s="235">
        <v>2</v>
      </c>
      <c r="B145" s="236" t="s">
        <v>435</v>
      </c>
      <c r="C145" s="237">
        <v>750797</v>
      </c>
      <c r="D145" s="237">
        <v>3085109</v>
      </c>
      <c r="E145" s="237">
        <f t="shared" si="20"/>
        <v>2334312</v>
      </c>
      <c r="F145" s="238">
        <f t="shared" si="21"/>
        <v>3.1091120502612557</v>
      </c>
    </row>
    <row r="146" spans="1:6" ht="20.25" customHeight="1" x14ac:dyDescent="0.3">
      <c r="A146" s="235">
        <v>3</v>
      </c>
      <c r="B146" s="236" t="s">
        <v>436</v>
      </c>
      <c r="C146" s="237">
        <v>1421286</v>
      </c>
      <c r="D146" s="237">
        <v>9339872</v>
      </c>
      <c r="E146" s="237">
        <f t="shared" si="20"/>
        <v>7918586</v>
      </c>
      <c r="F146" s="238">
        <f t="shared" si="21"/>
        <v>5.5714233447736765</v>
      </c>
    </row>
    <row r="147" spans="1:6" ht="20.25" customHeight="1" x14ac:dyDescent="0.3">
      <c r="A147" s="235">
        <v>4</v>
      </c>
      <c r="B147" s="236" t="s">
        <v>437</v>
      </c>
      <c r="C147" s="237">
        <v>374867</v>
      </c>
      <c r="D147" s="237">
        <v>2608027</v>
      </c>
      <c r="E147" s="237">
        <f t="shared" si="20"/>
        <v>2233160</v>
      </c>
      <c r="F147" s="238">
        <f t="shared" si="21"/>
        <v>5.9572061557832514</v>
      </c>
    </row>
    <row r="148" spans="1:6" ht="20.25" customHeight="1" x14ac:dyDescent="0.3">
      <c r="A148" s="235">
        <v>5</v>
      </c>
      <c r="B148" s="236" t="s">
        <v>373</v>
      </c>
      <c r="C148" s="239">
        <v>64</v>
      </c>
      <c r="D148" s="239">
        <v>350</v>
      </c>
      <c r="E148" s="239">
        <f t="shared" si="20"/>
        <v>286</v>
      </c>
      <c r="F148" s="238">
        <f t="shared" si="21"/>
        <v>4.46875</v>
      </c>
    </row>
    <row r="149" spans="1:6" ht="20.25" customHeight="1" x14ac:dyDescent="0.3">
      <c r="A149" s="235">
        <v>6</v>
      </c>
      <c r="B149" s="236" t="s">
        <v>372</v>
      </c>
      <c r="C149" s="239">
        <v>361</v>
      </c>
      <c r="D149" s="239">
        <v>1791</v>
      </c>
      <c r="E149" s="239">
        <f t="shared" si="20"/>
        <v>1430</v>
      </c>
      <c r="F149" s="238">
        <f t="shared" si="21"/>
        <v>3.9612188365650969</v>
      </c>
    </row>
    <row r="150" spans="1:6" ht="20.25" customHeight="1" x14ac:dyDescent="0.3">
      <c r="A150" s="235">
        <v>7</v>
      </c>
      <c r="B150" s="236" t="s">
        <v>438</v>
      </c>
      <c r="C150" s="239">
        <v>388</v>
      </c>
      <c r="D150" s="239">
        <v>2196</v>
      </c>
      <c r="E150" s="239">
        <f t="shared" si="20"/>
        <v>1808</v>
      </c>
      <c r="F150" s="238">
        <f t="shared" si="21"/>
        <v>4.65979381443299</v>
      </c>
    </row>
    <row r="151" spans="1:6" ht="20.25" customHeight="1" x14ac:dyDescent="0.3">
      <c r="A151" s="235">
        <v>8</v>
      </c>
      <c r="B151" s="236" t="s">
        <v>439</v>
      </c>
      <c r="C151" s="239">
        <v>83</v>
      </c>
      <c r="D151" s="239">
        <v>311</v>
      </c>
      <c r="E151" s="239">
        <f t="shared" si="20"/>
        <v>228</v>
      </c>
      <c r="F151" s="238">
        <f t="shared" si="21"/>
        <v>2.7469879518072289</v>
      </c>
    </row>
    <row r="152" spans="1:6" ht="20.25" customHeight="1" x14ac:dyDescent="0.3">
      <c r="A152" s="235">
        <v>9</v>
      </c>
      <c r="B152" s="236" t="s">
        <v>440</v>
      </c>
      <c r="C152" s="239">
        <v>48</v>
      </c>
      <c r="D152" s="239">
        <v>262</v>
      </c>
      <c r="E152" s="239">
        <f t="shared" si="20"/>
        <v>214</v>
      </c>
      <c r="F152" s="238">
        <f t="shared" si="21"/>
        <v>4.458333333333333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3325090</v>
      </c>
      <c r="D153" s="243">
        <f>+D144+D146</f>
        <v>20074086</v>
      </c>
      <c r="E153" s="243">
        <f t="shared" si="20"/>
        <v>16748996</v>
      </c>
      <c r="F153" s="244">
        <f t="shared" si="21"/>
        <v>5.0371556860115065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1125664</v>
      </c>
      <c r="D154" s="243">
        <f>+D145+D147</f>
        <v>5693136</v>
      </c>
      <c r="E154" s="243">
        <f t="shared" si="20"/>
        <v>4567472</v>
      </c>
      <c r="F154" s="244">
        <f t="shared" si="21"/>
        <v>4.0575802370867331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682260</v>
      </c>
      <c r="D183" s="237">
        <v>667106</v>
      </c>
      <c r="E183" s="237">
        <f t="shared" ref="E183:E193" si="26">D183-C183</f>
        <v>-15154</v>
      </c>
      <c r="F183" s="238">
        <f t="shared" ref="F183:F193" si="27">IF(C183=0,0,E183/C183)</f>
        <v>-2.2211473631753291E-2</v>
      </c>
    </row>
    <row r="184" spans="1:6" ht="20.25" customHeight="1" x14ac:dyDescent="0.3">
      <c r="A184" s="235">
        <v>2</v>
      </c>
      <c r="B184" s="236" t="s">
        <v>435</v>
      </c>
      <c r="C184" s="237">
        <v>279172</v>
      </c>
      <c r="D184" s="237">
        <v>206478</v>
      </c>
      <c r="E184" s="237">
        <f t="shared" si="26"/>
        <v>-72694</v>
      </c>
      <c r="F184" s="238">
        <f t="shared" si="27"/>
        <v>-0.2603914432679495</v>
      </c>
    </row>
    <row r="185" spans="1:6" ht="20.25" customHeight="1" x14ac:dyDescent="0.3">
      <c r="A185" s="235">
        <v>3</v>
      </c>
      <c r="B185" s="236" t="s">
        <v>436</v>
      </c>
      <c r="C185" s="237">
        <v>673313</v>
      </c>
      <c r="D185" s="237">
        <v>403375</v>
      </c>
      <c r="E185" s="237">
        <f t="shared" si="26"/>
        <v>-269938</v>
      </c>
      <c r="F185" s="238">
        <f t="shared" si="27"/>
        <v>-0.40091012649391888</v>
      </c>
    </row>
    <row r="186" spans="1:6" ht="20.25" customHeight="1" x14ac:dyDescent="0.3">
      <c r="A186" s="235">
        <v>4</v>
      </c>
      <c r="B186" s="236" t="s">
        <v>437</v>
      </c>
      <c r="C186" s="237">
        <v>257797</v>
      </c>
      <c r="D186" s="237">
        <v>115242</v>
      </c>
      <c r="E186" s="237">
        <f t="shared" si="26"/>
        <v>-142555</v>
      </c>
      <c r="F186" s="238">
        <f t="shared" si="27"/>
        <v>-0.55297385151883072</v>
      </c>
    </row>
    <row r="187" spans="1:6" ht="20.25" customHeight="1" x14ac:dyDescent="0.3">
      <c r="A187" s="235">
        <v>5</v>
      </c>
      <c r="B187" s="236" t="s">
        <v>373</v>
      </c>
      <c r="C187" s="239">
        <v>32</v>
      </c>
      <c r="D187" s="239">
        <v>15</v>
      </c>
      <c r="E187" s="239">
        <f t="shared" si="26"/>
        <v>-17</v>
      </c>
      <c r="F187" s="238">
        <f t="shared" si="27"/>
        <v>-0.53125</v>
      </c>
    </row>
    <row r="188" spans="1:6" ht="20.25" customHeight="1" x14ac:dyDescent="0.3">
      <c r="A188" s="235">
        <v>6</v>
      </c>
      <c r="B188" s="236" t="s">
        <v>372</v>
      </c>
      <c r="C188" s="239">
        <v>151</v>
      </c>
      <c r="D188" s="239">
        <v>142</v>
      </c>
      <c r="E188" s="239">
        <f t="shared" si="26"/>
        <v>-9</v>
      </c>
      <c r="F188" s="238">
        <f t="shared" si="27"/>
        <v>-5.9602649006622516E-2</v>
      </c>
    </row>
    <row r="189" spans="1:6" ht="20.25" customHeight="1" x14ac:dyDescent="0.3">
      <c r="A189" s="235">
        <v>7</v>
      </c>
      <c r="B189" s="236" t="s">
        <v>438</v>
      </c>
      <c r="C189" s="239">
        <v>184</v>
      </c>
      <c r="D189" s="239">
        <v>95</v>
      </c>
      <c r="E189" s="239">
        <f t="shared" si="26"/>
        <v>-89</v>
      </c>
      <c r="F189" s="238">
        <f t="shared" si="27"/>
        <v>-0.48369565217391303</v>
      </c>
    </row>
    <row r="190" spans="1:6" ht="20.25" customHeight="1" x14ac:dyDescent="0.3">
      <c r="A190" s="235">
        <v>8</v>
      </c>
      <c r="B190" s="236" t="s">
        <v>439</v>
      </c>
      <c r="C190" s="239">
        <v>49</v>
      </c>
      <c r="D190" s="239">
        <v>32</v>
      </c>
      <c r="E190" s="239">
        <f t="shared" si="26"/>
        <v>-17</v>
      </c>
      <c r="F190" s="238">
        <f t="shared" si="27"/>
        <v>-0.34693877551020408</v>
      </c>
    </row>
    <row r="191" spans="1:6" ht="20.25" customHeight="1" x14ac:dyDescent="0.3">
      <c r="A191" s="235">
        <v>9</v>
      </c>
      <c r="B191" s="236" t="s">
        <v>440</v>
      </c>
      <c r="C191" s="239">
        <v>24</v>
      </c>
      <c r="D191" s="239">
        <v>12</v>
      </c>
      <c r="E191" s="239">
        <f t="shared" si="26"/>
        <v>-12</v>
      </c>
      <c r="F191" s="238">
        <f t="shared" si="27"/>
        <v>-0.5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1355573</v>
      </c>
      <c r="D192" s="243">
        <f>+D183+D185</f>
        <v>1070481</v>
      </c>
      <c r="E192" s="243">
        <f t="shared" si="26"/>
        <v>-285092</v>
      </c>
      <c r="F192" s="244">
        <f t="shared" si="27"/>
        <v>-0.21031106402974978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536969</v>
      </c>
      <c r="D193" s="243">
        <f>+D184+D186</f>
        <v>321720</v>
      </c>
      <c r="E193" s="243">
        <f t="shared" si="26"/>
        <v>-215249</v>
      </c>
      <c r="F193" s="244">
        <f t="shared" si="27"/>
        <v>-0.40085926748099054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74" t="s">
        <v>44</v>
      </c>
      <c r="B195" s="676" t="s">
        <v>459</v>
      </c>
      <c r="C195" s="678"/>
      <c r="D195" s="679"/>
      <c r="E195" s="679"/>
      <c r="F195" s="680"/>
      <c r="G195" s="684"/>
      <c r="H195" s="684"/>
      <c r="I195" s="684"/>
    </row>
    <row r="196" spans="1:9" ht="20.25" customHeight="1" x14ac:dyDescent="0.3">
      <c r="A196" s="675"/>
      <c r="B196" s="677"/>
      <c r="C196" s="681"/>
      <c r="D196" s="682"/>
      <c r="E196" s="682"/>
      <c r="F196" s="683"/>
      <c r="G196" s="684"/>
      <c r="H196" s="684"/>
      <c r="I196" s="68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18140524</v>
      </c>
      <c r="D198" s="243">
        <f t="shared" si="28"/>
        <v>23714332</v>
      </c>
      <c r="E198" s="243">
        <f t="shared" ref="E198:E208" si="29">D198-C198</f>
        <v>5573808</v>
      </c>
      <c r="F198" s="251">
        <f t="shared" ref="F198:F208" si="30">IF(C198=0,0,E198/C198)</f>
        <v>0.30725727658142621</v>
      </c>
    </row>
    <row r="199" spans="1:9" ht="20.25" customHeight="1" x14ac:dyDescent="0.3">
      <c r="A199" s="249"/>
      <c r="B199" s="250" t="s">
        <v>461</v>
      </c>
      <c r="C199" s="243">
        <f t="shared" si="28"/>
        <v>6377528</v>
      </c>
      <c r="D199" s="243">
        <f t="shared" si="28"/>
        <v>7290698</v>
      </c>
      <c r="E199" s="243">
        <f t="shared" si="29"/>
        <v>913170</v>
      </c>
      <c r="F199" s="251">
        <f t="shared" si="30"/>
        <v>0.14318557284264374</v>
      </c>
    </row>
    <row r="200" spans="1:9" ht="20.25" customHeight="1" x14ac:dyDescent="0.3">
      <c r="A200" s="249"/>
      <c r="B200" s="250" t="s">
        <v>462</v>
      </c>
      <c r="C200" s="243">
        <f t="shared" si="28"/>
        <v>11869966</v>
      </c>
      <c r="D200" s="243">
        <f t="shared" si="28"/>
        <v>18545125</v>
      </c>
      <c r="E200" s="243">
        <f t="shared" si="29"/>
        <v>6675159</v>
      </c>
      <c r="F200" s="251">
        <f t="shared" si="30"/>
        <v>0.56235704466213299</v>
      </c>
    </row>
    <row r="201" spans="1:9" ht="20.25" customHeight="1" x14ac:dyDescent="0.3">
      <c r="A201" s="249"/>
      <c r="B201" s="250" t="s">
        <v>463</v>
      </c>
      <c r="C201" s="243">
        <f t="shared" si="28"/>
        <v>4173035</v>
      </c>
      <c r="D201" s="243">
        <f t="shared" si="28"/>
        <v>5701485</v>
      </c>
      <c r="E201" s="243">
        <f t="shared" si="29"/>
        <v>1528450</v>
      </c>
      <c r="F201" s="251">
        <f t="shared" si="30"/>
        <v>0.36626819568970787</v>
      </c>
    </row>
    <row r="202" spans="1:9" ht="20.25" customHeight="1" x14ac:dyDescent="0.3">
      <c r="A202" s="249"/>
      <c r="B202" s="250" t="s">
        <v>464</v>
      </c>
      <c r="C202" s="252">
        <f t="shared" si="28"/>
        <v>615</v>
      </c>
      <c r="D202" s="252">
        <f t="shared" si="28"/>
        <v>736</v>
      </c>
      <c r="E202" s="252">
        <f t="shared" si="29"/>
        <v>121</v>
      </c>
      <c r="F202" s="251">
        <f t="shared" si="30"/>
        <v>0.1967479674796748</v>
      </c>
    </row>
    <row r="203" spans="1:9" ht="20.25" customHeight="1" x14ac:dyDescent="0.3">
      <c r="A203" s="249"/>
      <c r="B203" s="250" t="s">
        <v>465</v>
      </c>
      <c r="C203" s="252">
        <f t="shared" si="28"/>
        <v>3496</v>
      </c>
      <c r="D203" s="252">
        <f t="shared" si="28"/>
        <v>3997</v>
      </c>
      <c r="E203" s="252">
        <f t="shared" si="29"/>
        <v>501</v>
      </c>
      <c r="F203" s="251">
        <f t="shared" si="30"/>
        <v>0.1433066361556064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3245</v>
      </c>
      <c r="D204" s="252">
        <f t="shared" si="28"/>
        <v>4360</v>
      </c>
      <c r="E204" s="252">
        <f t="shared" si="29"/>
        <v>1115</v>
      </c>
      <c r="F204" s="251">
        <f t="shared" si="30"/>
        <v>0.34360554699537749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605</v>
      </c>
      <c r="D205" s="252">
        <f t="shared" si="28"/>
        <v>700</v>
      </c>
      <c r="E205" s="252">
        <f t="shared" si="29"/>
        <v>95</v>
      </c>
      <c r="F205" s="251">
        <f t="shared" si="30"/>
        <v>0.15702479338842976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444</v>
      </c>
      <c r="D206" s="252">
        <f t="shared" si="28"/>
        <v>551</v>
      </c>
      <c r="E206" s="252">
        <f t="shared" si="29"/>
        <v>107</v>
      </c>
      <c r="F206" s="251">
        <f t="shared" si="30"/>
        <v>0.240990990990991</v>
      </c>
    </row>
    <row r="207" spans="1:9" ht="20.25" customHeight="1" x14ac:dyDescent="0.3">
      <c r="A207" s="249"/>
      <c r="B207" s="242" t="s">
        <v>469</v>
      </c>
      <c r="C207" s="243">
        <f>+C198+C200</f>
        <v>30010490</v>
      </c>
      <c r="D207" s="243">
        <f>+D198+D200</f>
        <v>42259457</v>
      </c>
      <c r="E207" s="243">
        <f t="shared" si="29"/>
        <v>12248967</v>
      </c>
      <c r="F207" s="251">
        <f t="shared" si="30"/>
        <v>0.40815618138857446</v>
      </c>
    </row>
    <row r="208" spans="1:9" ht="20.25" customHeight="1" x14ac:dyDescent="0.3">
      <c r="A208" s="249"/>
      <c r="B208" s="242" t="s">
        <v>470</v>
      </c>
      <c r="C208" s="243">
        <f>+C199+C201</f>
        <v>10550563</v>
      </c>
      <c r="D208" s="243">
        <f>+D199+D201</f>
        <v>12992183</v>
      </c>
      <c r="E208" s="243">
        <f t="shared" si="29"/>
        <v>2441620</v>
      </c>
      <c r="F208" s="251">
        <f t="shared" si="30"/>
        <v>0.23142082559954383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FILING&amp;RDANBURY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471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74" t="s">
        <v>12</v>
      </c>
      <c r="B10" s="676" t="s">
        <v>115</v>
      </c>
      <c r="C10" s="678"/>
      <c r="D10" s="679"/>
      <c r="E10" s="679"/>
      <c r="F10" s="680"/>
    </row>
    <row r="11" spans="1:7" ht="20.25" customHeight="1" x14ac:dyDescent="0.3">
      <c r="A11" s="675"/>
      <c r="B11" s="677"/>
      <c r="C11" s="681"/>
      <c r="D11" s="682"/>
      <c r="E11" s="682"/>
      <c r="F11" s="683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6776055</v>
      </c>
      <c r="D26" s="237">
        <v>7314852</v>
      </c>
      <c r="E26" s="237">
        <f t="shared" ref="E26:E36" si="2">D26-C26</f>
        <v>538797</v>
      </c>
      <c r="F26" s="238">
        <f t="shared" ref="F26:F36" si="3">IF(C26=0,0,E26/C26)</f>
        <v>7.9514850455021394E-2</v>
      </c>
    </row>
    <row r="27" spans="1:6" ht="20.25" customHeight="1" x14ac:dyDescent="0.3">
      <c r="A27" s="235">
        <v>2</v>
      </c>
      <c r="B27" s="236" t="s">
        <v>435</v>
      </c>
      <c r="C27" s="237">
        <v>1783294</v>
      </c>
      <c r="D27" s="237">
        <v>1855792</v>
      </c>
      <c r="E27" s="237">
        <f t="shared" si="2"/>
        <v>72498</v>
      </c>
      <c r="F27" s="238">
        <f t="shared" si="3"/>
        <v>4.065398077938915E-2</v>
      </c>
    </row>
    <row r="28" spans="1:6" ht="20.25" customHeight="1" x14ac:dyDescent="0.3">
      <c r="A28" s="235">
        <v>3</v>
      </c>
      <c r="B28" s="236" t="s">
        <v>436</v>
      </c>
      <c r="C28" s="237">
        <v>14571290</v>
      </c>
      <c r="D28" s="237">
        <v>14710540</v>
      </c>
      <c r="E28" s="237">
        <f t="shared" si="2"/>
        <v>139250</v>
      </c>
      <c r="F28" s="238">
        <f t="shared" si="3"/>
        <v>9.5564634291130015E-3</v>
      </c>
    </row>
    <row r="29" spans="1:6" ht="20.25" customHeight="1" x14ac:dyDescent="0.3">
      <c r="A29" s="235">
        <v>4</v>
      </c>
      <c r="B29" s="236" t="s">
        <v>437</v>
      </c>
      <c r="C29" s="237">
        <v>3934120</v>
      </c>
      <c r="D29" s="237">
        <v>3604229</v>
      </c>
      <c r="E29" s="237">
        <f t="shared" si="2"/>
        <v>-329891</v>
      </c>
      <c r="F29" s="238">
        <f t="shared" si="3"/>
        <v>-8.3853822455847812E-2</v>
      </c>
    </row>
    <row r="30" spans="1:6" ht="20.25" customHeight="1" x14ac:dyDescent="0.3">
      <c r="A30" s="235">
        <v>5</v>
      </c>
      <c r="B30" s="236" t="s">
        <v>373</v>
      </c>
      <c r="C30" s="239">
        <v>442</v>
      </c>
      <c r="D30" s="239">
        <v>457</v>
      </c>
      <c r="E30" s="239">
        <f t="shared" si="2"/>
        <v>15</v>
      </c>
      <c r="F30" s="238">
        <f t="shared" si="3"/>
        <v>3.3936651583710405E-2</v>
      </c>
    </row>
    <row r="31" spans="1:6" ht="20.25" customHeight="1" x14ac:dyDescent="0.3">
      <c r="A31" s="235">
        <v>6</v>
      </c>
      <c r="B31" s="236" t="s">
        <v>372</v>
      </c>
      <c r="C31" s="239">
        <v>1528</v>
      </c>
      <c r="D31" s="239">
        <v>1656</v>
      </c>
      <c r="E31" s="239">
        <f t="shared" si="2"/>
        <v>128</v>
      </c>
      <c r="F31" s="238">
        <f t="shared" si="3"/>
        <v>8.3769633507853408E-2</v>
      </c>
    </row>
    <row r="32" spans="1:6" ht="20.25" customHeight="1" x14ac:dyDescent="0.3">
      <c r="A32" s="235">
        <v>7</v>
      </c>
      <c r="B32" s="236" t="s">
        <v>438</v>
      </c>
      <c r="C32" s="239">
        <v>5106</v>
      </c>
      <c r="D32" s="239">
        <v>4669</v>
      </c>
      <c r="E32" s="239">
        <f t="shared" si="2"/>
        <v>-437</v>
      </c>
      <c r="F32" s="238">
        <f t="shared" si="3"/>
        <v>-8.5585585585585586E-2</v>
      </c>
    </row>
    <row r="33" spans="1:6" ht="20.25" customHeight="1" x14ac:dyDescent="0.3">
      <c r="A33" s="235">
        <v>8</v>
      </c>
      <c r="B33" s="236" t="s">
        <v>439</v>
      </c>
      <c r="C33" s="239">
        <v>5191</v>
      </c>
      <c r="D33" s="239">
        <v>4794</v>
      </c>
      <c r="E33" s="239">
        <f t="shared" si="2"/>
        <v>-397</v>
      </c>
      <c r="F33" s="238">
        <f t="shared" si="3"/>
        <v>-7.6478520516278167E-2</v>
      </c>
    </row>
    <row r="34" spans="1:6" ht="20.25" customHeight="1" x14ac:dyDescent="0.3">
      <c r="A34" s="235">
        <v>9</v>
      </c>
      <c r="B34" s="236" t="s">
        <v>440</v>
      </c>
      <c r="C34" s="239">
        <v>117</v>
      </c>
      <c r="D34" s="239">
        <v>118</v>
      </c>
      <c r="E34" s="239">
        <f t="shared" si="2"/>
        <v>1</v>
      </c>
      <c r="F34" s="238">
        <f t="shared" si="3"/>
        <v>8.5470085470085479E-3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21347345</v>
      </c>
      <c r="D35" s="243">
        <f>+D26+D28</f>
        <v>22025392</v>
      </c>
      <c r="E35" s="243">
        <f t="shared" si="2"/>
        <v>678047</v>
      </c>
      <c r="F35" s="244">
        <f t="shared" si="3"/>
        <v>3.176259155412535E-2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5717414</v>
      </c>
      <c r="D36" s="243">
        <f>+D27+D29</f>
        <v>5460021</v>
      </c>
      <c r="E36" s="243">
        <f t="shared" si="2"/>
        <v>-257393</v>
      </c>
      <c r="F36" s="244">
        <f t="shared" si="3"/>
        <v>-4.5019129277676935E-2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261642</v>
      </c>
      <c r="D50" s="237">
        <v>493140</v>
      </c>
      <c r="E50" s="237">
        <f t="shared" ref="E50:E60" si="6">D50-C50</f>
        <v>231498</v>
      </c>
      <c r="F50" s="238">
        <f t="shared" ref="F50:F60" si="7">IF(C50=0,0,E50/C50)</f>
        <v>0.8847891393583599</v>
      </c>
    </row>
    <row r="51" spans="1:6" ht="20.25" customHeight="1" x14ac:dyDescent="0.3">
      <c r="A51" s="235">
        <v>2</v>
      </c>
      <c r="B51" s="236" t="s">
        <v>435</v>
      </c>
      <c r="C51" s="237">
        <v>77803</v>
      </c>
      <c r="D51" s="237">
        <v>71764</v>
      </c>
      <c r="E51" s="237">
        <f t="shared" si="6"/>
        <v>-6039</v>
      </c>
      <c r="F51" s="238">
        <f t="shared" si="7"/>
        <v>-7.7619114944153828E-2</v>
      </c>
    </row>
    <row r="52" spans="1:6" ht="20.25" customHeight="1" x14ac:dyDescent="0.3">
      <c r="A52" s="235">
        <v>3</v>
      </c>
      <c r="B52" s="236" t="s">
        <v>436</v>
      </c>
      <c r="C52" s="237">
        <v>169592</v>
      </c>
      <c r="D52" s="237">
        <v>403271</v>
      </c>
      <c r="E52" s="237">
        <f t="shared" si="6"/>
        <v>233679</v>
      </c>
      <c r="F52" s="238">
        <f t="shared" si="7"/>
        <v>1.3778892872305297</v>
      </c>
    </row>
    <row r="53" spans="1:6" ht="20.25" customHeight="1" x14ac:dyDescent="0.3">
      <c r="A53" s="235">
        <v>4</v>
      </c>
      <c r="B53" s="236" t="s">
        <v>437</v>
      </c>
      <c r="C53" s="237">
        <v>35619</v>
      </c>
      <c r="D53" s="237">
        <v>27949</v>
      </c>
      <c r="E53" s="237">
        <f t="shared" si="6"/>
        <v>-7670</v>
      </c>
      <c r="F53" s="238">
        <f t="shared" si="7"/>
        <v>-0.21533451247929475</v>
      </c>
    </row>
    <row r="54" spans="1:6" ht="20.25" customHeight="1" x14ac:dyDescent="0.3">
      <c r="A54" s="235">
        <v>5</v>
      </c>
      <c r="B54" s="236" t="s">
        <v>373</v>
      </c>
      <c r="C54" s="239">
        <v>15</v>
      </c>
      <c r="D54" s="239">
        <v>22</v>
      </c>
      <c r="E54" s="239">
        <f t="shared" si="6"/>
        <v>7</v>
      </c>
      <c r="F54" s="238">
        <f t="shared" si="7"/>
        <v>0.46666666666666667</v>
      </c>
    </row>
    <row r="55" spans="1:6" ht="20.25" customHeight="1" x14ac:dyDescent="0.3">
      <c r="A55" s="235">
        <v>6</v>
      </c>
      <c r="B55" s="236" t="s">
        <v>372</v>
      </c>
      <c r="C55" s="239">
        <v>68</v>
      </c>
      <c r="D55" s="239">
        <v>119</v>
      </c>
      <c r="E55" s="239">
        <f t="shared" si="6"/>
        <v>51</v>
      </c>
      <c r="F55" s="238">
        <f t="shared" si="7"/>
        <v>0.75</v>
      </c>
    </row>
    <row r="56" spans="1:6" ht="20.25" customHeight="1" x14ac:dyDescent="0.3">
      <c r="A56" s="235">
        <v>7</v>
      </c>
      <c r="B56" s="236" t="s">
        <v>438</v>
      </c>
      <c r="C56" s="239">
        <v>65</v>
      </c>
      <c r="D56" s="239">
        <v>128</v>
      </c>
      <c r="E56" s="239">
        <f t="shared" si="6"/>
        <v>63</v>
      </c>
      <c r="F56" s="238">
        <f t="shared" si="7"/>
        <v>0.96923076923076923</v>
      </c>
    </row>
    <row r="57" spans="1:6" ht="20.25" customHeight="1" x14ac:dyDescent="0.3">
      <c r="A57" s="235">
        <v>8</v>
      </c>
      <c r="B57" s="236" t="s">
        <v>439</v>
      </c>
      <c r="C57" s="239">
        <v>66</v>
      </c>
      <c r="D57" s="239">
        <v>210</v>
      </c>
      <c r="E57" s="239">
        <f t="shared" si="6"/>
        <v>144</v>
      </c>
      <c r="F57" s="238">
        <f t="shared" si="7"/>
        <v>2.1818181818181817</v>
      </c>
    </row>
    <row r="58" spans="1:6" ht="20.25" customHeight="1" x14ac:dyDescent="0.3">
      <c r="A58" s="235">
        <v>9</v>
      </c>
      <c r="B58" s="236" t="s">
        <v>440</v>
      </c>
      <c r="C58" s="239">
        <v>14</v>
      </c>
      <c r="D58" s="239">
        <v>17</v>
      </c>
      <c r="E58" s="239">
        <f t="shared" si="6"/>
        <v>3</v>
      </c>
      <c r="F58" s="238">
        <f t="shared" si="7"/>
        <v>0.21428571428571427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431234</v>
      </c>
      <c r="D59" s="243">
        <f>+D50+D52</f>
        <v>896411</v>
      </c>
      <c r="E59" s="243">
        <f t="shared" si="6"/>
        <v>465177</v>
      </c>
      <c r="F59" s="244">
        <f t="shared" si="7"/>
        <v>1.0787113261013741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113422</v>
      </c>
      <c r="D60" s="243">
        <f>+D51+D53</f>
        <v>99713</v>
      </c>
      <c r="E60" s="243">
        <f t="shared" si="6"/>
        <v>-13709</v>
      </c>
      <c r="F60" s="244">
        <f t="shared" si="7"/>
        <v>-0.12086720389342456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2831502</v>
      </c>
      <c r="D86" s="237">
        <v>2517677</v>
      </c>
      <c r="E86" s="237">
        <f t="shared" ref="E86:E96" si="12">D86-C86</f>
        <v>-313825</v>
      </c>
      <c r="F86" s="238">
        <f t="shared" ref="F86:F96" si="13">IF(C86=0,0,E86/C86)</f>
        <v>-0.1108334022013758</v>
      </c>
    </row>
    <row r="87" spans="1:6" ht="20.25" customHeight="1" x14ac:dyDescent="0.3">
      <c r="A87" s="235">
        <v>2</v>
      </c>
      <c r="B87" s="236" t="s">
        <v>435</v>
      </c>
      <c r="C87" s="237">
        <v>731337</v>
      </c>
      <c r="D87" s="237">
        <v>698170</v>
      </c>
      <c r="E87" s="237">
        <f t="shared" si="12"/>
        <v>-33167</v>
      </c>
      <c r="F87" s="238">
        <f t="shared" si="13"/>
        <v>-4.5351185568349474E-2</v>
      </c>
    </row>
    <row r="88" spans="1:6" ht="20.25" customHeight="1" x14ac:dyDescent="0.3">
      <c r="A88" s="235">
        <v>3</v>
      </c>
      <c r="B88" s="236" t="s">
        <v>436</v>
      </c>
      <c r="C88" s="237">
        <v>4309934</v>
      </c>
      <c r="D88" s="237">
        <v>5333463</v>
      </c>
      <c r="E88" s="237">
        <f t="shared" si="12"/>
        <v>1023529</v>
      </c>
      <c r="F88" s="238">
        <f t="shared" si="13"/>
        <v>0.23748136282365345</v>
      </c>
    </row>
    <row r="89" spans="1:6" ht="20.25" customHeight="1" x14ac:dyDescent="0.3">
      <c r="A89" s="235">
        <v>4</v>
      </c>
      <c r="B89" s="236" t="s">
        <v>437</v>
      </c>
      <c r="C89" s="237">
        <v>887999</v>
      </c>
      <c r="D89" s="237">
        <v>1437884</v>
      </c>
      <c r="E89" s="237">
        <f t="shared" si="12"/>
        <v>549885</v>
      </c>
      <c r="F89" s="238">
        <f t="shared" si="13"/>
        <v>0.61924056220784029</v>
      </c>
    </row>
    <row r="90" spans="1:6" ht="20.25" customHeight="1" x14ac:dyDescent="0.3">
      <c r="A90" s="235">
        <v>5</v>
      </c>
      <c r="B90" s="236" t="s">
        <v>373</v>
      </c>
      <c r="C90" s="239">
        <v>172</v>
      </c>
      <c r="D90" s="239">
        <v>170</v>
      </c>
      <c r="E90" s="239">
        <f t="shared" si="12"/>
        <v>-2</v>
      </c>
      <c r="F90" s="238">
        <f t="shared" si="13"/>
        <v>-1.1627906976744186E-2</v>
      </c>
    </row>
    <row r="91" spans="1:6" ht="20.25" customHeight="1" x14ac:dyDescent="0.3">
      <c r="A91" s="235">
        <v>6</v>
      </c>
      <c r="B91" s="236" t="s">
        <v>372</v>
      </c>
      <c r="C91" s="239">
        <v>627</v>
      </c>
      <c r="D91" s="239">
        <v>544</v>
      </c>
      <c r="E91" s="239">
        <f t="shared" si="12"/>
        <v>-83</v>
      </c>
      <c r="F91" s="238">
        <f t="shared" si="13"/>
        <v>-0.13237639553429026</v>
      </c>
    </row>
    <row r="92" spans="1:6" ht="20.25" customHeight="1" x14ac:dyDescent="0.3">
      <c r="A92" s="235">
        <v>7</v>
      </c>
      <c r="B92" s="236" t="s">
        <v>438</v>
      </c>
      <c r="C92" s="239">
        <v>1508</v>
      </c>
      <c r="D92" s="239">
        <v>1693</v>
      </c>
      <c r="E92" s="239">
        <f t="shared" si="12"/>
        <v>185</v>
      </c>
      <c r="F92" s="238">
        <f t="shared" si="13"/>
        <v>0.1226790450928382</v>
      </c>
    </row>
    <row r="93" spans="1:6" ht="20.25" customHeight="1" x14ac:dyDescent="0.3">
      <c r="A93" s="235">
        <v>8</v>
      </c>
      <c r="B93" s="236" t="s">
        <v>439</v>
      </c>
      <c r="C93" s="239">
        <v>1662</v>
      </c>
      <c r="D93" s="239">
        <v>1801</v>
      </c>
      <c r="E93" s="239">
        <f t="shared" si="12"/>
        <v>139</v>
      </c>
      <c r="F93" s="238">
        <f t="shared" si="13"/>
        <v>8.3634175691937429E-2</v>
      </c>
    </row>
    <row r="94" spans="1:6" ht="20.25" customHeight="1" x14ac:dyDescent="0.3">
      <c r="A94" s="235">
        <v>9</v>
      </c>
      <c r="B94" s="236" t="s">
        <v>440</v>
      </c>
      <c r="C94" s="239">
        <v>51</v>
      </c>
      <c r="D94" s="239">
        <v>41</v>
      </c>
      <c r="E94" s="239">
        <f t="shared" si="12"/>
        <v>-10</v>
      </c>
      <c r="F94" s="238">
        <f t="shared" si="13"/>
        <v>-0.19607843137254902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7141436</v>
      </c>
      <c r="D95" s="243">
        <f>+D86+D88</f>
        <v>7851140</v>
      </c>
      <c r="E95" s="243">
        <f t="shared" si="12"/>
        <v>709704</v>
      </c>
      <c r="F95" s="244">
        <f t="shared" si="13"/>
        <v>9.9378332312996989E-2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1619336</v>
      </c>
      <c r="D96" s="243">
        <f>+D87+D89</f>
        <v>2136054</v>
      </c>
      <c r="E96" s="243">
        <f t="shared" si="12"/>
        <v>516718</v>
      </c>
      <c r="F96" s="244">
        <f t="shared" si="13"/>
        <v>0.31909251693286633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6727840</v>
      </c>
      <c r="D98" s="237">
        <v>7733406</v>
      </c>
      <c r="E98" s="237">
        <f t="shared" ref="E98:E108" si="14">D98-C98</f>
        <v>1005566</v>
      </c>
      <c r="F98" s="238">
        <f t="shared" ref="F98:F108" si="15">IF(C98=0,0,E98/C98)</f>
        <v>0.14946342362481865</v>
      </c>
    </row>
    <row r="99" spans="1:7" ht="20.25" customHeight="1" x14ac:dyDescent="0.3">
      <c r="A99" s="235">
        <v>2</v>
      </c>
      <c r="B99" s="236" t="s">
        <v>435</v>
      </c>
      <c r="C99" s="237">
        <v>1857871</v>
      </c>
      <c r="D99" s="237">
        <v>1839594</v>
      </c>
      <c r="E99" s="237">
        <f t="shared" si="14"/>
        <v>-18277</v>
      </c>
      <c r="F99" s="238">
        <f t="shared" si="15"/>
        <v>-9.8376044407819489E-3</v>
      </c>
    </row>
    <row r="100" spans="1:7" ht="20.25" customHeight="1" x14ac:dyDescent="0.3">
      <c r="A100" s="235">
        <v>3</v>
      </c>
      <c r="B100" s="236" t="s">
        <v>436</v>
      </c>
      <c r="C100" s="237">
        <v>12873647</v>
      </c>
      <c r="D100" s="237">
        <v>14501126</v>
      </c>
      <c r="E100" s="237">
        <f t="shared" si="14"/>
        <v>1627479</v>
      </c>
      <c r="F100" s="238">
        <f t="shared" si="15"/>
        <v>0.12641942100789311</v>
      </c>
    </row>
    <row r="101" spans="1:7" ht="20.25" customHeight="1" x14ac:dyDescent="0.3">
      <c r="A101" s="235">
        <v>4</v>
      </c>
      <c r="B101" s="236" t="s">
        <v>437</v>
      </c>
      <c r="C101" s="237">
        <v>3702440</v>
      </c>
      <c r="D101" s="237">
        <v>3571344</v>
      </c>
      <c r="E101" s="237">
        <f t="shared" si="14"/>
        <v>-131096</v>
      </c>
      <c r="F101" s="238">
        <f t="shared" si="15"/>
        <v>-3.5408001210012856E-2</v>
      </c>
    </row>
    <row r="102" spans="1:7" ht="20.25" customHeight="1" x14ac:dyDescent="0.3">
      <c r="A102" s="235">
        <v>5</v>
      </c>
      <c r="B102" s="236" t="s">
        <v>373</v>
      </c>
      <c r="C102" s="239">
        <v>492</v>
      </c>
      <c r="D102" s="239">
        <v>513</v>
      </c>
      <c r="E102" s="239">
        <f t="shared" si="14"/>
        <v>21</v>
      </c>
      <c r="F102" s="238">
        <f t="shared" si="15"/>
        <v>4.2682926829268296E-2</v>
      </c>
    </row>
    <row r="103" spans="1:7" ht="20.25" customHeight="1" x14ac:dyDescent="0.3">
      <c r="A103" s="235">
        <v>6</v>
      </c>
      <c r="B103" s="236" t="s">
        <v>372</v>
      </c>
      <c r="C103" s="239">
        <v>1667</v>
      </c>
      <c r="D103" s="239">
        <v>1732</v>
      </c>
      <c r="E103" s="239">
        <f t="shared" si="14"/>
        <v>65</v>
      </c>
      <c r="F103" s="238">
        <f t="shared" si="15"/>
        <v>3.8992201559688064E-2</v>
      </c>
    </row>
    <row r="104" spans="1:7" ht="20.25" customHeight="1" x14ac:dyDescent="0.3">
      <c r="A104" s="235">
        <v>7</v>
      </c>
      <c r="B104" s="236" t="s">
        <v>438</v>
      </c>
      <c r="C104" s="239">
        <v>4504</v>
      </c>
      <c r="D104" s="239">
        <v>4600</v>
      </c>
      <c r="E104" s="239">
        <f t="shared" si="14"/>
        <v>96</v>
      </c>
      <c r="F104" s="238">
        <f t="shared" si="15"/>
        <v>2.1314387211367674E-2</v>
      </c>
    </row>
    <row r="105" spans="1:7" ht="20.25" customHeight="1" x14ac:dyDescent="0.3">
      <c r="A105" s="235">
        <v>8</v>
      </c>
      <c r="B105" s="236" t="s">
        <v>439</v>
      </c>
      <c r="C105" s="239">
        <v>4467</v>
      </c>
      <c r="D105" s="239">
        <v>4546</v>
      </c>
      <c r="E105" s="239">
        <f t="shared" si="14"/>
        <v>79</v>
      </c>
      <c r="F105" s="238">
        <f t="shared" si="15"/>
        <v>1.7685247369599283E-2</v>
      </c>
    </row>
    <row r="106" spans="1:7" ht="20.25" customHeight="1" x14ac:dyDescent="0.3">
      <c r="A106" s="235">
        <v>9</v>
      </c>
      <c r="B106" s="236" t="s">
        <v>440</v>
      </c>
      <c r="C106" s="239">
        <v>117</v>
      </c>
      <c r="D106" s="239">
        <v>116</v>
      </c>
      <c r="E106" s="239">
        <f t="shared" si="14"/>
        <v>-1</v>
      </c>
      <c r="F106" s="238">
        <f t="shared" si="15"/>
        <v>-8.5470085470085479E-3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19601487</v>
      </c>
      <c r="D107" s="243">
        <f>+D98+D100</f>
        <v>22234532</v>
      </c>
      <c r="E107" s="243">
        <f t="shared" si="14"/>
        <v>2633045</v>
      </c>
      <c r="F107" s="244">
        <f t="shared" si="15"/>
        <v>0.13432883943957924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5560311</v>
      </c>
      <c r="D108" s="243">
        <f>+D99+D101</f>
        <v>5410938</v>
      </c>
      <c r="E108" s="243">
        <f t="shared" si="14"/>
        <v>-149373</v>
      </c>
      <c r="F108" s="244">
        <f t="shared" si="15"/>
        <v>-2.6864144829309006E-2</v>
      </c>
    </row>
    <row r="109" spans="1:7" s="240" customFormat="1" ht="20.25" customHeight="1" x14ac:dyDescent="0.3">
      <c r="A109" s="674" t="s">
        <v>44</v>
      </c>
      <c r="B109" s="676" t="s">
        <v>478</v>
      </c>
      <c r="C109" s="678"/>
      <c r="D109" s="679"/>
      <c r="E109" s="679"/>
      <c r="F109" s="680"/>
      <c r="G109" s="212"/>
    </row>
    <row r="110" spans="1:7" ht="20.25" customHeight="1" x14ac:dyDescent="0.3">
      <c r="A110" s="675"/>
      <c r="B110" s="677"/>
      <c r="C110" s="681"/>
      <c r="D110" s="682"/>
      <c r="E110" s="682"/>
      <c r="F110" s="683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16597039</v>
      </c>
      <c r="D112" s="243">
        <f t="shared" si="16"/>
        <v>18059075</v>
      </c>
      <c r="E112" s="243">
        <f t="shared" ref="E112:E122" si="17">D112-C112</f>
        <v>1462036</v>
      </c>
      <c r="F112" s="244">
        <f t="shared" ref="F112:F122" si="18">IF(C112=0,0,E112/C112)</f>
        <v>8.8090170782872776E-2</v>
      </c>
    </row>
    <row r="113" spans="1:6" ht="20.25" customHeight="1" x14ac:dyDescent="0.3">
      <c r="A113" s="249"/>
      <c r="B113" s="250" t="s">
        <v>461</v>
      </c>
      <c r="C113" s="243">
        <f t="shared" si="16"/>
        <v>4450305</v>
      </c>
      <c r="D113" s="243">
        <f t="shared" si="16"/>
        <v>4465320</v>
      </c>
      <c r="E113" s="243">
        <f t="shared" si="17"/>
        <v>15015</v>
      </c>
      <c r="F113" s="244">
        <f t="shared" si="18"/>
        <v>3.3739260567534133E-3</v>
      </c>
    </row>
    <row r="114" spans="1:6" ht="20.25" customHeight="1" x14ac:dyDescent="0.3">
      <c r="A114" s="249"/>
      <c r="B114" s="250" t="s">
        <v>462</v>
      </c>
      <c r="C114" s="243">
        <f t="shared" si="16"/>
        <v>31924463</v>
      </c>
      <c r="D114" s="243">
        <f t="shared" si="16"/>
        <v>34948400</v>
      </c>
      <c r="E114" s="243">
        <f t="shared" si="17"/>
        <v>3023937</v>
      </c>
      <c r="F114" s="244">
        <f t="shared" si="18"/>
        <v>9.4721624604930707E-2</v>
      </c>
    </row>
    <row r="115" spans="1:6" ht="20.25" customHeight="1" x14ac:dyDescent="0.3">
      <c r="A115" s="249"/>
      <c r="B115" s="250" t="s">
        <v>463</v>
      </c>
      <c r="C115" s="243">
        <f t="shared" si="16"/>
        <v>8560178</v>
      </c>
      <c r="D115" s="243">
        <f t="shared" si="16"/>
        <v>8641406</v>
      </c>
      <c r="E115" s="243">
        <f t="shared" si="17"/>
        <v>81228</v>
      </c>
      <c r="F115" s="244">
        <f t="shared" si="18"/>
        <v>9.4890550173138931E-3</v>
      </c>
    </row>
    <row r="116" spans="1:6" ht="20.25" customHeight="1" x14ac:dyDescent="0.3">
      <c r="A116" s="249"/>
      <c r="B116" s="250" t="s">
        <v>464</v>
      </c>
      <c r="C116" s="252">
        <f t="shared" si="16"/>
        <v>1121</v>
      </c>
      <c r="D116" s="252">
        <f t="shared" si="16"/>
        <v>1162</v>
      </c>
      <c r="E116" s="252">
        <f t="shared" si="17"/>
        <v>41</v>
      </c>
      <c r="F116" s="244">
        <f t="shared" si="18"/>
        <v>3.6574487065120426E-2</v>
      </c>
    </row>
    <row r="117" spans="1:6" ht="20.25" customHeight="1" x14ac:dyDescent="0.3">
      <c r="A117" s="249"/>
      <c r="B117" s="250" t="s">
        <v>465</v>
      </c>
      <c r="C117" s="252">
        <f t="shared" si="16"/>
        <v>3890</v>
      </c>
      <c r="D117" s="252">
        <f t="shared" si="16"/>
        <v>4051</v>
      </c>
      <c r="E117" s="252">
        <f t="shared" si="17"/>
        <v>161</v>
      </c>
      <c r="F117" s="244">
        <f t="shared" si="18"/>
        <v>4.138817480719794E-2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11183</v>
      </c>
      <c r="D118" s="252">
        <f t="shared" si="16"/>
        <v>11090</v>
      </c>
      <c r="E118" s="252">
        <f t="shared" si="17"/>
        <v>-93</v>
      </c>
      <c r="F118" s="244">
        <f t="shared" si="18"/>
        <v>-8.3161942233747656E-3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11386</v>
      </c>
      <c r="D119" s="252">
        <f t="shared" si="16"/>
        <v>11351</v>
      </c>
      <c r="E119" s="252">
        <f t="shared" si="17"/>
        <v>-35</v>
      </c>
      <c r="F119" s="244">
        <f t="shared" si="18"/>
        <v>-3.0739504654839277E-3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299</v>
      </c>
      <c r="D120" s="252">
        <f t="shared" si="16"/>
        <v>292</v>
      </c>
      <c r="E120" s="252">
        <f t="shared" si="17"/>
        <v>-7</v>
      </c>
      <c r="F120" s="244">
        <f t="shared" si="18"/>
        <v>-2.3411371237458192E-2</v>
      </c>
    </row>
    <row r="121" spans="1:6" ht="39.950000000000003" customHeight="1" x14ac:dyDescent="0.3">
      <c r="A121" s="249"/>
      <c r="B121" s="242" t="s">
        <v>441</v>
      </c>
      <c r="C121" s="243">
        <f>+C112+C114</f>
        <v>48521502</v>
      </c>
      <c r="D121" s="243">
        <f>+D112+D114</f>
        <v>53007475</v>
      </c>
      <c r="E121" s="243">
        <f t="shared" si="17"/>
        <v>4485973</v>
      </c>
      <c r="F121" s="244">
        <f t="shared" si="18"/>
        <v>9.2453300394534366E-2</v>
      </c>
    </row>
    <row r="122" spans="1:6" ht="39.950000000000003" customHeight="1" x14ac:dyDescent="0.3">
      <c r="A122" s="249"/>
      <c r="B122" s="242" t="s">
        <v>470</v>
      </c>
      <c r="C122" s="243">
        <f>+C113+C115</f>
        <v>13010483</v>
      </c>
      <c r="D122" s="243">
        <f>+D113+D115</f>
        <v>13106726</v>
      </c>
      <c r="E122" s="243">
        <f t="shared" si="17"/>
        <v>96243</v>
      </c>
      <c r="F122" s="244">
        <f t="shared" si="18"/>
        <v>7.3973425890491535E-3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FILING&amp;RDANBURY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44650227</v>
      </c>
      <c r="D13" s="23">
        <v>56787869</v>
      </c>
      <c r="E13" s="23">
        <f t="shared" ref="E13:E22" si="0">D13-C13</f>
        <v>12137642</v>
      </c>
      <c r="F13" s="24">
        <f t="shared" ref="F13:F22" si="1">IF(C13=0,0,E13/C13)</f>
        <v>0.27183830442788121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76702649</v>
      </c>
      <c r="D15" s="23">
        <v>74395713</v>
      </c>
      <c r="E15" s="23">
        <f t="shared" si="0"/>
        <v>-2306936</v>
      </c>
      <c r="F15" s="24">
        <f t="shared" si="1"/>
        <v>-3.0076353686298369E-2</v>
      </c>
    </row>
    <row r="16" spans="1:8" ht="35.1" customHeight="1" x14ac:dyDescent="0.2">
      <c r="A16" s="21">
        <v>4</v>
      </c>
      <c r="B16" s="22" t="s">
        <v>19</v>
      </c>
      <c r="C16" s="23">
        <v>3802296</v>
      </c>
      <c r="D16" s="23">
        <v>2780279</v>
      </c>
      <c r="E16" s="23">
        <f t="shared" si="0"/>
        <v>-1022017</v>
      </c>
      <c r="F16" s="24">
        <f t="shared" si="1"/>
        <v>-0.26878943669824756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10833964</v>
      </c>
      <c r="D19" s="23">
        <v>12213567</v>
      </c>
      <c r="E19" s="23">
        <f t="shared" si="0"/>
        <v>1379603</v>
      </c>
      <c r="F19" s="24">
        <f t="shared" si="1"/>
        <v>0.12734055605132158</v>
      </c>
    </row>
    <row r="20" spans="1:11" ht="24" customHeight="1" x14ac:dyDescent="0.2">
      <c r="A20" s="21">
        <v>8</v>
      </c>
      <c r="B20" s="22" t="s">
        <v>23</v>
      </c>
      <c r="C20" s="23">
        <v>11787082</v>
      </c>
      <c r="D20" s="23">
        <v>16364779</v>
      </c>
      <c r="E20" s="23">
        <f t="shared" si="0"/>
        <v>4577697</v>
      </c>
      <c r="F20" s="24">
        <f t="shared" si="1"/>
        <v>0.38836558530771231</v>
      </c>
    </row>
    <row r="21" spans="1:11" ht="24" customHeight="1" x14ac:dyDescent="0.2">
      <c r="A21" s="21">
        <v>9</v>
      </c>
      <c r="B21" s="22" t="s">
        <v>24</v>
      </c>
      <c r="C21" s="23">
        <v>1143377</v>
      </c>
      <c r="D21" s="23">
        <v>1768111</v>
      </c>
      <c r="E21" s="23">
        <f t="shared" si="0"/>
        <v>624734</v>
      </c>
      <c r="F21" s="24">
        <f t="shared" si="1"/>
        <v>0.54639370916154517</v>
      </c>
    </row>
    <row r="22" spans="1:11" ht="24" customHeight="1" x14ac:dyDescent="0.25">
      <c r="A22" s="25"/>
      <c r="B22" s="26" t="s">
        <v>25</v>
      </c>
      <c r="C22" s="27">
        <f>SUM(C13:C21)</f>
        <v>148919595</v>
      </c>
      <c r="D22" s="27">
        <f>SUM(D13:D21)</f>
        <v>164310318</v>
      </c>
      <c r="E22" s="27">
        <f t="shared" si="0"/>
        <v>15390723</v>
      </c>
      <c r="F22" s="28">
        <f t="shared" si="1"/>
        <v>0.10334921337920641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6901020</v>
      </c>
      <c r="D25" s="23">
        <v>6439298</v>
      </c>
      <c r="E25" s="23">
        <f>D25-C25</f>
        <v>-461722</v>
      </c>
      <c r="F25" s="24">
        <f>IF(C25=0,0,E25/C25)</f>
        <v>-6.6906341381418974E-2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68042366</v>
      </c>
      <c r="D28" s="23">
        <v>182369612</v>
      </c>
      <c r="E28" s="23">
        <f>D28-C28</f>
        <v>114327246</v>
      </c>
      <c r="F28" s="24">
        <f>IF(C28=0,0,E28/C28)</f>
        <v>1.6802361928449108</v>
      </c>
    </row>
    <row r="29" spans="1:11" ht="35.1" customHeight="1" x14ac:dyDescent="0.25">
      <c r="A29" s="25"/>
      <c r="B29" s="26" t="s">
        <v>32</v>
      </c>
      <c r="C29" s="27">
        <f>SUM(C25:C28)</f>
        <v>74943386</v>
      </c>
      <c r="D29" s="27">
        <f>SUM(D25:D28)</f>
        <v>188808910</v>
      </c>
      <c r="E29" s="27">
        <f>D29-C29</f>
        <v>113865524</v>
      </c>
      <c r="F29" s="28">
        <f>IF(C29=0,0,E29/C29)</f>
        <v>1.5193538760044816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234672059</v>
      </c>
      <c r="D32" s="23">
        <v>210629807</v>
      </c>
      <c r="E32" s="23">
        <f>D32-C32</f>
        <v>-24042252</v>
      </c>
      <c r="F32" s="24">
        <f>IF(C32=0,0,E32/C32)</f>
        <v>-0.10245042423222613</v>
      </c>
    </row>
    <row r="33" spans="1:8" ht="24" customHeight="1" x14ac:dyDescent="0.2">
      <c r="A33" s="21">
        <v>7</v>
      </c>
      <c r="B33" s="22" t="s">
        <v>35</v>
      </c>
      <c r="C33" s="23">
        <v>17853747</v>
      </c>
      <c r="D33" s="23">
        <v>25794210</v>
      </c>
      <c r="E33" s="23">
        <f>D33-C33</f>
        <v>7940463</v>
      </c>
      <c r="F33" s="24">
        <f>IF(C33=0,0,E33/C33)</f>
        <v>0.44475050531409455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568174918</v>
      </c>
      <c r="D36" s="23">
        <v>627841143</v>
      </c>
      <c r="E36" s="23">
        <f>D36-C36</f>
        <v>59666225</v>
      </c>
      <c r="F36" s="24">
        <f>IF(C36=0,0,E36/C36)</f>
        <v>0.10501383132157199</v>
      </c>
    </row>
    <row r="37" spans="1:8" ht="24" customHeight="1" x14ac:dyDescent="0.2">
      <c r="A37" s="21">
        <v>2</v>
      </c>
      <c r="B37" s="22" t="s">
        <v>39</v>
      </c>
      <c r="C37" s="23">
        <v>358628526</v>
      </c>
      <c r="D37" s="23">
        <v>388704091</v>
      </c>
      <c r="E37" s="23">
        <f>D37-C37</f>
        <v>30075565</v>
      </c>
      <c r="F37" s="23">
        <f>IF(C37=0,0,E37/C37)</f>
        <v>8.386272373659423E-2</v>
      </c>
    </row>
    <row r="38" spans="1:8" ht="24" customHeight="1" x14ac:dyDescent="0.25">
      <c r="A38" s="25"/>
      <c r="B38" s="26" t="s">
        <v>40</v>
      </c>
      <c r="C38" s="27">
        <f>C36-C37</f>
        <v>209546392</v>
      </c>
      <c r="D38" s="27">
        <f>D36-D37</f>
        <v>239137052</v>
      </c>
      <c r="E38" s="27">
        <f>D38-C38</f>
        <v>29590660</v>
      </c>
      <c r="F38" s="28">
        <f>IF(C38=0,0,E38/C38)</f>
        <v>0.14121293007039701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21879446</v>
      </c>
      <c r="D40" s="23">
        <v>27578848</v>
      </c>
      <c r="E40" s="23">
        <f>D40-C40</f>
        <v>5699402</v>
      </c>
      <c r="F40" s="24">
        <f>IF(C40=0,0,E40/C40)</f>
        <v>0.26049114771918813</v>
      </c>
    </row>
    <row r="41" spans="1:8" ht="24" customHeight="1" x14ac:dyDescent="0.25">
      <c r="A41" s="25"/>
      <c r="B41" s="26" t="s">
        <v>42</v>
      </c>
      <c r="C41" s="27">
        <f>+C38+C40</f>
        <v>231425838</v>
      </c>
      <c r="D41" s="27">
        <f>+D38+D40</f>
        <v>266715900</v>
      </c>
      <c r="E41" s="27">
        <f>D41-C41</f>
        <v>35290062</v>
      </c>
      <c r="F41" s="28">
        <f>IF(C41=0,0,E41/C41)</f>
        <v>0.15248972329528737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707814625</v>
      </c>
      <c r="D43" s="27">
        <f>D22+D29+D31+D32+D33+D41</f>
        <v>856259145</v>
      </c>
      <c r="E43" s="27">
        <f>D43-C43</f>
        <v>148444520</v>
      </c>
      <c r="F43" s="28">
        <f>IF(C43=0,0,E43/C43)</f>
        <v>0.20972231253345464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38370678</v>
      </c>
      <c r="D49" s="23">
        <v>41087673</v>
      </c>
      <c r="E49" s="23">
        <f t="shared" ref="E49:E56" si="2">D49-C49</f>
        <v>2716995</v>
      </c>
      <c r="F49" s="24">
        <f t="shared" ref="F49:F56" si="3">IF(C49=0,0,E49/C49)</f>
        <v>7.080914754751011E-2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24800451</v>
      </c>
      <c r="D50" s="23">
        <v>28131050</v>
      </c>
      <c r="E50" s="23">
        <f t="shared" si="2"/>
        <v>3330599</v>
      </c>
      <c r="F50" s="24">
        <f t="shared" si="3"/>
        <v>0.13429590453818763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14882325</v>
      </c>
      <c r="D51" s="23">
        <v>15337343</v>
      </c>
      <c r="E51" s="23">
        <f t="shared" si="2"/>
        <v>455018</v>
      </c>
      <c r="F51" s="24">
        <f t="shared" si="3"/>
        <v>3.0574389418320053E-2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6455637</v>
      </c>
      <c r="D53" s="23">
        <v>3024773</v>
      </c>
      <c r="E53" s="23">
        <f t="shared" si="2"/>
        <v>-3430864</v>
      </c>
      <c r="F53" s="24">
        <f t="shared" si="3"/>
        <v>-0.5314524345157573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30870000</v>
      </c>
      <c r="D55" s="23">
        <v>0</v>
      </c>
      <c r="E55" s="23">
        <f t="shared" si="2"/>
        <v>-30870000</v>
      </c>
      <c r="F55" s="24">
        <f t="shared" si="3"/>
        <v>-1</v>
      </c>
    </row>
    <row r="56" spans="1:6" ht="24" customHeight="1" x14ac:dyDescent="0.25">
      <c r="A56" s="25"/>
      <c r="B56" s="26" t="s">
        <v>54</v>
      </c>
      <c r="C56" s="27">
        <f>SUM(C49:C55)</f>
        <v>115379091</v>
      </c>
      <c r="D56" s="27">
        <f>SUM(D49:D55)</f>
        <v>87580839</v>
      </c>
      <c r="E56" s="27">
        <f t="shared" si="2"/>
        <v>-27798252</v>
      </c>
      <c r="F56" s="28">
        <f t="shared" si="3"/>
        <v>-0.24092971923309744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92471763</v>
      </c>
      <c r="D60" s="23">
        <v>253514718</v>
      </c>
      <c r="E60" s="23">
        <f>D60-C60</f>
        <v>161042955</v>
      </c>
      <c r="F60" s="24">
        <f>IF(C60=0,0,E60/C60)</f>
        <v>1.7415365488381571</v>
      </c>
    </row>
    <row r="61" spans="1:6" ht="24" customHeight="1" x14ac:dyDescent="0.25">
      <c r="A61" s="25"/>
      <c r="B61" s="26" t="s">
        <v>58</v>
      </c>
      <c r="C61" s="27">
        <f>SUM(C59:C60)</f>
        <v>92471763</v>
      </c>
      <c r="D61" s="27">
        <f>SUM(D59:D60)</f>
        <v>253514718</v>
      </c>
      <c r="E61" s="27">
        <f>D61-C61</f>
        <v>161042955</v>
      </c>
      <c r="F61" s="28">
        <f>IF(C61=0,0,E61/C61)</f>
        <v>1.7415365488381571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189583107</v>
      </c>
      <c r="D64" s="23">
        <v>166759146</v>
      </c>
      <c r="E64" s="23">
        <f>D64-C64</f>
        <v>-22823961</v>
      </c>
      <c r="F64" s="24">
        <f>IF(C64=0,0,E64/C64)</f>
        <v>-0.12039026768350199</v>
      </c>
    </row>
    <row r="65" spans="1:6" ht="24" customHeight="1" x14ac:dyDescent="0.25">
      <c r="A65" s="25"/>
      <c r="B65" s="26" t="s">
        <v>61</v>
      </c>
      <c r="C65" s="27">
        <f>SUM(C61:C64)</f>
        <v>282054870</v>
      </c>
      <c r="D65" s="27">
        <f>SUM(D61:D64)</f>
        <v>420273864</v>
      </c>
      <c r="E65" s="27">
        <f>D65-C65</f>
        <v>138218994</v>
      </c>
      <c r="F65" s="28">
        <f>IF(C65=0,0,E65/C65)</f>
        <v>0.49004292675393268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244887741</v>
      </c>
      <c r="D70" s="23">
        <v>286369831</v>
      </c>
      <c r="E70" s="23">
        <f>D70-C70</f>
        <v>41482090</v>
      </c>
      <c r="F70" s="24">
        <f>IF(C70=0,0,E70/C70)</f>
        <v>0.16939226859869641</v>
      </c>
    </row>
    <row r="71" spans="1:6" ht="24" customHeight="1" x14ac:dyDescent="0.2">
      <c r="A71" s="21">
        <v>2</v>
      </c>
      <c r="B71" s="22" t="s">
        <v>65</v>
      </c>
      <c r="C71" s="23">
        <v>33595748</v>
      </c>
      <c r="D71" s="23">
        <v>30149404</v>
      </c>
      <c r="E71" s="23">
        <f>D71-C71</f>
        <v>-3446344</v>
      </c>
      <c r="F71" s="24">
        <f>IF(C71=0,0,E71/C71)</f>
        <v>-0.10258274350670805</v>
      </c>
    </row>
    <row r="72" spans="1:6" ht="24" customHeight="1" x14ac:dyDescent="0.2">
      <c r="A72" s="21">
        <v>3</v>
      </c>
      <c r="B72" s="22" t="s">
        <v>66</v>
      </c>
      <c r="C72" s="23">
        <v>31897175</v>
      </c>
      <c r="D72" s="23">
        <v>31885207</v>
      </c>
      <c r="E72" s="23">
        <f>D72-C72</f>
        <v>-11968</v>
      </c>
      <c r="F72" s="24">
        <f>IF(C72=0,0,E72/C72)</f>
        <v>-3.7520564125192904E-4</v>
      </c>
    </row>
    <row r="73" spans="1:6" ht="24" customHeight="1" x14ac:dyDescent="0.25">
      <c r="A73" s="21"/>
      <c r="B73" s="26" t="s">
        <v>67</v>
      </c>
      <c r="C73" s="27">
        <f>SUM(C70:C72)</f>
        <v>310380664</v>
      </c>
      <c r="D73" s="27">
        <f>SUM(D70:D72)</f>
        <v>348404442</v>
      </c>
      <c r="E73" s="27">
        <f>D73-C73</f>
        <v>38023778</v>
      </c>
      <c r="F73" s="28">
        <f>IF(C73=0,0,E73/C73)</f>
        <v>0.12250691621692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707814625</v>
      </c>
      <c r="D75" s="27">
        <f>D56+D65+D67+D73</f>
        <v>856259145</v>
      </c>
      <c r="E75" s="27">
        <f>D75-C75</f>
        <v>148444520</v>
      </c>
      <c r="F75" s="28">
        <f>IF(C75=0,0,E75/C75)</f>
        <v>0.20972231253345464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FILING&amp;RWESTERN CONNECTICUT HEALTH NETWORK , INC.(FORMERLY WESTERN CONNECTICUT HEALTHCARE,INC.)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1553240039</v>
      </c>
      <c r="D12" s="51">
        <v>1620897693</v>
      </c>
      <c r="E12" s="51">
        <f t="shared" ref="E12:E19" si="0">D12-C12</f>
        <v>67657654</v>
      </c>
      <c r="F12" s="70">
        <f t="shared" ref="F12:F19" si="1">IF(C12=0,0,E12/C12)</f>
        <v>4.3559045801806043E-2</v>
      </c>
    </row>
    <row r="13" spans="1:8" ht="23.1" customHeight="1" x14ac:dyDescent="0.2">
      <c r="A13" s="25">
        <v>2</v>
      </c>
      <c r="B13" s="48" t="s">
        <v>72</v>
      </c>
      <c r="C13" s="51">
        <v>834830614</v>
      </c>
      <c r="D13" s="51">
        <v>884704840</v>
      </c>
      <c r="E13" s="51">
        <f t="shared" si="0"/>
        <v>49874226</v>
      </c>
      <c r="F13" s="70">
        <f t="shared" si="1"/>
        <v>5.9741731033356664E-2</v>
      </c>
    </row>
    <row r="14" spans="1:8" ht="23.1" customHeight="1" x14ac:dyDescent="0.2">
      <c r="A14" s="25">
        <v>3</v>
      </c>
      <c r="B14" s="48" t="s">
        <v>73</v>
      </c>
      <c r="C14" s="51">
        <v>16342281</v>
      </c>
      <c r="D14" s="51">
        <v>15667675</v>
      </c>
      <c r="E14" s="51">
        <f t="shared" si="0"/>
        <v>-674606</v>
      </c>
      <c r="F14" s="70">
        <f t="shared" si="1"/>
        <v>-4.127979441792734E-2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702067144</v>
      </c>
      <c r="D16" s="27">
        <f>D12-D13-D14-D15</f>
        <v>720525178</v>
      </c>
      <c r="E16" s="27">
        <f t="shared" si="0"/>
        <v>18458034</v>
      </c>
      <c r="F16" s="28">
        <f t="shared" si="1"/>
        <v>2.629098108029394E-2</v>
      </c>
    </row>
    <row r="17" spans="1:7" ht="23.1" customHeight="1" x14ac:dyDescent="0.2">
      <c r="A17" s="25">
        <v>5</v>
      </c>
      <c r="B17" s="48" t="s">
        <v>76</v>
      </c>
      <c r="C17" s="51">
        <v>12102843</v>
      </c>
      <c r="D17" s="51">
        <v>14009110</v>
      </c>
      <c r="E17" s="51">
        <f t="shared" si="0"/>
        <v>1906267</v>
      </c>
      <c r="F17" s="70">
        <f t="shared" si="1"/>
        <v>0.1575057199370429</v>
      </c>
      <c r="G17" s="64"/>
    </row>
    <row r="18" spans="1:7" ht="33" customHeight="1" x14ac:dyDescent="0.2">
      <c r="A18" s="25">
        <v>6</v>
      </c>
      <c r="B18" s="45" t="s">
        <v>77</v>
      </c>
      <c r="C18" s="51">
        <v>2790050</v>
      </c>
      <c r="D18" s="51">
        <v>3167079</v>
      </c>
      <c r="E18" s="51">
        <f t="shared" si="0"/>
        <v>377029</v>
      </c>
      <c r="F18" s="70">
        <f t="shared" si="1"/>
        <v>0.13513342054801886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716960037</v>
      </c>
      <c r="D19" s="27">
        <f>SUM(D16:D18)</f>
        <v>737701367</v>
      </c>
      <c r="E19" s="27">
        <f t="shared" si="0"/>
        <v>20741330</v>
      </c>
      <c r="F19" s="28">
        <f t="shared" si="1"/>
        <v>2.8929548272716349E-2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331520495</v>
      </c>
      <c r="D22" s="51">
        <v>350055265</v>
      </c>
      <c r="E22" s="51">
        <f t="shared" ref="E22:E31" si="2">D22-C22</f>
        <v>18534770</v>
      </c>
      <c r="F22" s="70">
        <f t="shared" ref="F22:F31" si="3">IF(C22=0,0,E22/C22)</f>
        <v>5.5908368500716676E-2</v>
      </c>
    </row>
    <row r="23" spans="1:7" ht="23.1" customHeight="1" x14ac:dyDescent="0.2">
      <c r="A23" s="25">
        <v>2</v>
      </c>
      <c r="B23" s="48" t="s">
        <v>81</v>
      </c>
      <c r="C23" s="51">
        <v>97866909</v>
      </c>
      <c r="D23" s="51">
        <v>102484957</v>
      </c>
      <c r="E23" s="51">
        <f t="shared" si="2"/>
        <v>4618048</v>
      </c>
      <c r="F23" s="70">
        <f t="shared" si="3"/>
        <v>4.7187022122053536E-2</v>
      </c>
    </row>
    <row r="24" spans="1:7" ht="23.1" customHeight="1" x14ac:dyDescent="0.2">
      <c r="A24" s="25">
        <v>3</v>
      </c>
      <c r="B24" s="48" t="s">
        <v>82</v>
      </c>
      <c r="C24" s="51">
        <v>7112259</v>
      </c>
      <c r="D24" s="51">
        <v>6168576</v>
      </c>
      <c r="E24" s="51">
        <f t="shared" si="2"/>
        <v>-943683</v>
      </c>
      <c r="F24" s="70">
        <f t="shared" si="3"/>
        <v>-0.13268400377432824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194663965</v>
      </c>
      <c r="D25" s="51">
        <v>200275229</v>
      </c>
      <c r="E25" s="51">
        <f t="shared" si="2"/>
        <v>5611264</v>
      </c>
      <c r="F25" s="70">
        <f t="shared" si="3"/>
        <v>2.8825386352322579E-2</v>
      </c>
    </row>
    <row r="26" spans="1:7" ht="23.1" customHeight="1" x14ac:dyDescent="0.2">
      <c r="A26" s="25">
        <v>5</v>
      </c>
      <c r="B26" s="48" t="s">
        <v>84</v>
      </c>
      <c r="C26" s="51">
        <v>34179238</v>
      </c>
      <c r="D26" s="51">
        <v>36236656</v>
      </c>
      <c r="E26" s="51">
        <f t="shared" si="2"/>
        <v>2057418</v>
      </c>
      <c r="F26" s="70">
        <f t="shared" si="3"/>
        <v>6.0194963971987904E-2</v>
      </c>
    </row>
    <row r="27" spans="1:7" ht="23.1" customHeight="1" x14ac:dyDescent="0.2">
      <c r="A27" s="25">
        <v>6</v>
      </c>
      <c r="B27" s="48" t="s">
        <v>85</v>
      </c>
      <c r="C27" s="51">
        <v>19660897</v>
      </c>
      <c r="D27" s="51">
        <v>26465527</v>
      </c>
      <c r="E27" s="51">
        <f t="shared" si="2"/>
        <v>6804630</v>
      </c>
      <c r="F27" s="70">
        <f t="shared" si="3"/>
        <v>0.34609967185118767</v>
      </c>
    </row>
    <row r="28" spans="1:7" ht="23.1" customHeight="1" x14ac:dyDescent="0.2">
      <c r="A28" s="25">
        <v>7</v>
      </c>
      <c r="B28" s="48" t="s">
        <v>86</v>
      </c>
      <c r="C28" s="51">
        <v>5539104</v>
      </c>
      <c r="D28" s="51">
        <v>5333933</v>
      </c>
      <c r="E28" s="51">
        <f t="shared" si="2"/>
        <v>-205171</v>
      </c>
      <c r="F28" s="70">
        <f t="shared" si="3"/>
        <v>-3.7040467194694303E-2</v>
      </c>
    </row>
    <row r="29" spans="1:7" ht="23.1" customHeight="1" x14ac:dyDescent="0.2">
      <c r="A29" s="25">
        <v>8</v>
      </c>
      <c r="B29" s="48" t="s">
        <v>87</v>
      </c>
      <c r="C29" s="51">
        <v>9434195</v>
      </c>
      <c r="D29" s="51">
        <v>8742635</v>
      </c>
      <c r="E29" s="51">
        <f t="shared" si="2"/>
        <v>-691560</v>
      </c>
      <c r="F29" s="70">
        <f t="shared" si="3"/>
        <v>-7.3303551601381994E-2</v>
      </c>
    </row>
    <row r="30" spans="1:7" ht="23.1" customHeight="1" x14ac:dyDescent="0.2">
      <c r="A30" s="25">
        <v>9</v>
      </c>
      <c r="B30" s="48" t="s">
        <v>88</v>
      </c>
      <c r="C30" s="51">
        <v>1000</v>
      </c>
      <c r="D30" s="51">
        <v>10338542</v>
      </c>
      <c r="E30" s="51">
        <f t="shared" si="2"/>
        <v>10337542</v>
      </c>
      <c r="F30" s="70">
        <f t="shared" si="3"/>
        <v>10337.541999999999</v>
      </c>
    </row>
    <row r="31" spans="1:7" ht="23.1" customHeight="1" x14ac:dyDescent="0.25">
      <c r="A31" s="29"/>
      <c r="B31" s="71" t="s">
        <v>89</v>
      </c>
      <c r="C31" s="27">
        <f>SUM(C22:C30)</f>
        <v>699978062</v>
      </c>
      <c r="D31" s="27">
        <f>SUM(D22:D30)</f>
        <v>746101320</v>
      </c>
      <c r="E31" s="27">
        <f t="shared" si="2"/>
        <v>46123258</v>
      </c>
      <c r="F31" s="28">
        <f t="shared" si="3"/>
        <v>6.5892433640298856E-2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16981975</v>
      </c>
      <c r="D33" s="27">
        <f>+D19-D31</f>
        <v>-8399953</v>
      </c>
      <c r="E33" s="27">
        <f>D33-C33</f>
        <v>-25381928</v>
      </c>
      <c r="F33" s="28">
        <f>IF(C33=0,0,E33/C33)</f>
        <v>-1.4946393455413756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7650146</v>
      </c>
      <c r="D36" s="51">
        <v>9355429</v>
      </c>
      <c r="E36" s="51">
        <f>D36-C36</f>
        <v>1705283</v>
      </c>
      <c r="F36" s="70">
        <f>IF(C36=0,0,E36/C36)</f>
        <v>0.2229085562550048</v>
      </c>
    </row>
    <row r="37" spans="1:6" ht="23.1" customHeight="1" x14ac:dyDescent="0.2">
      <c r="A37" s="44">
        <v>2</v>
      </c>
      <c r="B37" s="48" t="s">
        <v>93</v>
      </c>
      <c r="C37" s="51">
        <v>3404377</v>
      </c>
      <c r="D37" s="51">
        <v>3166972</v>
      </c>
      <c r="E37" s="51">
        <f>D37-C37</f>
        <v>-237405</v>
      </c>
      <c r="F37" s="70">
        <f>IF(C37=0,0,E37/C37)</f>
        <v>-6.9735226151510246E-2</v>
      </c>
    </row>
    <row r="38" spans="1:6" ht="23.1" customHeight="1" x14ac:dyDescent="0.2">
      <c r="A38" s="44">
        <v>3</v>
      </c>
      <c r="B38" s="48" t="s">
        <v>94</v>
      </c>
      <c r="C38" s="51">
        <v>10722195</v>
      </c>
      <c r="D38" s="51">
        <v>-6929617</v>
      </c>
      <c r="E38" s="51">
        <f>D38-C38</f>
        <v>-17651812</v>
      </c>
      <c r="F38" s="70">
        <f>IF(C38=0,0,E38/C38)</f>
        <v>-1.6462871641487586</v>
      </c>
    </row>
    <row r="39" spans="1:6" ht="23.1" customHeight="1" x14ac:dyDescent="0.25">
      <c r="A39" s="20"/>
      <c r="B39" s="71" t="s">
        <v>95</v>
      </c>
      <c r="C39" s="27">
        <f>SUM(C36:C38)</f>
        <v>21776718</v>
      </c>
      <c r="D39" s="27">
        <f>SUM(D36:D38)</f>
        <v>5592784</v>
      </c>
      <c r="E39" s="27">
        <f>D39-C39</f>
        <v>-16183934</v>
      </c>
      <c r="F39" s="28">
        <f>IF(C39=0,0,E39/C39)</f>
        <v>-0.74317599190107531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38758693</v>
      </c>
      <c r="D41" s="27">
        <f>D33+D39</f>
        <v>-2807169</v>
      </c>
      <c r="E41" s="27">
        <f>D41-C41</f>
        <v>-41565862</v>
      </c>
      <c r="F41" s="28">
        <f>IF(C41=0,0,E41/C41)</f>
        <v>-1.0724268230613452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38758693</v>
      </c>
      <c r="D48" s="27">
        <f>D41+D46</f>
        <v>-2807169</v>
      </c>
      <c r="E48" s="27">
        <f>D48-C48</f>
        <v>-41565862</v>
      </c>
      <c r="F48" s="28">
        <f>IF(C48=0,0,E48/C48)</f>
        <v>-1.0724268230613452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FILING&amp;R&amp;8WESTERN CONNECTICUT HEALTH NETWORK , INC.(FORMERLY WESTERN CONNECTICUT HEALTHCARE,INC.)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Fiducia, Paolo</cp:lastModifiedBy>
  <cp:lastPrinted>2012-06-26T18:42:53Z</cp:lastPrinted>
  <dcterms:created xsi:type="dcterms:W3CDTF">2006-08-03T13:49:12Z</dcterms:created>
  <dcterms:modified xsi:type="dcterms:W3CDTF">2012-06-26T18:43:51Z</dcterms:modified>
</cp:coreProperties>
</file>