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C98" i="22" s="1"/>
  <c r="E96" i="22"/>
  <c r="E98" i="22"/>
  <c r="D96" i="22"/>
  <c r="D98" i="22" s="1"/>
  <c r="C96" i="22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 s="1"/>
  <c r="D86" i="22"/>
  <c r="D88" i="22"/>
  <c r="C86" i="22"/>
  <c r="C88" i="22"/>
  <c r="E83" i="22"/>
  <c r="D83" i="22"/>
  <c r="C83" i="22"/>
  <c r="E76" i="22"/>
  <c r="D76" i="22"/>
  <c r="C76" i="22"/>
  <c r="E75" i="22"/>
  <c r="E101" i="22" s="1"/>
  <c r="E103" i="22" s="1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E21" i="21"/>
  <c r="C21" i="21"/>
  <c r="D19" i="21"/>
  <c r="E19" i="21"/>
  <c r="F19" i="21" s="1"/>
  <c r="C19" i="21"/>
  <c r="F17" i="21"/>
  <c r="E17" i="21"/>
  <c r="F15" i="21"/>
  <c r="E15" i="21"/>
  <c r="D45" i="20"/>
  <c r="E45" i="20"/>
  <c r="F45" i="20" s="1"/>
  <c r="C45" i="20"/>
  <c r="D44" i="20"/>
  <c r="E44" i="20" s="1"/>
  <c r="F44" i="20"/>
  <c r="C44" i="20"/>
  <c r="D43" i="20"/>
  <c r="C43" i="20"/>
  <c r="C46" i="20" s="1"/>
  <c r="D36" i="20"/>
  <c r="D40" i="20" s="1"/>
  <c r="D41" i="20" s="1"/>
  <c r="E40" i="20"/>
  <c r="F40" i="20" s="1"/>
  <c r="C36" i="20"/>
  <c r="C40" i="20"/>
  <c r="F35" i="20"/>
  <c r="E35" i="20"/>
  <c r="E34" i="20"/>
  <c r="F34" i="20" s="1"/>
  <c r="E33" i="20"/>
  <c r="F30" i="20"/>
  <c r="E30" i="20"/>
  <c r="E29" i="20"/>
  <c r="F29" i="20" s="1"/>
  <c r="E28" i="20"/>
  <c r="F28" i="20" s="1"/>
  <c r="E27" i="20"/>
  <c r="F27" i="20" s="1"/>
  <c r="D25" i="20"/>
  <c r="D39" i="20" s="1"/>
  <c r="C25" i="20"/>
  <c r="C39" i="20"/>
  <c r="E24" i="20"/>
  <c r="F24" i="20" s="1"/>
  <c r="E23" i="20"/>
  <c r="F23" i="20" s="1"/>
  <c r="F22" i="20"/>
  <c r="E22" i="20"/>
  <c r="D19" i="20"/>
  <c r="D20" i="20"/>
  <c r="C19" i="20"/>
  <c r="C20" i="20"/>
  <c r="F18" i="20"/>
  <c r="E18" i="20"/>
  <c r="D16" i="20"/>
  <c r="E16" i="20" s="1"/>
  <c r="F16" i="20"/>
  <c r="C16" i="20"/>
  <c r="E15" i="20"/>
  <c r="F15" i="20" s="1"/>
  <c r="F13" i="20"/>
  <c r="E13" i="20"/>
  <c r="F12" i="20"/>
  <c r="E12" i="20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/>
  <c r="C63" i="19"/>
  <c r="C60" i="19"/>
  <c r="C59" i="19"/>
  <c r="C48" i="19"/>
  <c r="C36" i="19"/>
  <c r="C32" i="19"/>
  <c r="C33" i="19" s="1"/>
  <c r="C21" i="19"/>
  <c r="E328" i="18"/>
  <c r="E325" i="18"/>
  <c r="D324" i="18"/>
  <c r="C324" i="18"/>
  <c r="C326" i="18" s="1"/>
  <c r="C330" i="18"/>
  <c r="E318" i="18"/>
  <c r="E315" i="18"/>
  <c r="D314" i="18"/>
  <c r="D316" i="18"/>
  <c r="C314" i="18"/>
  <c r="C316" i="18"/>
  <c r="C320" i="18" s="1"/>
  <c r="E308" i="18"/>
  <c r="E305" i="18"/>
  <c r="D301" i="18"/>
  <c r="C301" i="18"/>
  <c r="D293" i="18"/>
  <c r="E293" i="18"/>
  <c r="C293" i="18"/>
  <c r="D292" i="18"/>
  <c r="E292" i="18" s="1"/>
  <c r="C292" i="18"/>
  <c r="D291" i="18"/>
  <c r="E291" i="18"/>
  <c r="C291" i="18"/>
  <c r="D290" i="18"/>
  <c r="C290" i="18"/>
  <c r="E290" i="18"/>
  <c r="D288" i="18"/>
  <c r="E288" i="18" s="1"/>
  <c r="C288" i="18"/>
  <c r="D287" i="18"/>
  <c r="C287" i="18"/>
  <c r="D282" i="18"/>
  <c r="C282" i="18"/>
  <c r="E282" i="18"/>
  <c r="D281" i="18"/>
  <c r="C281" i="18"/>
  <c r="D280" i="18"/>
  <c r="C280" i="18"/>
  <c r="E280" i="18" s="1"/>
  <c r="D279" i="18"/>
  <c r="E279" i="18"/>
  <c r="C279" i="18"/>
  <c r="D278" i="18"/>
  <c r="C278" i="18"/>
  <c r="D277" i="18"/>
  <c r="E277" i="18" s="1"/>
  <c r="C277" i="18"/>
  <c r="D276" i="18"/>
  <c r="E276" i="18" s="1"/>
  <c r="C276" i="18"/>
  <c r="E270" i="18"/>
  <c r="D265" i="18"/>
  <c r="D302" i="18"/>
  <c r="C265" i="18"/>
  <c r="C302" i="18"/>
  <c r="D262" i="18"/>
  <c r="E262" i="18" s="1"/>
  <c r="C262" i="18"/>
  <c r="D251" i="18"/>
  <c r="E251" i="18" s="1"/>
  <c r="C251" i="18"/>
  <c r="D233" i="18"/>
  <c r="C233" i="18"/>
  <c r="E233" i="18" s="1"/>
  <c r="D232" i="18"/>
  <c r="E232" i="18" s="1"/>
  <c r="C232" i="18"/>
  <c r="D231" i="18"/>
  <c r="C231" i="18"/>
  <c r="E231" i="18"/>
  <c r="D230" i="18"/>
  <c r="C230" i="18"/>
  <c r="E230" i="18" s="1"/>
  <c r="D228" i="18"/>
  <c r="E228" i="18" s="1"/>
  <c r="C228" i="18"/>
  <c r="D227" i="18"/>
  <c r="E227" i="18" s="1"/>
  <c r="C227" i="18"/>
  <c r="D221" i="18"/>
  <c r="C221" i="18"/>
  <c r="C245" i="18" s="1"/>
  <c r="D220" i="18"/>
  <c r="C220" i="18"/>
  <c r="C244" i="18"/>
  <c r="D219" i="18"/>
  <c r="D217" i="18" s="1"/>
  <c r="C219" i="18"/>
  <c r="C243" i="18"/>
  <c r="D218" i="18"/>
  <c r="D242" i="18"/>
  <c r="E242" i="18" s="1"/>
  <c r="C218" i="18"/>
  <c r="D216" i="18"/>
  <c r="D240" i="18"/>
  <c r="E240" i="18" s="1"/>
  <c r="C216" i="18"/>
  <c r="D215" i="18"/>
  <c r="C215" i="18"/>
  <c r="C239" i="18" s="1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 s="1"/>
  <c r="C179" i="18"/>
  <c r="D178" i="18"/>
  <c r="E178" i="18" s="1"/>
  <c r="C178" i="18"/>
  <c r="D177" i="18"/>
  <c r="C177" i="18"/>
  <c r="D176" i="18"/>
  <c r="E176" i="18" s="1"/>
  <c r="C176" i="18"/>
  <c r="D174" i="18"/>
  <c r="C174" i="18"/>
  <c r="E174" i="18"/>
  <c r="D173" i="18"/>
  <c r="C173" i="18"/>
  <c r="E173" i="18" s="1"/>
  <c r="D167" i="18"/>
  <c r="C167" i="18"/>
  <c r="E167" i="18"/>
  <c r="D166" i="18"/>
  <c r="E166" i="18"/>
  <c r="C166" i="18"/>
  <c r="D165" i="18"/>
  <c r="C165" i="18"/>
  <c r="D164" i="18"/>
  <c r="E164" i="18"/>
  <c r="C164" i="18"/>
  <c r="D162" i="18"/>
  <c r="C162" i="18"/>
  <c r="D161" i="18"/>
  <c r="E161" i="18" s="1"/>
  <c r="C161" i="18"/>
  <c r="E155" i="18"/>
  <c r="E154" i="18"/>
  <c r="E153" i="18"/>
  <c r="E152" i="18"/>
  <c r="D151" i="18"/>
  <c r="D156" i="18" s="1"/>
  <c r="D157" i="18" s="1"/>
  <c r="C151" i="18"/>
  <c r="E150" i="18"/>
  <c r="E149" i="18"/>
  <c r="E143" i="18"/>
  <c r="E142" i="18"/>
  <c r="E141" i="18"/>
  <c r="E140" i="18"/>
  <c r="D139" i="18"/>
  <c r="D144" i="18" s="1"/>
  <c r="D175" i="18"/>
  <c r="C139" i="18"/>
  <c r="E138" i="18"/>
  <c r="E137" i="18"/>
  <c r="D75" i="18"/>
  <c r="C75" i="18"/>
  <c r="D74" i="18"/>
  <c r="C74" i="18"/>
  <c r="E74" i="18"/>
  <c r="D73" i="18"/>
  <c r="C73" i="18"/>
  <c r="D72" i="18"/>
  <c r="C72" i="18"/>
  <c r="D70" i="18"/>
  <c r="C70" i="18"/>
  <c r="D69" i="18"/>
  <c r="C69" i="18"/>
  <c r="E64" i="18"/>
  <c r="E63" i="18"/>
  <c r="E62" i="18"/>
  <c r="E61" i="18"/>
  <c r="D60" i="18"/>
  <c r="D71" i="18" s="1"/>
  <c r="E71" i="18" s="1"/>
  <c r="C60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E41" i="18"/>
  <c r="C41" i="18"/>
  <c r="D40" i="18"/>
  <c r="C40" i="18"/>
  <c r="E40" i="18" s="1"/>
  <c r="D39" i="18"/>
  <c r="E39" i="18" s="1"/>
  <c r="C39" i="18"/>
  <c r="D38" i="18"/>
  <c r="E38" i="18" s="1"/>
  <c r="C38" i="18"/>
  <c r="D37" i="18"/>
  <c r="C37" i="18"/>
  <c r="C43" i="18" s="1"/>
  <c r="D36" i="18"/>
  <c r="C36" i="18"/>
  <c r="C44" i="18" s="1"/>
  <c r="D33" i="18"/>
  <c r="D32" i="18"/>
  <c r="C32" i="18"/>
  <c r="C33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 s="1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 s="1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E238" i="17" s="1"/>
  <c r="C238" i="17"/>
  <c r="D237" i="17"/>
  <c r="C237" i="17"/>
  <c r="E234" i="17"/>
  <c r="F234" i="17" s="1"/>
  <c r="E233" i="17"/>
  <c r="F233" i="17"/>
  <c r="D230" i="17"/>
  <c r="C230" i="17"/>
  <c r="D229" i="17"/>
  <c r="C229" i="17"/>
  <c r="E228" i="17"/>
  <c r="F228" i="17" s="1"/>
  <c r="D226" i="17"/>
  <c r="D227" i="17" s="1"/>
  <c r="E227" i="17" s="1"/>
  <c r="F227" i="17" s="1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 s="1"/>
  <c r="D191" i="17"/>
  <c r="D280" i="17"/>
  <c r="E280" i="17" s="1"/>
  <c r="F280" i="17" s="1"/>
  <c r="C191" i="17"/>
  <c r="C280" i="17" s="1"/>
  <c r="D189" i="17"/>
  <c r="C189" i="17"/>
  <c r="D188" i="17"/>
  <c r="C188" i="17"/>
  <c r="D180" i="17"/>
  <c r="C180" i="17"/>
  <c r="F180" i="17"/>
  <c r="D179" i="17"/>
  <c r="D181" i="17"/>
  <c r="C179" i="17"/>
  <c r="F179" i="17" s="1"/>
  <c r="D171" i="17"/>
  <c r="D172" i="17" s="1"/>
  <c r="D173" i="17" s="1"/>
  <c r="C171" i="17"/>
  <c r="F171" i="17" s="1"/>
  <c r="D170" i="17"/>
  <c r="C170" i="17"/>
  <c r="F170" i="17"/>
  <c r="F169" i="17"/>
  <c r="E169" i="17"/>
  <c r="F168" i="17"/>
  <c r="E168" i="17"/>
  <c r="D165" i="17"/>
  <c r="C165" i="17"/>
  <c r="E165" i="17" s="1"/>
  <c r="D164" i="17"/>
  <c r="E164" i="17" s="1"/>
  <c r="C164" i="17"/>
  <c r="F164" i="17" s="1"/>
  <c r="F163" i="17"/>
  <c r="E163" i="17"/>
  <c r="D158" i="17"/>
  <c r="D159" i="17" s="1"/>
  <c r="C158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C145" i="17"/>
  <c r="D144" i="17"/>
  <c r="C144" i="17"/>
  <c r="E144" i="17" s="1"/>
  <c r="D136" i="17"/>
  <c r="C136" i="17"/>
  <c r="C137" i="17" s="1"/>
  <c r="D135" i="17"/>
  <c r="E135" i="17" s="1"/>
  <c r="F135" i="17" s="1"/>
  <c r="C135" i="17"/>
  <c r="E134" i="17"/>
  <c r="F134" i="17"/>
  <c r="E133" i="17"/>
  <c r="F133" i="17" s="1"/>
  <c r="D130" i="17"/>
  <c r="C130" i="17"/>
  <c r="D129" i="17"/>
  <c r="E129" i="17" s="1"/>
  <c r="F129" i="17" s="1"/>
  <c r="C129" i="17"/>
  <c r="F128" i="17"/>
  <c r="E128" i="17"/>
  <c r="D123" i="17"/>
  <c r="D192" i="17"/>
  <c r="C123" i="17"/>
  <c r="E123" i="17" s="1"/>
  <c r="F122" i="17"/>
  <c r="E122" i="17"/>
  <c r="E121" i="17"/>
  <c r="F121" i="17" s="1"/>
  <c r="D120" i="17"/>
  <c r="E120" i="17"/>
  <c r="C120" i="17"/>
  <c r="F119" i="17"/>
  <c r="E119" i="17"/>
  <c r="E118" i="17"/>
  <c r="F118" i="17" s="1"/>
  <c r="D110" i="17"/>
  <c r="E110" i="17"/>
  <c r="F110" i="17"/>
  <c r="C110" i="17"/>
  <c r="D109" i="17"/>
  <c r="C109" i="17"/>
  <c r="C111" i="17" s="1"/>
  <c r="D101" i="17"/>
  <c r="C101" i="17"/>
  <c r="C102" i="17"/>
  <c r="D100" i="17"/>
  <c r="E100" i="17"/>
  <c r="F100" i="17" s="1"/>
  <c r="C100" i="17"/>
  <c r="F99" i="17"/>
  <c r="E99" i="17"/>
  <c r="F98" i="17"/>
  <c r="E98" i="17"/>
  <c r="D95" i="17"/>
  <c r="E95" i="17"/>
  <c r="F95" i="17" s="1"/>
  <c r="C95" i="17"/>
  <c r="D94" i="17"/>
  <c r="C94" i="17"/>
  <c r="F93" i="17"/>
  <c r="E93" i="17"/>
  <c r="D88" i="17"/>
  <c r="D89" i="17" s="1"/>
  <c r="E89" i="17"/>
  <c r="C88" i="17"/>
  <c r="C89" i="17"/>
  <c r="F87" i="17"/>
  <c r="E87" i="17"/>
  <c r="F86" i="17"/>
  <c r="E86" i="17"/>
  <c r="D85" i="17"/>
  <c r="C85" i="17"/>
  <c r="E84" i="17"/>
  <c r="F84" i="17" s="1"/>
  <c r="F83" i="17"/>
  <c r="E83" i="17"/>
  <c r="D76" i="17"/>
  <c r="D77" i="17"/>
  <c r="C76" i="17"/>
  <c r="C77" i="17"/>
  <c r="E74" i="17"/>
  <c r="F74" i="17"/>
  <c r="E73" i="17"/>
  <c r="F73" i="17" s="1"/>
  <c r="D67" i="17"/>
  <c r="C67" i="17"/>
  <c r="D66" i="17"/>
  <c r="C66" i="17"/>
  <c r="C68" i="17" s="1"/>
  <c r="D59" i="17"/>
  <c r="D60" i="17"/>
  <c r="C59" i="17"/>
  <c r="C60" i="17"/>
  <c r="D58" i="17"/>
  <c r="C58" i="17"/>
  <c r="E57" i="17"/>
  <c r="F57" i="17" s="1"/>
  <c r="E56" i="17"/>
  <c r="F56" i="17"/>
  <c r="D53" i="17"/>
  <c r="C53" i="17"/>
  <c r="D52" i="17"/>
  <c r="C52" i="17"/>
  <c r="E51" i="17"/>
  <c r="F51" i="17" s="1"/>
  <c r="D47" i="17"/>
  <c r="D48" i="17"/>
  <c r="C47" i="17"/>
  <c r="C48" i="17"/>
  <c r="E46" i="17"/>
  <c r="F46" i="17" s="1"/>
  <c r="E45" i="17"/>
  <c r="F45" i="17" s="1"/>
  <c r="D44" i="17"/>
  <c r="E44" i="17" s="1"/>
  <c r="C44" i="17"/>
  <c r="E43" i="17"/>
  <c r="F43" i="17"/>
  <c r="E42" i="17"/>
  <c r="F42" i="17"/>
  <c r="D36" i="17"/>
  <c r="C36" i="17"/>
  <c r="E36" i="17"/>
  <c r="D35" i="17"/>
  <c r="D37" i="17"/>
  <c r="C35" i="17"/>
  <c r="E35" i="17" s="1"/>
  <c r="D30" i="17"/>
  <c r="D31" i="17"/>
  <c r="C30" i="17"/>
  <c r="C31" i="17" s="1"/>
  <c r="D29" i="17"/>
  <c r="E29" i="17" s="1"/>
  <c r="F29" i="17" s="1"/>
  <c r="C29" i="17"/>
  <c r="E28" i="17"/>
  <c r="F28" i="17"/>
  <c r="E27" i="17"/>
  <c r="F27" i="17" s="1"/>
  <c r="D24" i="17"/>
  <c r="E24" i="17" s="1"/>
  <c r="F24" i="17" s="1"/>
  <c r="C24" i="17"/>
  <c r="D23" i="17"/>
  <c r="E23" i="17" s="1"/>
  <c r="F23" i="17" s="1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/>
  <c r="E15" i="17"/>
  <c r="F15" i="17"/>
  <c r="D22" i="16"/>
  <c r="E22" i="16" s="1"/>
  <c r="F22" i="16" s="1"/>
  <c r="C22" i="16"/>
  <c r="E21" i="16"/>
  <c r="F21" i="16" s="1"/>
  <c r="D18" i="16"/>
  <c r="E18" i="16"/>
  <c r="C18" i="16"/>
  <c r="F17" i="16"/>
  <c r="E17" i="16"/>
  <c r="D14" i="16"/>
  <c r="C14" i="16"/>
  <c r="F13" i="16"/>
  <c r="E13" i="16"/>
  <c r="F12" i="16"/>
  <c r="E12" i="16"/>
  <c r="D107" i="15"/>
  <c r="C107" i="15"/>
  <c r="E106" i="15"/>
  <c r="F106" i="15" s="1"/>
  <c r="F105" i="15"/>
  <c r="E105" i="15"/>
  <c r="E104" i="15"/>
  <c r="F104" i="15" s="1"/>
  <c r="D100" i="15"/>
  <c r="C100" i="15"/>
  <c r="E100" i="15" s="1"/>
  <c r="F99" i="15"/>
  <c r="E99" i="15"/>
  <c r="E98" i="15"/>
  <c r="F98" i="15" s="1"/>
  <c r="E97" i="15"/>
  <c r="F97" i="15" s="1"/>
  <c r="F96" i="15"/>
  <c r="E96" i="15"/>
  <c r="F95" i="15"/>
  <c r="E95" i="15"/>
  <c r="D92" i="15"/>
  <c r="E92" i="15" s="1"/>
  <c r="C92" i="15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F73" i="15" s="1"/>
  <c r="E75" i="15"/>
  <c r="F75" i="15" s="1"/>
  <c r="D70" i="15"/>
  <c r="C70" i="15"/>
  <c r="E69" i="15"/>
  <c r="F69" i="15" s="1"/>
  <c r="E68" i="15"/>
  <c r="F68" i="15" s="1"/>
  <c r="D65" i="15"/>
  <c r="E65" i="15" s="1"/>
  <c r="C65" i="15"/>
  <c r="E64" i="15"/>
  <c r="F64" i="15" s="1"/>
  <c r="E63" i="15"/>
  <c r="F63" i="15" s="1"/>
  <c r="D60" i="15"/>
  <c r="C60" i="15"/>
  <c r="E59" i="15"/>
  <c r="F59" i="15" s="1"/>
  <c r="E58" i="15"/>
  <c r="D55" i="15"/>
  <c r="C55" i="15"/>
  <c r="E54" i="15"/>
  <c r="F54" i="15" s="1"/>
  <c r="E53" i="15"/>
  <c r="F53" i="15" s="1"/>
  <c r="D50" i="15"/>
  <c r="C50" i="15"/>
  <c r="E49" i="15"/>
  <c r="F49" i="15" s="1"/>
  <c r="E48" i="15"/>
  <c r="F48" i="15" s="1"/>
  <c r="D45" i="15"/>
  <c r="C45" i="15"/>
  <c r="F45" i="15" s="1"/>
  <c r="F44" i="15"/>
  <c r="E44" i="15"/>
  <c r="F43" i="15"/>
  <c r="E43" i="15"/>
  <c r="F37" i="15"/>
  <c r="D37" i="15"/>
  <c r="E37" i="15" s="1"/>
  <c r="C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F20" i="15"/>
  <c r="E20" i="15"/>
  <c r="E19" i="15"/>
  <c r="F19" i="15" s="1"/>
  <c r="D16" i="15"/>
  <c r="E16" i="15"/>
  <c r="F16" i="15" s="1"/>
  <c r="C16" i="15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G33" i="14"/>
  <c r="F17" i="14"/>
  <c r="F33" i="14"/>
  <c r="E17" i="14"/>
  <c r="D17" i="14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C80" i="13"/>
  <c r="C77" i="13" s="1"/>
  <c r="E73" i="13"/>
  <c r="E75" i="13" s="1"/>
  <c r="D73" i="13"/>
  <c r="D75" i="13"/>
  <c r="C73" i="13"/>
  <c r="C75" i="13" s="1"/>
  <c r="E71" i="13"/>
  <c r="D71" i="13"/>
  <c r="C71" i="13"/>
  <c r="E66" i="13"/>
  <c r="E65" i="13"/>
  <c r="D66" i="13"/>
  <c r="C66" i="13"/>
  <c r="C65" i="13" s="1"/>
  <c r="D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 s="1"/>
  <c r="D50" i="13"/>
  <c r="E46" i="13"/>
  <c r="E59" i="13"/>
  <c r="E61" i="13" s="1"/>
  <c r="D46" i="13"/>
  <c r="D59" i="13" s="1"/>
  <c r="D61" i="13"/>
  <c r="D57" i="13" s="1"/>
  <c r="C46" i="13"/>
  <c r="C48" i="13" s="1"/>
  <c r="C42" i="13" s="1"/>
  <c r="C59" i="13"/>
  <c r="C61" i="13" s="1"/>
  <c r="C57" i="13" s="1"/>
  <c r="E45" i="13"/>
  <c r="E42" i="13" s="1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 s="1"/>
  <c r="E27" i="13" s="1"/>
  <c r="D13" i="13"/>
  <c r="D25" i="13" s="1"/>
  <c r="D27" i="13"/>
  <c r="C13" i="13"/>
  <c r="C15" i="13" s="1"/>
  <c r="C24" i="13" s="1"/>
  <c r="C25" i="13"/>
  <c r="C27" i="13" s="1"/>
  <c r="C21" i="13" s="1"/>
  <c r="D47" i="12"/>
  <c r="E47" i="12"/>
  <c r="C47" i="12"/>
  <c r="F47" i="12" s="1"/>
  <c r="F46" i="12"/>
  <c r="E46" i="12"/>
  <c r="F45" i="12"/>
  <c r="E45" i="12"/>
  <c r="D40" i="12"/>
  <c r="E40" i="12" s="1"/>
  <c r="F40" i="12"/>
  <c r="C40" i="12"/>
  <c r="F39" i="12"/>
  <c r="E39" i="12"/>
  <c r="E38" i="12"/>
  <c r="F38" i="12" s="1"/>
  <c r="E37" i="12"/>
  <c r="F37" i="12" s="1"/>
  <c r="D32" i="12"/>
  <c r="C32" i="12"/>
  <c r="F31" i="12"/>
  <c r="E31" i="12"/>
  <c r="E30" i="12"/>
  <c r="F30" i="12" s="1"/>
  <c r="F29" i="12"/>
  <c r="E29" i="12"/>
  <c r="F28" i="12"/>
  <c r="E28" i="12"/>
  <c r="F27" i="12"/>
  <c r="E27" i="12"/>
  <c r="E26" i="12"/>
  <c r="F26" i="12" s="1"/>
  <c r="F25" i="12"/>
  <c r="E25" i="12"/>
  <c r="F24" i="12"/>
  <c r="E24" i="12"/>
  <c r="F23" i="12"/>
  <c r="E23" i="12"/>
  <c r="E19" i="12"/>
  <c r="F19" i="12" s="1"/>
  <c r="F18" i="12"/>
  <c r="E18" i="12"/>
  <c r="E16" i="12"/>
  <c r="F16" i="12" s="1"/>
  <c r="D15" i="12"/>
  <c r="D17" i="12"/>
  <c r="C15" i="12"/>
  <c r="C17" i="12" s="1"/>
  <c r="F14" i="12"/>
  <c r="E14" i="12"/>
  <c r="F13" i="12"/>
  <c r="E13" i="12"/>
  <c r="F12" i="12"/>
  <c r="E12" i="12"/>
  <c r="F11" i="12"/>
  <c r="E11" i="12"/>
  <c r="D73" i="11"/>
  <c r="C73" i="11"/>
  <c r="F72" i="11"/>
  <c r="E72" i="1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C65" i="11" s="1"/>
  <c r="F60" i="11"/>
  <c r="E60" i="11"/>
  <c r="E59" i="11"/>
  <c r="F59" i="11" s="1"/>
  <c r="D56" i="11"/>
  <c r="C56" i="11"/>
  <c r="E55" i="11"/>
  <c r="F55" i="11" s="1"/>
  <c r="E54" i="11"/>
  <c r="F54" i="11" s="1"/>
  <c r="E53" i="11"/>
  <c r="F53" i="11" s="1"/>
  <c r="F52" i="11"/>
  <c r="E52" i="11"/>
  <c r="E51" i="11"/>
  <c r="F51" i="11" s="1"/>
  <c r="A51" i="11"/>
  <c r="A52" i="11" s="1"/>
  <c r="A53" i="11" s="1"/>
  <c r="A54" i="11"/>
  <c r="A55" i="11" s="1"/>
  <c r="E50" i="11"/>
  <c r="F50" i="11" s="1"/>
  <c r="A50" i="11"/>
  <c r="F49" i="11"/>
  <c r="E49" i="11"/>
  <c r="F40" i="11"/>
  <c r="E40" i="11"/>
  <c r="D38" i="11"/>
  <c r="C38" i="11"/>
  <c r="C41" i="11"/>
  <c r="E37" i="11"/>
  <c r="F37" i="11" s="1"/>
  <c r="E36" i="11"/>
  <c r="F36" i="11" s="1"/>
  <c r="F33" i="11"/>
  <c r="E33" i="11"/>
  <c r="E32" i="11"/>
  <c r="F32" i="11" s="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C22" i="11"/>
  <c r="C43" i="11" s="1"/>
  <c r="F21" i="11"/>
  <c r="E21" i="11"/>
  <c r="E20" i="11"/>
  <c r="F20" i="11" s="1"/>
  <c r="F19" i="11"/>
  <c r="E19" i="11"/>
  <c r="F18" i="11"/>
  <c r="E18" i="11"/>
  <c r="F17" i="11"/>
  <c r="E17" i="11"/>
  <c r="E16" i="11"/>
  <c r="F16" i="11" s="1"/>
  <c r="F15" i="11"/>
  <c r="E15" i="11"/>
  <c r="E14" i="11"/>
  <c r="F14" i="11" s="1"/>
  <c r="F13" i="11"/>
  <c r="E13" i="11"/>
  <c r="D120" i="10"/>
  <c r="E120" i="10"/>
  <c r="C120" i="10"/>
  <c r="F120" i="10" s="1"/>
  <c r="D119" i="10"/>
  <c r="C119" i="10"/>
  <c r="F119" i="10" s="1"/>
  <c r="D118" i="10"/>
  <c r="E118" i="10"/>
  <c r="C118" i="10"/>
  <c r="F118" i="10" s="1"/>
  <c r="D117" i="10"/>
  <c r="C117" i="10"/>
  <c r="D116" i="10"/>
  <c r="E116" i="10"/>
  <c r="C116" i="10"/>
  <c r="F116" i="10" s="1"/>
  <c r="F115" i="10"/>
  <c r="D115" i="10"/>
  <c r="E115" i="10" s="1"/>
  <c r="C115" i="10"/>
  <c r="C122" i="10" s="1"/>
  <c r="D114" i="10"/>
  <c r="E114" i="10"/>
  <c r="C114" i="10"/>
  <c r="F114" i="10" s="1"/>
  <c r="F113" i="10"/>
  <c r="D113" i="10"/>
  <c r="D122" i="10"/>
  <c r="E122" i="10" s="1"/>
  <c r="C113" i="10"/>
  <c r="F122" i="10"/>
  <c r="D112" i="10"/>
  <c r="D121" i="10" s="1"/>
  <c r="C112" i="10"/>
  <c r="F112" i="10" s="1"/>
  <c r="C121" i="10"/>
  <c r="F121" i="10" s="1"/>
  <c r="D108" i="10"/>
  <c r="E108" i="10" s="1"/>
  <c r="C108" i="10"/>
  <c r="F108" i="10" s="1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F95" i="10"/>
  <c r="D95" i="10"/>
  <c r="C95" i="10"/>
  <c r="E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C72" i="10"/>
  <c r="E72" i="10" s="1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F60" i="10" s="1"/>
  <c r="F59" i="10"/>
  <c r="D59" i="10"/>
  <c r="E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C48" i="10"/>
  <c r="F48" i="10" s="1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C24" i="10"/>
  <c r="E24" i="10" s="1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F206" i="9" s="1"/>
  <c r="F205" i="9"/>
  <c r="D205" i="9"/>
  <c r="E205" i="9"/>
  <c r="C205" i="9"/>
  <c r="D204" i="9"/>
  <c r="C204" i="9"/>
  <c r="F204" i="9" s="1"/>
  <c r="F203" i="9"/>
  <c r="D203" i="9"/>
  <c r="E203" i="9"/>
  <c r="C203" i="9"/>
  <c r="D202" i="9"/>
  <c r="E202" i="9" s="1"/>
  <c r="C202" i="9"/>
  <c r="F202" i="9" s="1"/>
  <c r="F201" i="9"/>
  <c r="D201" i="9"/>
  <c r="D208" i="9" s="1"/>
  <c r="E201" i="9"/>
  <c r="C201" i="9"/>
  <c r="D200" i="9"/>
  <c r="E200" i="9" s="1"/>
  <c r="C200" i="9"/>
  <c r="F200" i="9" s="1"/>
  <c r="F199" i="9"/>
  <c r="D199" i="9"/>
  <c r="C199" i="9"/>
  <c r="C208" i="9"/>
  <c r="F208" i="9" s="1"/>
  <c r="D198" i="9"/>
  <c r="C198" i="9"/>
  <c r="D193" i="9"/>
  <c r="E193" i="9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 s="1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F166" i="9"/>
  <c r="D166" i="9"/>
  <c r="C166" i="9"/>
  <c r="E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E141" i="9" s="1"/>
  <c r="F140" i="9"/>
  <c r="D140" i="9"/>
  <c r="E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28" i="9"/>
  <c r="D128" i="9"/>
  <c r="E128" i="9"/>
  <c r="C128" i="9"/>
  <c r="F127" i="9"/>
  <c r="D127" i="9"/>
  <c r="E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 s="1"/>
  <c r="C115" i="9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 s="1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6" i="9"/>
  <c r="D76" i="9"/>
  <c r="E76" i="9"/>
  <c r="C76" i="9"/>
  <c r="D75" i="9"/>
  <c r="E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 s="1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0" i="9"/>
  <c r="D50" i="9"/>
  <c r="E50" i="9"/>
  <c r="C50" i="9"/>
  <c r="F49" i="9"/>
  <c r="D49" i="9"/>
  <c r="E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4" i="9"/>
  <c r="D24" i="9"/>
  <c r="E24" i="9" s="1"/>
  <c r="C24" i="9"/>
  <c r="D23" i="9"/>
  <c r="E23" i="9"/>
  <c r="C23" i="9"/>
  <c r="F23" i="9" s="1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D164" i="8"/>
  <c r="D160" i="8"/>
  <c r="D166" i="8" s="1"/>
  <c r="D156" i="8" s="1"/>
  <c r="C164" i="8"/>
  <c r="E162" i="8"/>
  <c r="D162" i="8"/>
  <c r="C162" i="8"/>
  <c r="E161" i="8"/>
  <c r="D161" i="8"/>
  <c r="C161" i="8"/>
  <c r="C166" i="8" s="1"/>
  <c r="C160" i="8"/>
  <c r="E147" i="8"/>
  <c r="D147" i="8"/>
  <c r="D143" i="8"/>
  <c r="D149" i="8"/>
  <c r="C147" i="8"/>
  <c r="C143" i="8" s="1"/>
  <c r="C149" i="8" s="1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/>
  <c r="D106" i="8" s="1"/>
  <c r="C107" i="8"/>
  <c r="C109" i="8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/>
  <c r="D95" i="8"/>
  <c r="D94" i="8" s="1"/>
  <c r="C95" i="8"/>
  <c r="C94" i="8"/>
  <c r="E89" i="8"/>
  <c r="D89" i="8"/>
  <c r="C89" i="8"/>
  <c r="E88" i="8"/>
  <c r="E90" i="8"/>
  <c r="E86" i="8" s="1"/>
  <c r="C90" i="8"/>
  <c r="C86" i="8" s="1"/>
  <c r="E87" i="8"/>
  <c r="D87" i="8"/>
  <c r="C87" i="8"/>
  <c r="E84" i="8"/>
  <c r="D84" i="8"/>
  <c r="C84" i="8"/>
  <c r="E83" i="8"/>
  <c r="D83" i="8"/>
  <c r="D79" i="8" s="1"/>
  <c r="C83" i="8"/>
  <c r="C79" i="8"/>
  <c r="C77" i="8"/>
  <c r="C71" i="8" s="1"/>
  <c r="E75" i="8"/>
  <c r="E77" i="8" s="1"/>
  <c r="D75" i="8"/>
  <c r="D77" i="8" s="1"/>
  <c r="D71" i="8" s="1"/>
  <c r="D88" i="8"/>
  <c r="D90" i="8"/>
  <c r="D86" i="8" s="1"/>
  <c r="C75" i="8"/>
  <c r="C88" i="8" s="1"/>
  <c r="E74" i="8"/>
  <c r="D74" i="8"/>
  <c r="C74" i="8"/>
  <c r="E67" i="8"/>
  <c r="D67" i="8"/>
  <c r="C67" i="8"/>
  <c r="E38" i="8"/>
  <c r="D38" i="8"/>
  <c r="C38" i="8"/>
  <c r="C57" i="8" s="1"/>
  <c r="C62" i="8"/>
  <c r="E33" i="8"/>
  <c r="E34" i="8"/>
  <c r="D33" i="8"/>
  <c r="D34" i="8"/>
  <c r="E26" i="8"/>
  <c r="D26" i="8"/>
  <c r="C26" i="8"/>
  <c r="C25" i="8"/>
  <c r="C27" i="8"/>
  <c r="C20" i="8" s="1"/>
  <c r="E13" i="8"/>
  <c r="D13" i="8"/>
  <c r="D25" i="8"/>
  <c r="D27" i="8"/>
  <c r="C13" i="8"/>
  <c r="C15" i="8" s="1"/>
  <c r="C24" i="8" s="1"/>
  <c r="F186" i="7"/>
  <c r="E186" i="7"/>
  <c r="D183" i="7"/>
  <c r="E183" i="7" s="1"/>
  <c r="F183" i="7" s="1"/>
  <c r="D188" i="7"/>
  <c r="C183" i="7"/>
  <c r="C188" i="7"/>
  <c r="F182" i="7"/>
  <c r="E182" i="7"/>
  <c r="F181" i="7"/>
  <c r="E181" i="7"/>
  <c r="F180" i="7"/>
  <c r="E180" i="7"/>
  <c r="E179" i="7"/>
  <c r="F179" i="7" s="1"/>
  <c r="F178" i="7"/>
  <c r="E178" i="7"/>
  <c r="E177" i="7"/>
  <c r="F177" i="7" s="1"/>
  <c r="F176" i="7"/>
  <c r="E176" i="7"/>
  <c r="F175" i="7"/>
  <c r="E175" i="7"/>
  <c r="E174" i="7"/>
  <c r="F174" i="7" s="1"/>
  <c r="F173" i="7"/>
  <c r="E173" i="7"/>
  <c r="F172" i="7"/>
  <c r="E172" i="7"/>
  <c r="E171" i="7"/>
  <c r="F171" i="7" s="1"/>
  <c r="F170" i="7"/>
  <c r="E170" i="7"/>
  <c r="D167" i="7"/>
  <c r="E167" i="7"/>
  <c r="F167" i="7" s="1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F155" i="7"/>
  <c r="E155" i="7"/>
  <c r="E154" i="7"/>
  <c r="F154" i="7" s="1"/>
  <c r="F153" i="7"/>
  <c r="E153" i="7"/>
  <c r="F152" i="7"/>
  <c r="E152" i="7"/>
  <c r="F151" i="7"/>
  <c r="E151" i="7"/>
  <c r="E150" i="7"/>
  <c r="F150" i="7" s="1"/>
  <c r="E149" i="7"/>
  <c r="F149" i="7" s="1"/>
  <c r="E148" i="7"/>
  <c r="F148" i="7" s="1"/>
  <c r="E147" i="7"/>
  <c r="F147" i="7" s="1"/>
  <c r="E146" i="7"/>
  <c r="F146" i="7" s="1"/>
  <c r="F145" i="7"/>
  <c r="E145" i="7"/>
  <c r="E144" i="7"/>
  <c r="F144" i="7" s="1"/>
  <c r="F143" i="7"/>
  <c r="E143" i="7"/>
  <c r="E142" i="7"/>
  <c r="F142" i="7" s="1"/>
  <c r="E141" i="7"/>
  <c r="F141" i="7" s="1"/>
  <c r="F140" i="7"/>
  <c r="E140" i="7"/>
  <c r="F139" i="7"/>
  <c r="E139" i="7"/>
  <c r="E138" i="7"/>
  <c r="F138" i="7" s="1"/>
  <c r="E137" i="7"/>
  <c r="F137" i="7" s="1"/>
  <c r="F136" i="7"/>
  <c r="E136" i="7"/>
  <c r="E135" i="7"/>
  <c r="F135" i="7" s="1"/>
  <c r="E134" i="7"/>
  <c r="F134" i="7" s="1"/>
  <c r="F133" i="7"/>
  <c r="E133" i="7"/>
  <c r="D130" i="7"/>
  <c r="E130" i="7"/>
  <c r="C130" i="7"/>
  <c r="F130" i="7" s="1"/>
  <c r="E129" i="7"/>
  <c r="F129" i="7" s="1"/>
  <c r="F128" i="7"/>
  <c r="E128" i="7"/>
  <c r="E127" i="7"/>
  <c r="F127" i="7" s="1"/>
  <c r="F126" i="7"/>
  <c r="E126" i="7"/>
  <c r="E125" i="7"/>
  <c r="F125" i="7" s="1"/>
  <c r="E124" i="7"/>
  <c r="F124" i="7" s="1"/>
  <c r="D121" i="7"/>
  <c r="E121" i="7"/>
  <c r="F121" i="7" s="1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F115" i="7"/>
  <c r="E115" i="7"/>
  <c r="E114" i="7"/>
  <c r="F114" i="7" s="1"/>
  <c r="E113" i="7"/>
  <c r="F113" i="7" s="1"/>
  <c r="E112" i="7"/>
  <c r="F112" i="7" s="1"/>
  <c r="E111" i="7"/>
  <c r="F111" i="7" s="1"/>
  <c r="E110" i="7"/>
  <c r="F110" i="7" s="1"/>
  <c r="F109" i="7"/>
  <c r="E109" i="7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 s="1"/>
  <c r="F75" i="7"/>
  <c r="E75" i="7"/>
  <c r="E74" i="7"/>
  <c r="F74" i="7" s="1"/>
  <c r="F73" i="7"/>
  <c r="E73" i="7"/>
  <c r="E72" i="7"/>
  <c r="F72" i="7" s="1"/>
  <c r="F71" i="7"/>
  <c r="E71" i="7"/>
  <c r="E70" i="7"/>
  <c r="F70" i="7" s="1"/>
  <c r="F69" i="7"/>
  <c r="E69" i="7"/>
  <c r="E68" i="7"/>
  <c r="F68" i="7" s="1"/>
  <c r="F67" i="7"/>
  <c r="E67" i="7"/>
  <c r="F66" i="7"/>
  <c r="E66" i="7"/>
  <c r="F65" i="7"/>
  <c r="E65" i="7"/>
  <c r="E64" i="7"/>
  <c r="F64" i="7" s="1"/>
  <c r="F63" i="7"/>
  <c r="E63" i="7"/>
  <c r="F62" i="7"/>
  <c r="E62" i="7"/>
  <c r="D59" i="7"/>
  <c r="E59" i="7" s="1"/>
  <c r="C59" i="7"/>
  <c r="F59" i="7" s="1"/>
  <c r="F58" i="7"/>
  <c r="E58" i="7"/>
  <c r="E57" i="7"/>
  <c r="F57" i="7" s="1"/>
  <c r="F56" i="7"/>
  <c r="E56" i="7"/>
  <c r="F55" i="7"/>
  <c r="E55" i="7"/>
  <c r="F54" i="7"/>
  <c r="E54" i="7"/>
  <c r="E53" i="7"/>
  <c r="F53" i="7" s="1"/>
  <c r="F50" i="7"/>
  <c r="E50" i="7"/>
  <c r="E47" i="7"/>
  <c r="F47" i="7" s="1"/>
  <c r="F44" i="7"/>
  <c r="E44" i="7"/>
  <c r="D41" i="7"/>
  <c r="E41" i="7"/>
  <c r="F41" i="7"/>
  <c r="C41" i="7"/>
  <c r="E40" i="7"/>
  <c r="F40" i="7" s="1"/>
  <c r="F39" i="7"/>
  <c r="E39" i="7"/>
  <c r="E38" i="7"/>
  <c r="F38" i="7" s="1"/>
  <c r="D35" i="7"/>
  <c r="E35" i="7" s="1"/>
  <c r="F35" i="7"/>
  <c r="C35" i="7"/>
  <c r="F34" i="7"/>
  <c r="E34" i="7"/>
  <c r="E33" i="7"/>
  <c r="F33" i="7" s="1"/>
  <c r="D30" i="7"/>
  <c r="C30" i="7"/>
  <c r="F29" i="7"/>
  <c r="E29" i="7"/>
  <c r="E28" i="7"/>
  <c r="F28" i="7" s="1"/>
  <c r="F27" i="7"/>
  <c r="E27" i="7"/>
  <c r="D24" i="7"/>
  <c r="E24" i="7"/>
  <c r="F24" i="7" s="1"/>
  <c r="C24" i="7"/>
  <c r="F23" i="7"/>
  <c r="E23" i="7"/>
  <c r="F22" i="7"/>
  <c r="E22" i="7"/>
  <c r="F21" i="7"/>
  <c r="E21" i="7"/>
  <c r="D18" i="7"/>
  <c r="C18" i="7"/>
  <c r="F17" i="7"/>
  <c r="E17" i="7"/>
  <c r="F16" i="7"/>
  <c r="E16" i="7"/>
  <c r="F15" i="7"/>
  <c r="E15" i="7"/>
  <c r="D179" i="6"/>
  <c r="E179" i="6"/>
  <c r="F179" i="6" s="1"/>
  <c r="C179" i="6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F171" i="6"/>
  <c r="E171" i="6"/>
  <c r="F170" i="6"/>
  <c r="E170" i="6"/>
  <c r="F169" i="6"/>
  <c r="E169" i="6"/>
  <c r="E168" i="6"/>
  <c r="F168" i="6" s="1"/>
  <c r="D166" i="6"/>
  <c r="E166" i="6" s="1"/>
  <c r="F166" i="6" s="1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E148" i="6"/>
  <c r="F148" i="6" s="1"/>
  <c r="F147" i="6"/>
  <c r="E147" i="6"/>
  <c r="E146" i="6"/>
  <c r="F146" i="6" s="1"/>
  <c r="F145" i="6"/>
  <c r="E145" i="6"/>
  <c r="E144" i="6"/>
  <c r="F144" i="6" s="1"/>
  <c r="F143" i="6"/>
  <c r="E143" i="6"/>
  <c r="F142" i="6"/>
  <c r="E142" i="6"/>
  <c r="D137" i="6"/>
  <c r="E137" i="6" s="1"/>
  <c r="F137" i="6" s="1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 s="1"/>
  <c r="F124" i="6" s="1"/>
  <c r="C124" i="6"/>
  <c r="F123" i="6"/>
  <c r="E123" i="6"/>
  <c r="F122" i="6"/>
  <c r="E122" i="6"/>
  <c r="F121" i="6"/>
  <c r="E121" i="6"/>
  <c r="F120" i="6"/>
  <c r="E120" i="6"/>
  <c r="E119" i="6"/>
  <c r="F119" i="6" s="1"/>
  <c r="F118" i="6"/>
  <c r="E118" i="6"/>
  <c r="F117" i="6"/>
  <c r="E117" i="6"/>
  <c r="F116" i="6"/>
  <c r="E116" i="6"/>
  <c r="E115" i="6"/>
  <c r="F115" i="6" s="1"/>
  <c r="F114" i="6"/>
  <c r="E114" i="6"/>
  <c r="F113" i="6"/>
  <c r="E113" i="6"/>
  <c r="D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 s="1"/>
  <c r="C93" i="6"/>
  <c r="D92" i="6"/>
  <c r="E92" i="6" s="1"/>
  <c r="F92" i="6" s="1"/>
  <c r="C92" i="6"/>
  <c r="F91" i="6"/>
  <c r="D91" i="6"/>
  <c r="E91" i="6" s="1"/>
  <c r="C91" i="6"/>
  <c r="D90" i="6"/>
  <c r="E90" i="6"/>
  <c r="F90" i="6" s="1"/>
  <c r="C90" i="6"/>
  <c r="F89" i="6"/>
  <c r="D89" i="6"/>
  <c r="E89" i="6" s="1"/>
  <c r="C89" i="6"/>
  <c r="D88" i="6"/>
  <c r="E88" i="6" s="1"/>
  <c r="F88" i="6" s="1"/>
  <c r="C88" i="6"/>
  <c r="F87" i="6"/>
  <c r="D87" i="6"/>
  <c r="E87" i="6" s="1"/>
  <c r="C87" i="6"/>
  <c r="D86" i="6"/>
  <c r="E86" i="6" s="1"/>
  <c r="F86" i="6" s="1"/>
  <c r="C86" i="6"/>
  <c r="F85" i="6"/>
  <c r="D85" i="6"/>
  <c r="E85" i="6" s="1"/>
  <c r="C85" i="6"/>
  <c r="D84" i="6"/>
  <c r="E84" i="6" s="1"/>
  <c r="F84" i="6" s="1"/>
  <c r="C84" i="6"/>
  <c r="C95" i="6"/>
  <c r="D81" i="6"/>
  <c r="E81" i="6" s="1"/>
  <c r="C81" i="6"/>
  <c r="F80" i="6"/>
  <c r="E80" i="6"/>
  <c r="F79" i="6"/>
  <c r="E79" i="6"/>
  <c r="E78" i="6"/>
  <c r="F78" i="6" s="1"/>
  <c r="F77" i="6"/>
  <c r="E77" i="6"/>
  <c r="E76" i="6"/>
  <c r="F76" i="6" s="1"/>
  <c r="F75" i="6"/>
  <c r="E75" i="6"/>
  <c r="F74" i="6"/>
  <c r="E74" i="6"/>
  <c r="F73" i="6"/>
  <c r="E73" i="6"/>
  <c r="E72" i="6"/>
  <c r="F72" i="6" s="1"/>
  <c r="F71" i="6"/>
  <c r="E71" i="6"/>
  <c r="F70" i="6"/>
  <c r="E70" i="6"/>
  <c r="D68" i="6"/>
  <c r="C68" i="6"/>
  <c r="E68" i="6" s="1"/>
  <c r="F67" i="6"/>
  <c r="E67" i="6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D51" i="6"/>
  <c r="E51" i="6" s="1"/>
  <c r="C51" i="6"/>
  <c r="F51" i="6" s="1"/>
  <c r="D50" i="6"/>
  <c r="C50" i="6"/>
  <c r="F50" i="6" s="1"/>
  <c r="D49" i="6"/>
  <c r="C49" i="6"/>
  <c r="F48" i="6"/>
  <c r="D48" i="6"/>
  <c r="E48" i="6" s="1"/>
  <c r="C48" i="6"/>
  <c r="D47" i="6"/>
  <c r="E47" i="6"/>
  <c r="C47" i="6"/>
  <c r="D46" i="6"/>
  <c r="C46" i="6"/>
  <c r="F46" i="6" s="1"/>
  <c r="D45" i="6"/>
  <c r="E45" i="6" s="1"/>
  <c r="C45" i="6"/>
  <c r="F44" i="6"/>
  <c r="D44" i="6"/>
  <c r="E44" i="6" s="1"/>
  <c r="C44" i="6"/>
  <c r="D43" i="6"/>
  <c r="C43" i="6"/>
  <c r="D42" i="6"/>
  <c r="C42" i="6"/>
  <c r="D41" i="6"/>
  <c r="C41" i="6"/>
  <c r="D38" i="6"/>
  <c r="E38" i="6" s="1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F15" i="6"/>
  <c r="E15" i="6"/>
  <c r="E14" i="6"/>
  <c r="F14" i="6" s="1"/>
  <c r="F51" i="5"/>
  <c r="E51" i="5"/>
  <c r="F48" i="5"/>
  <c r="D48" i="5"/>
  <c r="E48" i="5"/>
  <c r="C48" i="5"/>
  <c r="F47" i="5"/>
  <c r="E47" i="5"/>
  <c r="F46" i="5"/>
  <c r="E46" i="5"/>
  <c r="D41" i="5"/>
  <c r="E41" i="5" s="1"/>
  <c r="F41" i="5" s="1"/>
  <c r="C41" i="5"/>
  <c r="F40" i="5"/>
  <c r="E40" i="5"/>
  <c r="F39" i="5"/>
  <c r="E39" i="5"/>
  <c r="F38" i="5"/>
  <c r="E38" i="5"/>
  <c r="D33" i="5"/>
  <c r="E33" i="5" s="1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C16" i="5"/>
  <c r="E16" i="5" s="1"/>
  <c r="F16" i="5" s="1"/>
  <c r="C18" i="5"/>
  <c r="E18" i="5" s="1"/>
  <c r="F15" i="5"/>
  <c r="E15" i="5"/>
  <c r="E14" i="5"/>
  <c r="F14" i="5" s="1"/>
  <c r="F13" i="5"/>
  <c r="E13" i="5"/>
  <c r="E12" i="5"/>
  <c r="F12" i="5" s="1"/>
  <c r="D73" i="4"/>
  <c r="C73" i="4"/>
  <c r="F72" i="4"/>
  <c r="E72" i="4"/>
  <c r="E71" i="4"/>
  <c r="F71" i="4" s="1"/>
  <c r="F70" i="4"/>
  <c r="E70" i="4"/>
  <c r="F67" i="4"/>
  <c r="E67" i="4"/>
  <c r="F64" i="4"/>
  <c r="E64" i="4"/>
  <c r="E63" i="4"/>
  <c r="F63" i="4" s="1"/>
  <c r="D61" i="4"/>
  <c r="D65" i="4" s="1"/>
  <c r="C61" i="4"/>
  <c r="C65" i="4"/>
  <c r="E60" i="4"/>
  <c r="F60" i="4" s="1"/>
  <c r="E59" i="4"/>
  <c r="F59" i="4" s="1"/>
  <c r="D56" i="4"/>
  <c r="C56" i="4"/>
  <c r="E55" i="4"/>
  <c r="F55" i="4" s="1"/>
  <c r="E54" i="4"/>
  <c r="F54" i="4" s="1"/>
  <c r="E53" i="4"/>
  <c r="F53" i="4" s="1"/>
  <c r="E52" i="4"/>
  <c r="F52" i="4" s="1"/>
  <c r="F51" i="4"/>
  <c r="E51" i="4"/>
  <c r="E50" i="4"/>
  <c r="F50" i="4"/>
  <c r="A50" i="4"/>
  <c r="A51" i="4" s="1"/>
  <c r="A52" i="4" s="1"/>
  <c r="A53" i="4" s="1"/>
  <c r="A54" i="4" s="1"/>
  <c r="A55" i="4" s="1"/>
  <c r="F49" i="4"/>
  <c r="E49" i="4"/>
  <c r="F40" i="4"/>
  <c r="E40" i="4"/>
  <c r="D38" i="4"/>
  <c r="C38" i="4"/>
  <c r="C41" i="4"/>
  <c r="E37" i="4"/>
  <c r="F37" i="4" s="1"/>
  <c r="F36" i="4"/>
  <c r="E36" i="4"/>
  <c r="E33" i="4"/>
  <c r="F33" i="4" s="1"/>
  <c r="F32" i="4"/>
  <c r="E32" i="4"/>
  <c r="E31" i="4"/>
  <c r="F31" i="4" s="1"/>
  <c r="D29" i="4"/>
  <c r="D43" i="4" s="1"/>
  <c r="E29" i="4"/>
  <c r="C29" i="4"/>
  <c r="F28" i="4"/>
  <c r="E28" i="4"/>
  <c r="F27" i="4"/>
  <c r="E27" i="4"/>
  <c r="F26" i="4"/>
  <c r="E26" i="4"/>
  <c r="E25" i="4"/>
  <c r="F25" i="4" s="1"/>
  <c r="D22" i="4"/>
  <c r="E22" i="4" s="1"/>
  <c r="C22" i="4"/>
  <c r="F21" i="4"/>
  <c r="E21" i="4"/>
  <c r="E20" i="4"/>
  <c r="F20" i="4" s="1"/>
  <c r="F19" i="4"/>
  <c r="E19" i="4"/>
  <c r="F18" i="4"/>
  <c r="E18" i="4"/>
  <c r="F17" i="4"/>
  <c r="E17" i="4"/>
  <c r="E16" i="4"/>
  <c r="F16" i="4" s="1"/>
  <c r="F15" i="4"/>
  <c r="E15" i="4"/>
  <c r="F14" i="4"/>
  <c r="E14" i="4"/>
  <c r="F13" i="4"/>
  <c r="E13" i="4"/>
  <c r="D22" i="22"/>
  <c r="C23" i="22"/>
  <c r="E23" i="22"/>
  <c r="C34" i="22"/>
  <c r="E34" i="22"/>
  <c r="C102" i="22"/>
  <c r="E102" i="22"/>
  <c r="C22" i="22"/>
  <c r="C29" i="22" s="1"/>
  <c r="E22" i="22"/>
  <c r="F21" i="21"/>
  <c r="E229" i="17"/>
  <c r="E230" i="17"/>
  <c r="E295" i="17"/>
  <c r="F295" i="17" s="1"/>
  <c r="E296" i="17"/>
  <c r="F296" i="17" s="1"/>
  <c r="E297" i="17"/>
  <c r="E299" i="17"/>
  <c r="C98" i="18"/>
  <c r="C85" i="18"/>
  <c r="C101" i="18"/>
  <c r="C99" i="18"/>
  <c r="C95" i="18"/>
  <c r="C88" i="18"/>
  <c r="E33" i="18"/>
  <c r="E17" i="17"/>
  <c r="F17" i="17"/>
  <c r="E52" i="17"/>
  <c r="E58" i="17"/>
  <c r="E67" i="17"/>
  <c r="F67" i="17" s="1"/>
  <c r="E223" i="17"/>
  <c r="F223" i="17" s="1"/>
  <c r="C283" i="18"/>
  <c r="D22" i="18"/>
  <c r="C294" i="18"/>
  <c r="E32" i="18"/>
  <c r="E36" i="18"/>
  <c r="C289" i="18"/>
  <c r="C71" i="18"/>
  <c r="C76" i="18"/>
  <c r="C77" i="18" s="1"/>
  <c r="C65" i="18"/>
  <c r="C246" i="18" s="1"/>
  <c r="C66" i="18"/>
  <c r="E60" i="18"/>
  <c r="E70" i="18"/>
  <c r="E175" i="18"/>
  <c r="C144" i="18"/>
  <c r="D163" i="18"/>
  <c r="C175" i="18"/>
  <c r="C261" i="18"/>
  <c r="E261" i="18" s="1"/>
  <c r="C189" i="18"/>
  <c r="E188" i="18"/>
  <c r="D260" i="18"/>
  <c r="E195" i="18"/>
  <c r="D239" i="18"/>
  <c r="E239" i="18"/>
  <c r="E215" i="18"/>
  <c r="E220" i="18"/>
  <c r="E139" i="18"/>
  <c r="E189" i="18"/>
  <c r="C229" i="18"/>
  <c r="C210" i="18"/>
  <c r="C234" i="18" s="1"/>
  <c r="E205" i="18"/>
  <c r="C240" i="18"/>
  <c r="C222" i="18"/>
  <c r="E216" i="18"/>
  <c r="C242" i="18"/>
  <c r="C217" i="18"/>
  <c r="E217" i="18" s="1"/>
  <c r="C241" i="18"/>
  <c r="E218" i="18"/>
  <c r="D243" i="18"/>
  <c r="E219" i="18"/>
  <c r="C253" i="18"/>
  <c r="C223" i="18"/>
  <c r="C252" i="18"/>
  <c r="E252" i="18" s="1"/>
  <c r="C254" i="18"/>
  <c r="E265" i="18"/>
  <c r="E314" i="18"/>
  <c r="D160" i="17"/>
  <c r="D90" i="17"/>
  <c r="C61" i="17"/>
  <c r="C139" i="17" s="1"/>
  <c r="F89" i="17"/>
  <c r="C103" i="17"/>
  <c r="C138" i="17"/>
  <c r="C32" i="17"/>
  <c r="D21" i="17"/>
  <c r="F36" i="17"/>
  <c r="F44" i="17"/>
  <c r="F52" i="17"/>
  <c r="F58" i="17"/>
  <c r="E88" i="17"/>
  <c r="F88" i="17"/>
  <c r="F123" i="17"/>
  <c r="C124" i="17"/>
  <c r="F144" i="17"/>
  <c r="E170" i="17"/>
  <c r="C172" i="17"/>
  <c r="E179" i="17"/>
  <c r="C181" i="17"/>
  <c r="F181" i="17" s="1"/>
  <c r="C277" i="17"/>
  <c r="C261" i="17"/>
  <c r="C254" i="17"/>
  <c r="C214" i="17"/>
  <c r="C206" i="17"/>
  <c r="C190" i="17"/>
  <c r="E20" i="17"/>
  <c r="F20" i="17"/>
  <c r="C21" i="17"/>
  <c r="E30" i="17"/>
  <c r="F30" i="17" s="1"/>
  <c r="C37" i="17"/>
  <c r="E37" i="17"/>
  <c r="E47" i="17"/>
  <c r="F47" i="17"/>
  <c r="E59" i="17"/>
  <c r="F59" i="17"/>
  <c r="E66" i="17"/>
  <c r="F66" i="17" s="1"/>
  <c r="E76" i="17"/>
  <c r="F76" i="17"/>
  <c r="D124" i="17"/>
  <c r="D126" i="17" s="1"/>
  <c r="E171" i="17"/>
  <c r="E180" i="17"/>
  <c r="C278" i="17"/>
  <c r="C262" i="17"/>
  <c r="C255" i="17"/>
  <c r="C215" i="17"/>
  <c r="E189" i="17"/>
  <c r="F189" i="17" s="1"/>
  <c r="D290" i="17"/>
  <c r="E290" i="17"/>
  <c r="D274" i="17"/>
  <c r="D300" i="17" s="1"/>
  <c r="D199" i="17"/>
  <c r="E199" i="17" s="1"/>
  <c r="D200" i="17"/>
  <c r="D283" i="17"/>
  <c r="D267" i="17"/>
  <c r="D285" i="17"/>
  <c r="E285" i="17"/>
  <c r="D269" i="17"/>
  <c r="D270" i="17" s="1"/>
  <c r="E270" i="17" s="1"/>
  <c r="E269" i="17"/>
  <c r="D205" i="17"/>
  <c r="D215" i="17"/>
  <c r="D255" i="17" s="1"/>
  <c r="E255" i="17" s="1"/>
  <c r="F229" i="17"/>
  <c r="F230" i="17"/>
  <c r="F238" i="17"/>
  <c r="E306" i="17"/>
  <c r="D264" i="17"/>
  <c r="E191" i="17"/>
  <c r="F191" i="17"/>
  <c r="E198" i="17"/>
  <c r="F198" i="17"/>
  <c r="C199" i="17"/>
  <c r="C200" i="17"/>
  <c r="C286" i="17"/>
  <c r="F286" i="17" s="1"/>
  <c r="E203" i="17"/>
  <c r="F203" i="17" s="1"/>
  <c r="E204" i="17"/>
  <c r="F204" i="17"/>
  <c r="C205" i="17"/>
  <c r="E226" i="17"/>
  <c r="F226" i="17" s="1"/>
  <c r="E237" i="17"/>
  <c r="F237" i="17"/>
  <c r="E250" i="17"/>
  <c r="F250" i="17" s="1"/>
  <c r="C264" i="17"/>
  <c r="C267" i="17"/>
  <c r="F267" i="17" s="1"/>
  <c r="C269" i="17"/>
  <c r="C274" i="17"/>
  <c r="F297" i="17"/>
  <c r="F298" i="17"/>
  <c r="F299" i="17"/>
  <c r="G36" i="14"/>
  <c r="G38" i="14" s="1"/>
  <c r="G40" i="14" s="1"/>
  <c r="F36" i="14"/>
  <c r="F38" i="14"/>
  <c r="F40" i="14" s="1"/>
  <c r="I17" i="14"/>
  <c r="F31" i="14"/>
  <c r="H17" i="14"/>
  <c r="D21" i="13"/>
  <c r="E21" i="13"/>
  <c r="D15" i="13"/>
  <c r="D17" i="13" s="1"/>
  <c r="D28" i="13" s="1"/>
  <c r="D48" i="13"/>
  <c r="D42" i="13" s="1"/>
  <c r="E15" i="13"/>
  <c r="E17" i="13" s="1"/>
  <c r="E48" i="13"/>
  <c r="D20" i="12"/>
  <c r="E20" i="12" s="1"/>
  <c r="E17" i="12"/>
  <c r="F17" i="12" s="1"/>
  <c r="C20" i="12"/>
  <c r="F20" i="12" s="1"/>
  <c r="E15" i="12"/>
  <c r="F15" i="12" s="1"/>
  <c r="E22" i="11"/>
  <c r="F22" i="11" s="1"/>
  <c r="E61" i="11"/>
  <c r="F61" i="11"/>
  <c r="E121" i="10"/>
  <c r="E112" i="10"/>
  <c r="E113" i="10"/>
  <c r="E199" i="9"/>
  <c r="D21" i="8"/>
  <c r="C137" i="8"/>
  <c r="C135" i="8"/>
  <c r="D152" i="8"/>
  <c r="D157" i="8"/>
  <c r="E139" i="8"/>
  <c r="E137" i="8"/>
  <c r="C157" i="8"/>
  <c r="C155" i="8"/>
  <c r="C154" i="8"/>
  <c r="C152" i="8"/>
  <c r="D15" i="8"/>
  <c r="C17" i="8"/>
  <c r="C43" i="8"/>
  <c r="C53" i="8"/>
  <c r="C49" i="8"/>
  <c r="E90" i="7"/>
  <c r="F90" i="7"/>
  <c r="D21" i="5"/>
  <c r="D41" i="4"/>
  <c r="E56" i="4"/>
  <c r="F56" i="4"/>
  <c r="E61" i="4"/>
  <c r="C35" i="22"/>
  <c r="C54" i="22"/>
  <c r="C46" i="22"/>
  <c r="C40" i="22"/>
  <c r="C36" i="22"/>
  <c r="C30" i="22"/>
  <c r="E53" i="22"/>
  <c r="E45" i="22"/>
  <c r="E39" i="22"/>
  <c r="E35" i="22"/>
  <c r="E29" i="22"/>
  <c r="E54" i="22"/>
  <c r="E46" i="22"/>
  <c r="D53" i="22"/>
  <c r="D45" i="22"/>
  <c r="D39" i="22"/>
  <c r="D35" i="22"/>
  <c r="D29" i="22"/>
  <c r="C259" i="18"/>
  <c r="C263" i="18"/>
  <c r="D252" i="18"/>
  <c r="E243" i="18"/>
  <c r="C211" i="18"/>
  <c r="C235" i="18" s="1"/>
  <c r="E210" i="18"/>
  <c r="E260" i="18"/>
  <c r="C180" i="18"/>
  <c r="C145" i="18"/>
  <c r="C181" i="18" s="1"/>
  <c r="E264" i="17"/>
  <c r="F264" i="17"/>
  <c r="E215" i="17"/>
  <c r="E267" i="17"/>
  <c r="E200" i="17"/>
  <c r="F200" i="17"/>
  <c r="C272" i="17"/>
  <c r="C287" i="17"/>
  <c r="C291" i="17" s="1"/>
  <c r="C284" i="17"/>
  <c r="C279" i="17"/>
  <c r="C62" i="17"/>
  <c r="C63" i="17" s="1"/>
  <c r="C140" i="17"/>
  <c r="C270" i="17"/>
  <c r="E283" i="17"/>
  <c r="F283" i="17" s="1"/>
  <c r="D286" i="17"/>
  <c r="E286" i="17"/>
  <c r="F199" i="17"/>
  <c r="F255" i="17"/>
  <c r="C288" i="17"/>
  <c r="F37" i="17"/>
  <c r="C49" i="17"/>
  <c r="C50" i="17" s="1"/>
  <c r="C271" i="17"/>
  <c r="C268" i="17"/>
  <c r="C263" i="17"/>
  <c r="E172" i="17"/>
  <c r="C173" i="17"/>
  <c r="D161" i="17"/>
  <c r="D91" i="17"/>
  <c r="E21" i="17"/>
  <c r="F21" i="17" s="1"/>
  <c r="D49" i="17"/>
  <c r="E181" i="17"/>
  <c r="D125" i="17"/>
  <c r="C17" i="13"/>
  <c r="C28" i="13"/>
  <c r="C70" i="13" s="1"/>
  <c r="C72" i="13" s="1"/>
  <c r="C69" i="13" s="1"/>
  <c r="E24" i="13"/>
  <c r="E20" i="13" s="1"/>
  <c r="E28" i="13"/>
  <c r="D34" i="12"/>
  <c r="C34" i="12"/>
  <c r="C112" i="8"/>
  <c r="C111" i="8"/>
  <c r="C28" i="8"/>
  <c r="C99" i="8" s="1"/>
  <c r="C101" i="8" s="1"/>
  <c r="D24" i="8"/>
  <c r="D20" i="8" s="1"/>
  <c r="D17" i="8"/>
  <c r="D55" i="22"/>
  <c r="D47" i="22"/>
  <c r="D37" i="22"/>
  <c r="C56" i="22"/>
  <c r="E55" i="22"/>
  <c r="E47" i="22"/>
  <c r="E37" i="22"/>
  <c r="C127" i="18"/>
  <c r="C123" i="18"/>
  <c r="C128" i="18" s="1"/>
  <c r="C129" i="18" s="1"/>
  <c r="C121" i="18"/>
  <c r="C114" i="18"/>
  <c r="C112" i="18"/>
  <c r="C126" i="18"/>
  <c r="C124" i="18"/>
  <c r="C122" i="18"/>
  <c r="C115" i="18"/>
  <c r="C111" i="18"/>
  <c r="C109" i="18"/>
  <c r="D50" i="17"/>
  <c r="D127" i="17"/>
  <c r="C289" i="17"/>
  <c r="D92" i="17"/>
  <c r="F173" i="17"/>
  <c r="E173" i="17"/>
  <c r="C273" i="17"/>
  <c r="D70" i="13"/>
  <c r="D72" i="13" s="1"/>
  <c r="D69" i="13" s="1"/>
  <c r="C305" i="17" l="1"/>
  <c r="C112" i="22"/>
  <c r="C37" i="22"/>
  <c r="C55" i="22"/>
  <c r="C47" i="22"/>
  <c r="E43" i="4"/>
  <c r="E161" i="17"/>
  <c r="D162" i="17"/>
  <c r="D95" i="6"/>
  <c r="E95" i="6" s="1"/>
  <c r="C41" i="20"/>
  <c r="E39" i="20"/>
  <c r="E41" i="20" s="1"/>
  <c r="C22" i="13"/>
  <c r="C216" i="17"/>
  <c r="D22" i="13"/>
  <c r="E124" i="17"/>
  <c r="F124" i="17"/>
  <c r="C98" i="8"/>
  <c r="E140" i="8"/>
  <c r="E138" i="8"/>
  <c r="E135" i="8"/>
  <c r="E141" i="8" s="1"/>
  <c r="F89" i="9"/>
  <c r="E89" i="9"/>
  <c r="E53" i="17"/>
  <c r="F53" i="17"/>
  <c r="C117" i="18"/>
  <c r="C131" i="18" s="1"/>
  <c r="C42" i="12"/>
  <c r="F34" i="12"/>
  <c r="D35" i="5"/>
  <c r="E136" i="8"/>
  <c r="F188" i="7"/>
  <c r="E119" i="10"/>
  <c r="E50" i="15"/>
  <c r="F50" i="15" s="1"/>
  <c r="E70" i="15"/>
  <c r="F70" i="15" s="1"/>
  <c r="E14" i="16"/>
  <c r="F14" i="16" s="1"/>
  <c r="E31" i="17"/>
  <c r="F31" i="17" s="1"/>
  <c r="D32" i="17"/>
  <c r="E48" i="17"/>
  <c r="F48" i="17" s="1"/>
  <c r="C125" i="17"/>
  <c r="C160" i="17"/>
  <c r="C90" i="17"/>
  <c r="D24" i="13"/>
  <c r="E274" i="17"/>
  <c r="F274" i="17" s="1"/>
  <c r="C141" i="17"/>
  <c r="F18" i="5"/>
  <c r="E188" i="7"/>
  <c r="E15" i="8"/>
  <c r="E25" i="8"/>
  <c r="E27" i="8" s="1"/>
  <c r="F30" i="15"/>
  <c r="E30" i="15"/>
  <c r="F158" i="17"/>
  <c r="E158" i="17"/>
  <c r="C193" i="17"/>
  <c r="C159" i="17"/>
  <c r="C192" i="17"/>
  <c r="E192" i="17" s="1"/>
  <c r="D214" i="17"/>
  <c r="D277" i="17"/>
  <c r="D261" i="17"/>
  <c r="D206" i="17"/>
  <c r="E206" i="17" s="1"/>
  <c r="F206" i="17" s="1"/>
  <c r="D190" i="17"/>
  <c r="E190" i="17" s="1"/>
  <c r="F190" i="17" s="1"/>
  <c r="E188" i="17"/>
  <c r="F188" i="17" s="1"/>
  <c r="E70" i="13"/>
  <c r="E72" i="13" s="1"/>
  <c r="E69" i="13" s="1"/>
  <c r="E22" i="13"/>
  <c r="E41" i="6"/>
  <c r="F41" i="6" s="1"/>
  <c r="D52" i="6"/>
  <c r="C77" i="22"/>
  <c r="C101" i="22"/>
  <c r="C103" i="22" s="1"/>
  <c r="E41" i="4"/>
  <c r="F41" i="4" s="1"/>
  <c r="D108" i="22"/>
  <c r="D109" i="22"/>
  <c r="D110" i="22"/>
  <c r="E50" i="17"/>
  <c r="F50" i="17" s="1"/>
  <c r="C70" i="17"/>
  <c r="E73" i="4"/>
  <c r="F73" i="4" s="1"/>
  <c r="D75" i="4"/>
  <c r="D326" i="18"/>
  <c r="E324" i="18"/>
  <c r="E57" i="8"/>
  <c r="E62" i="8" s="1"/>
  <c r="E43" i="8"/>
  <c r="E49" i="8"/>
  <c r="E53" i="8"/>
  <c r="C139" i="8"/>
  <c r="C136" i="8"/>
  <c r="C141" i="8" s="1"/>
  <c r="C140" i="8"/>
  <c r="C138" i="8"/>
  <c r="E281" i="18"/>
  <c r="D112" i="22"/>
  <c r="C110" i="22"/>
  <c r="C53" i="22"/>
  <c r="C45" i="22"/>
  <c r="C39" i="22"/>
  <c r="E65" i="4"/>
  <c r="F65" i="4" s="1"/>
  <c r="D137" i="8"/>
  <c r="D139" i="8"/>
  <c r="D140" i="8"/>
  <c r="D138" i="8"/>
  <c r="D135" i="8"/>
  <c r="D136" i="8"/>
  <c r="D61" i="17"/>
  <c r="E60" i="17"/>
  <c r="F60" i="17" s="1"/>
  <c r="E85" i="17"/>
  <c r="F85" i="17" s="1"/>
  <c r="D28" i="8"/>
  <c r="D112" i="8"/>
  <c r="D111" i="8" s="1"/>
  <c r="F270" i="17"/>
  <c r="C21" i="5"/>
  <c r="E21" i="5" s="1"/>
  <c r="C126" i="17"/>
  <c r="C161" i="17"/>
  <c r="C91" i="17"/>
  <c r="F61" i="4"/>
  <c r="F294" i="17"/>
  <c r="E294" i="17"/>
  <c r="C156" i="18"/>
  <c r="C163" i="18"/>
  <c r="E151" i="18"/>
  <c r="F95" i="7"/>
  <c r="C33" i="14"/>
  <c r="C31" i="14"/>
  <c r="E302" i="18"/>
  <c r="E316" i="18"/>
  <c r="E34" i="12"/>
  <c r="D42" i="12"/>
  <c r="F269" i="17"/>
  <c r="E163" i="18"/>
  <c r="E117" i="10"/>
  <c r="F117" i="10"/>
  <c r="D33" i="14"/>
  <c r="D36" i="14" s="1"/>
  <c r="D38" i="14" s="1"/>
  <c r="D40" i="14" s="1"/>
  <c r="D31" i="14"/>
  <c r="D43" i="18"/>
  <c r="E37" i="18"/>
  <c r="D76" i="18"/>
  <c r="E76" i="18" s="1"/>
  <c r="E20" i="20"/>
  <c r="F20" i="20" s="1"/>
  <c r="C21" i="8"/>
  <c r="E19" i="20"/>
  <c r="F19" i="20" s="1"/>
  <c r="F49" i="6"/>
  <c r="E49" i="6"/>
  <c r="E65" i="11"/>
  <c r="F65" i="11" s="1"/>
  <c r="D102" i="17"/>
  <c r="E101" i="17"/>
  <c r="F101" i="17" s="1"/>
  <c r="D234" i="18"/>
  <c r="E234" i="18" s="1"/>
  <c r="D211" i="18"/>
  <c r="D20" i="13"/>
  <c r="E49" i="17"/>
  <c r="F49" i="17" s="1"/>
  <c r="C104" i="17"/>
  <c r="E205" i="17"/>
  <c r="F205" i="17" s="1"/>
  <c r="F215" i="17"/>
  <c r="F172" i="17"/>
  <c r="C207" i="17"/>
  <c r="C110" i="18"/>
  <c r="C116" i="18" s="1"/>
  <c r="C113" i="18"/>
  <c r="C125" i="18"/>
  <c r="E36" i="22"/>
  <c r="E40" i="22"/>
  <c r="E30" i="22"/>
  <c r="F38" i="6"/>
  <c r="D53" i="8"/>
  <c r="D43" i="8"/>
  <c r="D49" i="8"/>
  <c r="D57" i="8"/>
  <c r="D62" i="8" s="1"/>
  <c r="E166" i="8"/>
  <c r="E208" i="9"/>
  <c r="D111" i="17"/>
  <c r="E111" i="17" s="1"/>
  <c r="E109" i="17"/>
  <c r="F109" i="17" s="1"/>
  <c r="F120" i="17"/>
  <c r="F290" i="17"/>
  <c r="F42" i="6"/>
  <c r="C52" i="6"/>
  <c r="E79" i="8"/>
  <c r="E144" i="18"/>
  <c r="D180" i="18"/>
  <c r="E180" i="18" s="1"/>
  <c r="D168" i="18"/>
  <c r="D145" i="18"/>
  <c r="E162" i="18"/>
  <c r="E278" i="18"/>
  <c r="F33" i="20"/>
  <c r="E36" i="20"/>
  <c r="F36" i="20" s="1"/>
  <c r="C38" i="22"/>
  <c r="C48" i="22"/>
  <c r="D289" i="18"/>
  <c r="E289" i="18" s="1"/>
  <c r="D65" i="18"/>
  <c r="D244" i="18"/>
  <c r="E244" i="18" s="1"/>
  <c r="D222" i="18"/>
  <c r="C37" i="19"/>
  <c r="C38" i="19" s="1"/>
  <c r="C127" i="19" s="1"/>
  <c r="C129" i="19" s="1"/>
  <c r="C133" i="19" s="1"/>
  <c r="C22" i="19"/>
  <c r="D46" i="20"/>
  <c r="E43" i="20"/>
  <c r="C22" i="8"/>
  <c r="C20" i="13"/>
  <c r="C295" i="18"/>
  <c r="C247" i="18"/>
  <c r="F95" i="6"/>
  <c r="D95" i="7"/>
  <c r="E95" i="7" s="1"/>
  <c r="D153" i="8"/>
  <c r="D155" i="8"/>
  <c r="C75" i="11"/>
  <c r="D137" i="17"/>
  <c r="E136" i="17"/>
  <c r="F136" i="17" s="1"/>
  <c r="E301" i="18"/>
  <c r="C303" i="18"/>
  <c r="C306" i="18" s="1"/>
  <c r="C310" i="18" s="1"/>
  <c r="C174" i="17"/>
  <c r="D154" i="8"/>
  <c r="D158" i="8" s="1"/>
  <c r="C300" i="17"/>
  <c r="E126" i="17"/>
  <c r="C105" i="17"/>
  <c r="C175" i="17"/>
  <c r="D320" i="18"/>
  <c r="E320" i="18" s="1"/>
  <c r="E156" i="18"/>
  <c r="E43" i="6"/>
  <c r="F43" i="6" s="1"/>
  <c r="E46" i="6"/>
  <c r="E30" i="7"/>
  <c r="F30" i="7" s="1"/>
  <c r="C156" i="8"/>
  <c r="C153" i="8"/>
  <c r="C158" i="8" s="1"/>
  <c r="E114" i="9"/>
  <c r="F153" i="9"/>
  <c r="E153" i="9"/>
  <c r="E198" i="9"/>
  <c r="D207" i="9"/>
  <c r="D41" i="11"/>
  <c r="E41" i="11" s="1"/>
  <c r="F41" i="11" s="1"/>
  <c r="E38" i="11"/>
  <c r="F38" i="11" s="1"/>
  <c r="E56" i="11"/>
  <c r="F56" i="11"/>
  <c r="E31" i="14"/>
  <c r="E33" i="14"/>
  <c r="E36" i="14" s="1"/>
  <c r="E38" i="14" s="1"/>
  <c r="E40" i="14" s="1"/>
  <c r="F111" i="17"/>
  <c r="D193" i="17"/>
  <c r="C146" i="17"/>
  <c r="F165" i="17"/>
  <c r="E75" i="18"/>
  <c r="C75" i="4"/>
  <c r="F55" i="15"/>
  <c r="C87" i="18"/>
  <c r="C84" i="18"/>
  <c r="C90" i="18" s="1"/>
  <c r="C100" i="18"/>
  <c r="C97" i="18"/>
  <c r="C89" i="18"/>
  <c r="C96" i="18"/>
  <c r="C102" i="18" s="1"/>
  <c r="C103" i="18" s="1"/>
  <c r="C83" i="18"/>
  <c r="C91" i="18" s="1"/>
  <c r="C105" i="18" s="1"/>
  <c r="C86" i="18"/>
  <c r="F29" i="4"/>
  <c r="C43" i="4"/>
  <c r="F141" i="9"/>
  <c r="F58" i="15"/>
  <c r="E60" i="15"/>
  <c r="F60" i="15" s="1"/>
  <c r="F18" i="16"/>
  <c r="D68" i="17"/>
  <c r="E68" i="17" s="1"/>
  <c r="F68" i="17" s="1"/>
  <c r="F285" i="17"/>
  <c r="C22" i="18"/>
  <c r="E21" i="18"/>
  <c r="C304" i="17"/>
  <c r="E298" i="17"/>
  <c r="D55" i="18"/>
  <c r="E54" i="18"/>
  <c r="D245" i="18"/>
  <c r="E245" i="18" s="1"/>
  <c r="E221" i="18"/>
  <c r="D303" i="18"/>
  <c r="F35" i="17"/>
  <c r="C258" i="18"/>
  <c r="F47" i="6"/>
  <c r="F68" i="6"/>
  <c r="E204" i="9"/>
  <c r="D43" i="11"/>
  <c r="E43" i="11" s="1"/>
  <c r="F43" i="11" s="1"/>
  <c r="D278" i="17"/>
  <c r="D262" i="17"/>
  <c r="E73" i="18"/>
  <c r="F22" i="4"/>
  <c r="E18" i="7"/>
  <c r="F18" i="7" s="1"/>
  <c r="E73" i="11"/>
  <c r="F73" i="11" s="1"/>
  <c r="D75" i="11"/>
  <c r="E75" i="11" s="1"/>
  <c r="E57" i="13"/>
  <c r="F65" i="15"/>
  <c r="F100" i="15"/>
  <c r="E77" i="17"/>
  <c r="D146" i="17"/>
  <c r="E146" i="17" s="1"/>
  <c r="E145" i="17"/>
  <c r="F145" i="17" s="1"/>
  <c r="D241" i="18"/>
  <c r="E241" i="18" s="1"/>
  <c r="D102" i="22"/>
  <c r="D101" i="22"/>
  <c r="E38" i="4"/>
  <c r="F38" i="4" s="1"/>
  <c r="E42" i="6"/>
  <c r="F45" i="6"/>
  <c r="E50" i="6"/>
  <c r="F81" i="6"/>
  <c r="E111" i="6"/>
  <c r="F111" i="6" s="1"/>
  <c r="C207" i="9"/>
  <c r="F207" i="9" s="1"/>
  <c r="F198" i="9"/>
  <c r="E55" i="15"/>
  <c r="E107" i="15"/>
  <c r="F107" i="15" s="1"/>
  <c r="D239" i="17"/>
  <c r="E239" i="17" s="1"/>
  <c r="D283" i="18"/>
  <c r="E283" i="18" s="1"/>
  <c r="E69" i="18"/>
  <c r="E229" i="18"/>
  <c r="E287" i="18"/>
  <c r="E25" i="20"/>
  <c r="F25" i="20" s="1"/>
  <c r="E32" i="12"/>
  <c r="F32" i="12" s="1"/>
  <c r="D80" i="13"/>
  <c r="D77" i="13" s="1"/>
  <c r="E45" i="15"/>
  <c r="E94" i="17"/>
  <c r="F94" i="17" s="1"/>
  <c r="E130" i="17"/>
  <c r="F130" i="17" s="1"/>
  <c r="C239" i="17"/>
  <c r="E42" i="18"/>
  <c r="E72" i="18"/>
  <c r="C64" i="19"/>
  <c r="C65" i="19" s="1"/>
  <c r="C114" i="19" s="1"/>
  <c r="C116" i="19" s="1"/>
  <c r="C119" i="19" s="1"/>
  <c r="C123" i="19" s="1"/>
  <c r="C49" i="19"/>
  <c r="E71" i="8"/>
  <c r="E23" i="15"/>
  <c r="F23" i="15" s="1"/>
  <c r="E165" i="18"/>
  <c r="E177" i="18"/>
  <c r="D23" i="22"/>
  <c r="D33" i="22"/>
  <c r="D34" i="22"/>
  <c r="E77" i="22"/>
  <c r="I31" i="14" l="1"/>
  <c r="H31" i="14"/>
  <c r="D141" i="8"/>
  <c r="D330" i="18"/>
  <c r="E330" i="18" s="1"/>
  <c r="E326" i="18"/>
  <c r="E108" i="22"/>
  <c r="E109" i="22"/>
  <c r="E110" i="22"/>
  <c r="E112" i="22"/>
  <c r="E111" i="22"/>
  <c r="E55" i="18"/>
  <c r="D284" i="18"/>
  <c r="D253" i="18"/>
  <c r="E222" i="18"/>
  <c r="D223" i="18"/>
  <c r="D246" i="18"/>
  <c r="E246" i="18" s="1"/>
  <c r="E152" i="8"/>
  <c r="E154" i="8"/>
  <c r="E155" i="8"/>
  <c r="E157" i="8"/>
  <c r="E153" i="8"/>
  <c r="E156" i="8"/>
  <c r="D99" i="8"/>
  <c r="D101" i="8" s="1"/>
  <c r="D98" i="8" s="1"/>
  <c r="D22" i="8"/>
  <c r="E21" i="8"/>
  <c r="E125" i="17"/>
  <c r="F125" i="17" s="1"/>
  <c r="D207" i="17"/>
  <c r="E137" i="17"/>
  <c r="F137" i="17" s="1"/>
  <c r="D138" i="17"/>
  <c r="E138" i="17" s="1"/>
  <c r="F138" i="17" s="1"/>
  <c r="E17" i="8"/>
  <c r="E24" i="8"/>
  <c r="E20" i="8" s="1"/>
  <c r="C310" i="17"/>
  <c r="D77" i="18"/>
  <c r="D103" i="22"/>
  <c r="E278" i="17"/>
  <c r="F278" i="17" s="1"/>
  <c r="D288" i="17"/>
  <c r="E288" i="17" s="1"/>
  <c r="F288" i="17" s="1"/>
  <c r="E207" i="9"/>
  <c r="E52" i="6"/>
  <c r="C208" i="17"/>
  <c r="D268" i="17"/>
  <c r="E268" i="17" s="1"/>
  <c r="F268" i="17" s="1"/>
  <c r="E261" i="17"/>
  <c r="F261" i="17" s="1"/>
  <c r="D263" i="17"/>
  <c r="E263" i="17" s="1"/>
  <c r="F263" i="17" s="1"/>
  <c r="D271" i="17"/>
  <c r="F90" i="17"/>
  <c r="E56" i="22"/>
  <c r="E113" i="22"/>
  <c r="E48" i="22"/>
  <c r="E38" i="22"/>
  <c r="F52" i="6"/>
  <c r="E90" i="17"/>
  <c r="E75" i="4"/>
  <c r="F75" i="4" s="1"/>
  <c r="C322" i="17"/>
  <c r="F174" i="17"/>
  <c r="E91" i="17"/>
  <c r="F91" i="17" s="1"/>
  <c r="C92" i="17"/>
  <c r="F192" i="17"/>
  <c r="C267" i="18"/>
  <c r="C264" i="18"/>
  <c r="C266" i="18" s="1"/>
  <c r="F75" i="11"/>
  <c r="F161" i="17"/>
  <c r="C162" i="17"/>
  <c r="C309" i="17"/>
  <c r="F43" i="4"/>
  <c r="F146" i="17"/>
  <c r="D181" i="18"/>
  <c r="E181" i="18" s="1"/>
  <c r="D169" i="18"/>
  <c r="E145" i="18"/>
  <c r="F104" i="17"/>
  <c r="D49" i="12"/>
  <c r="E49" i="12" s="1"/>
  <c r="E42" i="12"/>
  <c r="F42" i="12" s="1"/>
  <c r="F126" i="17"/>
  <c r="C127" i="17"/>
  <c r="C108" i="22"/>
  <c r="C111" i="22"/>
  <c r="C113" i="22"/>
  <c r="C109" i="22"/>
  <c r="C194" i="17"/>
  <c r="C282" i="17"/>
  <c r="C266" i="17"/>
  <c r="E32" i="17"/>
  <c r="F32" i="17" s="1"/>
  <c r="D62" i="17"/>
  <c r="D175" i="17"/>
  <c r="D140" i="17"/>
  <c r="D105" i="17"/>
  <c r="F39" i="20"/>
  <c r="E211" i="18"/>
  <c r="D235" i="18"/>
  <c r="E235" i="18" s="1"/>
  <c r="D279" i="17"/>
  <c r="E279" i="17" s="1"/>
  <c r="F279" i="17" s="1"/>
  <c r="D287" i="17"/>
  <c r="E277" i="17"/>
  <c r="F277" i="17" s="1"/>
  <c r="D284" i="17"/>
  <c r="E284" i="17" s="1"/>
  <c r="F284" i="17" s="1"/>
  <c r="F160" i="17"/>
  <c r="E160" i="17"/>
  <c r="C49" i="12"/>
  <c r="C36" i="14"/>
  <c r="C38" i="14" s="1"/>
  <c r="C40" i="14" s="1"/>
  <c r="I33" i="14"/>
  <c r="I36" i="14" s="1"/>
  <c r="I38" i="14" s="1"/>
  <c r="I40" i="14" s="1"/>
  <c r="H33" i="14"/>
  <c r="H36" i="14" s="1"/>
  <c r="H38" i="14" s="1"/>
  <c r="H40" i="14" s="1"/>
  <c r="E214" i="17"/>
  <c r="F214" i="17" s="1"/>
  <c r="D216" i="17"/>
  <c r="E216" i="17" s="1"/>
  <c r="F216" i="17" s="1"/>
  <c r="D254" i="17"/>
  <c r="C176" i="17"/>
  <c r="F176" i="17" s="1"/>
  <c r="C106" i="17"/>
  <c r="E65" i="18"/>
  <c r="D66" i="18"/>
  <c r="D294" i="18"/>
  <c r="E294" i="18" s="1"/>
  <c r="E102" i="17"/>
  <c r="F102" i="17" s="1"/>
  <c r="D103" i="17"/>
  <c r="E103" i="17" s="1"/>
  <c r="F103" i="17" s="1"/>
  <c r="F159" i="17"/>
  <c r="E159" i="17"/>
  <c r="D54" i="22"/>
  <c r="D46" i="22"/>
  <c r="D40" i="22"/>
  <c r="D111" i="22"/>
  <c r="D36" i="22"/>
  <c r="D30" i="22"/>
  <c r="F239" i="17"/>
  <c r="D272" i="17"/>
  <c r="E272" i="17" s="1"/>
  <c r="F272" i="17" s="1"/>
  <c r="E262" i="17"/>
  <c r="F262" i="17" s="1"/>
  <c r="E303" i="18"/>
  <c r="D306" i="18"/>
  <c r="C284" i="18"/>
  <c r="E22" i="18"/>
  <c r="D266" i="17"/>
  <c r="D194" i="17"/>
  <c r="D282" i="17"/>
  <c r="E193" i="17"/>
  <c r="F193" i="17" s="1"/>
  <c r="F43" i="20"/>
  <c r="E46" i="20"/>
  <c r="F46" i="20" s="1"/>
  <c r="E168" i="18"/>
  <c r="E43" i="18"/>
  <c r="D44" i="18"/>
  <c r="D259" i="18"/>
  <c r="C157" i="18"/>
  <c r="C168" i="18"/>
  <c r="F21" i="5"/>
  <c r="C35" i="5"/>
  <c r="D139" i="17"/>
  <c r="E139" i="17" s="1"/>
  <c r="F139" i="17" s="1"/>
  <c r="D174" i="17"/>
  <c r="E174" i="17" s="1"/>
  <c r="E61" i="17"/>
  <c r="F61" i="17" s="1"/>
  <c r="D104" i="17"/>
  <c r="E104" i="17" s="1"/>
  <c r="D43" i="5"/>
  <c r="F41" i="20"/>
  <c r="E300" i="17"/>
  <c r="F300" i="17" s="1"/>
  <c r="C265" i="17" l="1"/>
  <c r="C312" i="17"/>
  <c r="D310" i="18"/>
  <c r="E310" i="18" s="1"/>
  <c r="E306" i="18"/>
  <c r="D295" i="18"/>
  <c r="E295" i="18" s="1"/>
  <c r="E66" i="18"/>
  <c r="C281" i="17"/>
  <c r="D50" i="5"/>
  <c r="C196" i="17"/>
  <c r="F194" i="17"/>
  <c r="C195" i="17"/>
  <c r="E112" i="8"/>
  <c r="E111" i="8" s="1"/>
  <c r="E28" i="8"/>
  <c r="E175" i="17"/>
  <c r="F175" i="17" s="1"/>
  <c r="D176" i="17"/>
  <c r="C323" i="17"/>
  <c r="F323" i="17" s="1"/>
  <c r="F162" i="17"/>
  <c r="C183" i="17"/>
  <c r="F183" i="17" s="1"/>
  <c r="E62" i="17"/>
  <c r="F62" i="17" s="1"/>
  <c r="D63" i="17"/>
  <c r="E254" i="17"/>
  <c r="F254" i="17" s="1"/>
  <c r="C197" i="17"/>
  <c r="C148" i="17"/>
  <c r="E127" i="17"/>
  <c r="F127" i="17" s="1"/>
  <c r="C269" i="18"/>
  <c r="C268" i="18"/>
  <c r="E284" i="18"/>
  <c r="F35" i="5"/>
  <c r="C43" i="5"/>
  <c r="E43" i="5" s="1"/>
  <c r="E271" i="17"/>
  <c r="F271" i="17" s="1"/>
  <c r="D273" i="17"/>
  <c r="E273" i="17" s="1"/>
  <c r="F273" i="17" s="1"/>
  <c r="D304" i="17"/>
  <c r="E158" i="8"/>
  <c r="E35" i="5"/>
  <c r="D289" i="17"/>
  <c r="E289" i="17" s="1"/>
  <c r="F289" i="17" s="1"/>
  <c r="D291" i="17"/>
  <c r="E287" i="17"/>
  <c r="F287" i="17" s="1"/>
  <c r="E282" i="17"/>
  <c r="F282" i="17" s="1"/>
  <c r="D281" i="17"/>
  <c r="E281" i="17" s="1"/>
  <c r="D124" i="18"/>
  <c r="E124" i="18" s="1"/>
  <c r="D123" i="18"/>
  <c r="E123" i="18" s="1"/>
  <c r="D111" i="18"/>
  <c r="E111" i="18" s="1"/>
  <c r="D110" i="18"/>
  <c r="D122" i="18"/>
  <c r="D112" i="18"/>
  <c r="E112" i="18" s="1"/>
  <c r="D126" i="18"/>
  <c r="E126" i="18" s="1"/>
  <c r="D114" i="18"/>
  <c r="E114" i="18" s="1"/>
  <c r="D113" i="18"/>
  <c r="E113" i="18" s="1"/>
  <c r="D109" i="18"/>
  <c r="D115" i="18"/>
  <c r="E115" i="18" s="1"/>
  <c r="D127" i="18"/>
  <c r="E127" i="18" s="1"/>
  <c r="E77" i="18"/>
  <c r="D125" i="18"/>
  <c r="E125" i="18" s="1"/>
  <c r="D121" i="18"/>
  <c r="D247" i="18"/>
  <c r="E247" i="18" s="1"/>
  <c r="E223" i="18"/>
  <c r="E259" i="18"/>
  <c r="D263" i="18"/>
  <c r="E263" i="18" s="1"/>
  <c r="D196" i="17"/>
  <c r="D195" i="17"/>
  <c r="E194" i="17"/>
  <c r="E169" i="18"/>
  <c r="C210" i="17"/>
  <c r="C209" i="17"/>
  <c r="D208" i="17"/>
  <c r="E207" i="17"/>
  <c r="F207" i="17" s="1"/>
  <c r="D106" i="17"/>
  <c r="E105" i="17"/>
  <c r="F105" i="17" s="1"/>
  <c r="E92" i="17"/>
  <c r="F92" i="17" s="1"/>
  <c r="C324" i="17"/>
  <c r="C113" i="17"/>
  <c r="E140" i="17"/>
  <c r="F140" i="17" s="1"/>
  <c r="D141" i="17"/>
  <c r="C169" i="18"/>
  <c r="E157" i="18"/>
  <c r="D98" i="18"/>
  <c r="E98" i="18" s="1"/>
  <c r="D101" i="18"/>
  <c r="E101" i="18" s="1"/>
  <c r="D86" i="18"/>
  <c r="E86" i="18" s="1"/>
  <c r="D84" i="18"/>
  <c r="D85" i="18"/>
  <c r="E85" i="18" s="1"/>
  <c r="D100" i="18"/>
  <c r="E100" i="18" s="1"/>
  <c r="D258" i="18"/>
  <c r="D95" i="18"/>
  <c r="D96" i="18"/>
  <c r="D89" i="18"/>
  <c r="E89" i="18" s="1"/>
  <c r="D97" i="18"/>
  <c r="E97" i="18" s="1"/>
  <c r="D88" i="18"/>
  <c r="E88" i="18" s="1"/>
  <c r="D99" i="18"/>
  <c r="E99" i="18" s="1"/>
  <c r="D87" i="18"/>
  <c r="E87" i="18" s="1"/>
  <c r="E44" i="18"/>
  <c r="D83" i="18"/>
  <c r="E266" i="17"/>
  <c r="F266" i="17" s="1"/>
  <c r="D265" i="17"/>
  <c r="E265" i="17" s="1"/>
  <c r="D38" i="22"/>
  <c r="D113" i="22"/>
  <c r="D48" i="22"/>
  <c r="D56" i="22"/>
  <c r="F49" i="12"/>
  <c r="C211" i="17"/>
  <c r="E253" i="18"/>
  <c r="D254" i="18"/>
  <c r="E254" i="18" s="1"/>
  <c r="E162" i="17"/>
  <c r="E96" i="18" l="1"/>
  <c r="D102" i="18"/>
  <c r="E102" i="18" s="1"/>
  <c r="E121" i="18"/>
  <c r="D129" i="18"/>
  <c r="E129" i="18" s="1"/>
  <c r="F148" i="17"/>
  <c r="D264" i="18"/>
  <c r="E258" i="18"/>
  <c r="E195" i="17"/>
  <c r="D305" i="17"/>
  <c r="E291" i="17"/>
  <c r="F291" i="17" s="1"/>
  <c r="E176" i="17"/>
  <c r="D183" i="17"/>
  <c r="E183" i="17" s="1"/>
  <c r="D323" i="17"/>
  <c r="E323" i="17" s="1"/>
  <c r="E304" i="17"/>
  <c r="F304" i="17" s="1"/>
  <c r="D103" i="18"/>
  <c r="E103" i="18" s="1"/>
  <c r="E95" i="18"/>
  <c r="E106" i="17"/>
  <c r="F106" i="17" s="1"/>
  <c r="D324" i="17"/>
  <c r="D113" i="17"/>
  <c r="E113" i="17" s="1"/>
  <c r="F113" i="17" s="1"/>
  <c r="D128" i="18"/>
  <c r="E128" i="18" s="1"/>
  <c r="E122" i="18"/>
  <c r="E208" i="17"/>
  <c r="F208" i="17" s="1"/>
  <c r="D209" i="17"/>
  <c r="E209" i="17" s="1"/>
  <c r="D210" i="17"/>
  <c r="D116" i="18"/>
  <c r="E116" i="18" s="1"/>
  <c r="E110" i="18"/>
  <c r="C313" i="17"/>
  <c r="E84" i="18"/>
  <c r="D90" i="18"/>
  <c r="E90" i="18" s="1"/>
  <c r="F209" i="17"/>
  <c r="F265" i="17"/>
  <c r="F195" i="17"/>
  <c r="E83" i="18"/>
  <c r="D322" i="17"/>
  <c r="E322" i="17" s="1"/>
  <c r="F322" i="17" s="1"/>
  <c r="E141" i="17"/>
  <c r="F141" i="17" s="1"/>
  <c r="D148" i="17"/>
  <c r="E148" i="17" s="1"/>
  <c r="C50" i="5"/>
  <c r="F43" i="5"/>
  <c r="E196" i="17"/>
  <c r="F196" i="17" s="1"/>
  <c r="D197" i="17"/>
  <c r="E197" i="17" s="1"/>
  <c r="F197" i="17" s="1"/>
  <c r="C325" i="17"/>
  <c r="E109" i="18"/>
  <c r="C271" i="18"/>
  <c r="E63" i="17"/>
  <c r="F63" i="17" s="1"/>
  <c r="D70" i="17"/>
  <c r="E70" i="17" s="1"/>
  <c r="F70" i="17" s="1"/>
  <c r="E99" i="8"/>
  <c r="E101" i="8" s="1"/>
  <c r="E98" i="8" s="1"/>
  <c r="E22" i="8"/>
  <c r="F281" i="17"/>
  <c r="D266" i="18" l="1"/>
  <c r="E264" i="18"/>
  <c r="D325" i="17"/>
  <c r="E325" i="17" s="1"/>
  <c r="E324" i="17"/>
  <c r="F324" i="17" s="1"/>
  <c r="F325" i="17"/>
  <c r="E305" i="17"/>
  <c r="F305" i="17" s="1"/>
  <c r="D309" i="17"/>
  <c r="D117" i="18"/>
  <c r="D211" i="17"/>
  <c r="E211" i="17" s="1"/>
  <c r="F211" i="17" s="1"/>
  <c r="E210" i="17"/>
  <c r="F210" i="17" s="1"/>
  <c r="E50" i="5"/>
  <c r="F50" i="5" s="1"/>
  <c r="D91" i="18"/>
  <c r="C314" i="17"/>
  <c r="C256" i="17"/>
  <c r="C251" i="17"/>
  <c r="C315" i="17"/>
  <c r="E309" i="17" l="1"/>
  <c r="F309" i="17" s="1"/>
  <c r="D310" i="17"/>
  <c r="C257" i="17"/>
  <c r="C318" i="17"/>
  <c r="D105" i="18"/>
  <c r="E105" i="18" s="1"/>
  <c r="E91" i="18"/>
  <c r="E266" i="18"/>
  <c r="D267" i="18"/>
  <c r="E117" i="18"/>
  <c r="D131" i="18"/>
  <c r="E131" i="18" s="1"/>
  <c r="D312" i="17" l="1"/>
  <c r="E310" i="17"/>
  <c r="F310" i="17" s="1"/>
  <c r="D268" i="18"/>
  <c r="E267" i="18"/>
  <c r="D269" i="18"/>
  <c r="E269" i="18" s="1"/>
  <c r="E268" i="18" l="1"/>
  <c r="D271" i="18"/>
  <c r="E271" i="18" s="1"/>
  <c r="E312" i="17"/>
  <c r="F312" i="17" s="1"/>
  <c r="D313" i="17"/>
  <c r="D251" i="17" l="1"/>
  <c r="E251" i="17" s="1"/>
  <c r="F251" i="17" s="1"/>
  <c r="D314" i="17"/>
  <c r="E313" i="17"/>
  <c r="F313" i="17" s="1"/>
  <c r="D315" i="17"/>
  <c r="E315" i="17" s="1"/>
  <c r="F315" i="17" s="1"/>
  <c r="D256" i="17"/>
  <c r="D318" i="17" l="1"/>
  <c r="E318" i="17" s="1"/>
  <c r="F318" i="17" s="1"/>
  <c r="E314" i="17"/>
  <c r="F314" i="17" s="1"/>
  <c r="E256" i="17"/>
  <c r="F256" i="17" s="1"/>
  <c r="D257" i="17"/>
  <c r="E257" i="17" s="1"/>
  <c r="F257" i="17" s="1"/>
</calcChain>
</file>

<file path=xl/sharedStrings.xml><?xml version="1.0" encoding="utf-8"?>
<sst xmlns="http://schemas.openxmlformats.org/spreadsheetml/2006/main" count="2334" uniqueCount="1011">
  <si>
    <t>CT CHILDREN`S MEDICAL CENTER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</si>
  <si>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</si>
  <si>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</si>
  <si>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</si>
  <si>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</si>
  <si>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</si>
  <si>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</si>
  <si>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</si>
  <si>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</si>
  <si>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</si>
  <si>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</si>
  <si>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</si>
  <si>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</si>
  <si>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</si>
  <si>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</si>
  <si>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</si>
  <si>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</si>
  <si>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</si>
  <si>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</si>
  <si>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</si>
  <si>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</si>
  <si>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</si>
  <si>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</si>
  <si>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</si>
  <si>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</si>
  <si>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</si>
  <si>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</si>
  <si>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</si>
  <si>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</si>
  <si>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</si>
  <si>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</si>
  <si>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</si>
  <si>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</si>
  <si>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</si>
  <si>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</si>
  <si>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</si>
  <si>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</si>
  <si>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</si>
  <si>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</si>
  <si>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</si>
  <si>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</si>
  <si>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</si>
  <si>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</si>
  <si>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</si>
  <si>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</si>
  <si>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</si>
  <si>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</si>
  <si>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</si>
  <si>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</si>
  <si>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</si>
  <si>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</si>
  <si>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</si>
  <si>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</si>
  <si>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</si>
  <si>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</si>
  <si>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</si>
  <si>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</si>
  <si>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</si>
  <si>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</si>
  <si>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</si>
  <si>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</si>
  <si>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</si>
  <si>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</si>
  <si>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</si>
  <si>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</si>
  <si>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</si>
  <si>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</si>
  <si>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</si>
  <si>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</si>
  <si>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</si>
  <si>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</si>
  <si>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</si>
  <si>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</si>
  <si>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</si>
  <si>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</si>
  <si>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</si>
  <si>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</si>
  <si>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</si>
  <si>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</si>
  <si>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</si>
  <si>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</si>
  <si>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</si>
  <si>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</si>
  <si>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</si>
  <si>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</si>
  <si>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</si>
  <si>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</si>
  <si>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</si>
  <si>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</si>
  <si>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</si>
  <si>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</si>
  <si>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</si>
  <si>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</si>
  <si>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</si>
  <si>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</si>
  <si>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</si>
  <si>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</si>
  <si>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</si>
  <si>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</si>
  <si>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</si>
  <si>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</si>
  <si>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</si>
  <si>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</si>
  <si>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</si>
  <si>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</si>
  <si>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</si>
  <si>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</si>
  <si>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</si>
  <si>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</si>
  <si>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</si>
  <si>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</si>
  <si>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</si>
  <si>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</si>
  <si>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</si>
  <si>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</si>
  <si>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</si>
  <si>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</si>
  <si>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</si>
  <si>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</si>
  <si>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</si>
  <si>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</si>
  <si>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</si>
  <si>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</si>
  <si>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</si>
  <si>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</si>
  <si>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</si>
  <si>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</si>
  <si>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</si>
  <si>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</si>
  <si>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</si>
  <si>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</si>
  <si>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</si>
  <si>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</si>
  <si>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</si>
  <si>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</si>
  <si>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</si>
  <si>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</si>
  <si>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</si>
  <si>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</si>
  <si>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</si>
  <si>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</si>
  <si>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</si>
  <si>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</si>
  <si>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</si>
  <si>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</si>
  <si>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</si>
  <si>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</si>
  <si>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</si>
  <si>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</si>
  <si>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</si>
  <si>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</si>
  <si>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</si>
  <si>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</si>
  <si>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</si>
  <si>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</si>
  <si>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</si>
  <si>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</si>
  <si>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</si>
  <si>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</si>
  <si>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</si>
  <si>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</si>
  <si>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</si>
  <si>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</si>
  <si>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</si>
  <si>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</si>
  <si>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</si>
  <si>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</si>
  <si>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</si>
  <si>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</si>
  <si>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</si>
  <si>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</si>
  <si>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</si>
  <si>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</si>
  <si>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</si>
  <si>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</si>
  <si>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</si>
  <si>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</si>
  <si>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</si>
  <si>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</si>
  <si>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</si>
  <si>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</si>
  <si>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</si>
  <si>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</si>
  <si>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</si>
  <si>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</si>
  <si>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</si>
  <si>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</si>
  <si>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</si>
  <si>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</si>
  <si>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</si>
  <si>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</si>
  <si>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</si>
  <si>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</si>
  <si>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</si>
  <si>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</si>
  <si>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</si>
  <si>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</si>
  <si>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</si>
  <si>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</si>
  <si>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</si>
  <si>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</si>
  <si>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</si>
  <si>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</si>
  <si>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</si>
  <si>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</si>
  <si>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</si>
  <si>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</si>
  <si>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</si>
  <si>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</si>
  <si>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</si>
  <si>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</si>
  <si>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</si>
  <si>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</si>
  <si>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</si>
  <si>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</si>
  <si>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</si>
  <si>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</si>
  <si>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</si>
  <si>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</si>
  <si>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</si>
  <si>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</si>
  <si>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</si>
  <si>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</si>
  <si>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</si>
  <si>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</si>
  <si>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</si>
  <si>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</si>
  <si>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</si>
  <si>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</si>
  <si>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</si>
  <si>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</si>
  <si>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</si>
  <si>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</si>
  <si>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</si>
  <si>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</si>
  <si>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</si>
  <si>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</si>
  <si>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</si>
  <si>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</si>
  <si>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</si>
  <si>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</si>
  <si>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</si>
  <si>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</si>
  <si>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</si>
  <si>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</si>
  <si>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</si>
  <si>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</si>
  <si>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</si>
  <si>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</si>
  <si>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</si>
  <si>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</si>
  <si>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</si>
  <si>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</si>
  <si>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</si>
  <si>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</si>
  <si>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</si>
  <si>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</si>
  <si>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</si>
  <si>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</si>
  <si>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</si>
  <si>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</si>
  <si>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</si>
  <si>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</si>
  <si>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</si>
  <si>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</si>
  <si>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</si>
  <si>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</si>
  <si>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</si>
  <si>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</si>
  <si>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</si>
  <si>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</si>
  <si>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</si>
  <si>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</si>
  <si>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</si>
  <si>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</si>
  <si>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</si>
  <si>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</si>
  <si>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</si>
  <si>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</si>
  <si>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</si>
  <si>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</si>
  <si>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</si>
  <si>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</si>
  <si>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</si>
  <si>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</si>
  <si>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</si>
  <si>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</si>
  <si>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</si>
  <si>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</si>
  <si>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</si>
  <si>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</si>
  <si>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</si>
  <si>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</si>
  <si>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</si>
  <si>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</si>
  <si>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</si>
  <si>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</si>
  <si>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</si>
  <si>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</si>
  <si>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</si>
  <si>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</si>
  <si>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</si>
  <si>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</si>
  <si>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</si>
  <si>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</si>
  <si>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</si>
  <si>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</si>
  <si>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</si>
  <si>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</si>
  <si>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</si>
  <si>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</si>
  <si>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</si>
  <si>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</si>
  <si>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</si>
  <si>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</si>
  <si>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</si>
  <si>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</si>
  <si>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</si>
  <si>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</si>
  <si>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</si>
  <si>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</si>
  <si>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</si>
  <si>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</si>
  <si>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</si>
  <si>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</si>
  <si>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</si>
  <si>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</si>
  <si>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</si>
  <si>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</si>
  <si>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</si>
  <si>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</si>
  <si>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</si>
  <si>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</si>
  <si>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</si>
  <si>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</si>
  <si>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</si>
  <si>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</si>
  <si>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</si>
  <si>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</si>
  <si>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</si>
  <si>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</si>
  <si>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</si>
  <si>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</si>
  <si>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</si>
  <si>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</si>
  <si>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</si>
  <si>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</si>
  <si>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</si>
  <si>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</si>
  <si>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</si>
  <si>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</si>
  <si>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</si>
  <si>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</si>
  <si>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</si>
  <si>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</si>
  <si>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</si>
  <si>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</si>
  <si>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</si>
  <si>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</si>
  <si>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</si>
  <si>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</si>
  <si>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</si>
  <si>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</si>
  <si>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</si>
  <si>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</si>
  <si>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</si>
  <si>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</si>
  <si>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</si>
  <si>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</si>
  <si>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</si>
  <si>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</si>
  <si>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</si>
  <si>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</si>
  <si>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</si>
  <si>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</si>
  <si>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</si>
  <si>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</si>
  <si>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</si>
  <si>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</si>
  <si>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</si>
  <si>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</si>
  <si>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</si>
  <si>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</si>
  <si>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</si>
  <si>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</si>
  <si>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</si>
  <si>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</si>
  <si>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</si>
  <si>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</si>
  <si>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</si>
  <si>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</si>
  <si>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</si>
  <si>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</si>
  <si>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</si>
  <si>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</si>
  <si>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</si>
  <si>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</si>
  <si>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</si>
  <si>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</si>
  <si>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</si>
  <si>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</si>
  <si>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</si>
  <si>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</si>
  <si>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</si>
  <si>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</si>
  <si>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</si>
  <si>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</si>
  <si>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</si>
  <si>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</si>
  <si>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</si>
  <si>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</si>
  <si>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</si>
  <si>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</si>
  <si>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</si>
  <si>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</si>
  <si>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</si>
  <si>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</si>
  <si>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</si>
  <si>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</si>
  <si>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</si>
  <si>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</si>
  <si>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</si>
  <si>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</si>
  <si>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</si>
  <si>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</si>
  <si>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</si>
  <si>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</si>
  <si>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</si>
  <si>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</si>
  <si>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</si>
  <si>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</si>
  <si>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</si>
  <si>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</si>
  <si>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</si>
  <si>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</si>
  <si>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</si>
  <si>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</si>
  <si>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</si>
  <si>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</si>
  <si>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</si>
  <si>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</si>
  <si>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</si>
  <si>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</si>
  <si>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</si>
  <si>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</si>
  <si>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</si>
  <si>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</si>
  <si>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</si>
  <si>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</si>
  <si>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</si>
  <si>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</si>
  <si>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</si>
  <si>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</si>
  <si>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</si>
  <si>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</si>
  <si>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</si>
  <si>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</si>
  <si>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</si>
  <si>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</si>
  <si>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</si>
  <si>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</si>
  <si>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</si>
  <si>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</si>
  <si>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</si>
  <si>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</si>
  <si>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</si>
  <si>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</si>
  <si>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</si>
  <si>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</si>
  <si>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</si>
  <si>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</si>
  <si>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</si>
  <si>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</si>
  <si>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</si>
  <si>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</si>
  <si>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</si>
  <si>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</si>
  <si>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</si>
  <si>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</si>
  <si>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</si>
  <si>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</si>
  <si>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</si>
  <si>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</si>
  <si>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</si>
  <si>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</si>
  <si>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</si>
  <si>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</si>
  <si>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</si>
  <si>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</si>
  <si>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</si>
  <si>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</si>
  <si>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</si>
  <si>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</si>
  <si>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</si>
  <si>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</si>
  <si>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</si>
  <si>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</si>
  <si>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</si>
  <si>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</si>
  <si>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</si>
  <si>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CCMC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</si>
  <si>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</si>
  <si>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</si>
  <si>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</si>
  <si>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</si>
  <si>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</si>
  <si>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</si>
  <si>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</si>
  <si>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</si>
  <si>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</si>
  <si>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</si>
  <si>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</si>
  <si>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</si>
  <si>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</si>
  <si>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</si>
  <si>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</si>
  <si>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</si>
  <si>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</si>
  <si>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</si>
  <si>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</si>
  <si>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</si>
  <si>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</si>
  <si>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</si>
  <si>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</si>
  <si>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</si>
  <si>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</si>
  <si>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</si>
  <si>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</si>
  <si>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</si>
  <si>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</si>
  <si>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</si>
  <si>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</si>
  <si>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</si>
  <si>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</si>
  <si>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</si>
  <si>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</si>
  <si>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</si>
  <si>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</si>
  <si>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</si>
  <si>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</si>
  <si>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</si>
  <si>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</si>
  <si>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</si>
  <si>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</si>
  <si>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</si>
  <si>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</si>
  <si>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</si>
  <si>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</si>
  <si>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</si>
  <si>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</si>
  <si>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</si>
  <si>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</si>
  <si>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</si>
  <si>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</si>
  <si>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</si>
  <si>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</si>
  <si>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</si>
  <si>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</si>
  <si>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</si>
  <si>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</si>
  <si>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</si>
  <si>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</si>
  <si>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</si>
  <si>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</si>
  <si>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</si>
  <si>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</si>
  <si>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</si>
  <si>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</si>
  <si>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</si>
  <si>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</si>
  <si>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</si>
  <si>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</si>
  <si>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</si>
  <si>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</si>
  <si>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</si>
  <si>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</si>
  <si>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</si>
  <si>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</si>
  <si>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</si>
  <si>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</si>
  <si>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</si>
  <si>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</si>
  <si>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</si>
  <si>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</si>
  <si>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</si>
  <si>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</si>
  <si>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</si>
  <si>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</si>
  <si>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</si>
  <si>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</si>
  <si>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</si>
  <si>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</si>
  <si>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</si>
  <si>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</si>
  <si>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</si>
  <si>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</si>
  <si>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</si>
  <si>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</si>
  <si>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</si>
  <si>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</si>
  <si>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</si>
  <si>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</si>
  <si>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</si>
  <si>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</si>
  <si>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</si>
  <si>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</si>
  <si>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</si>
  <si>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</si>
  <si>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</si>
  <si>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</si>
  <si>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</si>
  <si>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</si>
  <si>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</si>
  <si>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</si>
  <si>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</si>
  <si>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</si>
  <si>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</si>
  <si>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</si>
  <si>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</si>
  <si>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</si>
  <si>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</si>
  <si>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Farmington ASC</t>
  </si>
  <si>
    <t>Hospital OR Suite</t>
  </si>
  <si>
    <t>Total Outpatient Surgical Procedures(A)</t>
  </si>
  <si>
    <t>Hospital ENDO Suite</t>
  </si>
  <si>
    <t>Total Outpatient Endoscopy Procedures(B)</t>
  </si>
  <si>
    <t>Outpatient Hospital Emergency Room Visits</t>
  </si>
  <si>
    <t>Hospital Emergency Department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</si>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</sst>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164" fontId="12" fillId="3" borderId="31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28" xfId="6" applyNumberFormat="1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3850387</v>
      </c>
      <c r="D13" s="22">
        <v>8339532</v>
      </c>
      <c r="E13" s="22">
        <f t="shared" ref="E13:E22" si="0">D13-C13</f>
        <v>4489145</v>
      </c>
      <c r="F13" s="23">
        <f t="shared" ref="F13:F22" si="1">IF(C13=0,0,E13/C13)</f>
        <v>1.165894493202891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30704847</v>
      </c>
      <c r="D15" s="22">
        <v>31383650</v>
      </c>
      <c r="E15" s="22">
        <f t="shared" si="0"/>
        <v>678803</v>
      </c>
      <c r="F15" s="23">
        <f t="shared" si="1"/>
        <v>2.2107356535598435E-2</v>
      </c>
    </row>
    <row r="16" spans="1:8" ht="24" customHeight="1" x14ac:dyDescent="0.2">
      <c r="A16" s="20">
        <v>4</v>
      </c>
      <c r="B16" s="21" t="s">
        <v>19</v>
      </c>
      <c r="C16" s="22">
        <v>5021620</v>
      </c>
      <c r="D16" s="22">
        <v>435186</v>
      </c>
      <c r="E16" s="22">
        <f t="shared" si="0"/>
        <v>-4586434</v>
      </c>
      <c r="F16" s="23">
        <f t="shared" si="1"/>
        <v>-0.91333752852665073</v>
      </c>
    </row>
    <row r="17" spans="1:11" ht="24" customHeight="1" x14ac:dyDescent="0.2">
      <c r="A17" s="20">
        <v>5</v>
      </c>
      <c r="B17" s="21" t="s">
        <v>20</v>
      </c>
      <c r="C17" s="22">
        <v>210170</v>
      </c>
      <c r="D17" s="22">
        <v>640957</v>
      </c>
      <c r="E17" s="22">
        <f t="shared" si="0"/>
        <v>430787</v>
      </c>
      <c r="F17" s="23">
        <f t="shared" si="1"/>
        <v>2.0497073797402101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1389353</v>
      </c>
      <c r="D19" s="22">
        <v>1443429</v>
      </c>
      <c r="E19" s="22">
        <f t="shared" si="0"/>
        <v>54076</v>
      </c>
      <c r="F19" s="23">
        <f t="shared" si="1"/>
        <v>3.892171392007647E-2</v>
      </c>
    </row>
    <row r="20" spans="1:11" ht="24" customHeight="1" x14ac:dyDescent="0.2">
      <c r="A20" s="20">
        <v>8</v>
      </c>
      <c r="B20" s="21" t="s">
        <v>23</v>
      </c>
      <c r="C20" s="22">
        <v>1369327</v>
      </c>
      <c r="D20" s="22">
        <v>761737</v>
      </c>
      <c r="E20" s="22">
        <f t="shared" si="0"/>
        <v>-607590</v>
      </c>
      <c r="F20" s="23">
        <f t="shared" si="1"/>
        <v>-0.44371432097665497</v>
      </c>
    </row>
    <row r="21" spans="1:11" ht="24" customHeight="1" x14ac:dyDescent="0.2">
      <c r="A21" s="20">
        <v>9</v>
      </c>
      <c r="B21" s="21" t="s">
        <v>24</v>
      </c>
      <c r="C21" s="22">
        <v>7945948</v>
      </c>
      <c r="D21" s="22">
        <v>6401505</v>
      </c>
      <c r="E21" s="22">
        <f t="shared" si="0"/>
        <v>-1544443</v>
      </c>
      <c r="F21" s="23">
        <f t="shared" si="1"/>
        <v>-0.19436862662579721</v>
      </c>
    </row>
    <row r="22" spans="1:11" ht="24" customHeight="1" x14ac:dyDescent="0.25">
      <c r="A22" s="24"/>
      <c r="B22" s="25" t="s">
        <v>25</v>
      </c>
      <c r="C22" s="26">
        <f>SUM(C13:C21)</f>
        <v>50491652</v>
      </c>
      <c r="D22" s="26">
        <f>SUM(D13:D21)</f>
        <v>49405996</v>
      </c>
      <c r="E22" s="26">
        <f t="shared" si="0"/>
        <v>-1085656</v>
      </c>
      <c r="F22" s="27">
        <f t="shared" si="1"/>
        <v>-2.150169299273472E-2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82885871</v>
      </c>
      <c r="D25" s="22">
        <v>75285353</v>
      </c>
      <c r="E25" s="22">
        <f>D25-C25</f>
        <v>-7600518</v>
      </c>
      <c r="F25" s="23">
        <f>IF(C25=0,0,E25/C25)</f>
        <v>-9.1698596012823458E-2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82885871</v>
      </c>
      <c r="D29" s="26">
        <f>SUM(D25:D28)</f>
        <v>75285353</v>
      </c>
      <c r="E29" s="26">
        <f>D29-C29</f>
        <v>-7600518</v>
      </c>
      <c r="F29" s="27">
        <f>IF(C29=0,0,E29/C29)</f>
        <v>-9.1698596012823458E-2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104410463</v>
      </c>
      <c r="D31" s="22">
        <v>100379776</v>
      </c>
      <c r="E31" s="22">
        <f>D31-C31</f>
        <v>-4030687</v>
      </c>
      <c r="F31" s="23">
        <f>IF(C31=0,0,E31/C31)</f>
        <v>-3.8604244097643736E-2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20804754</v>
      </c>
      <c r="D33" s="22">
        <v>24740751</v>
      </c>
      <c r="E33" s="22">
        <f>D33-C33</f>
        <v>3935997</v>
      </c>
      <c r="F33" s="23">
        <f>IF(C33=0,0,E33/C33)</f>
        <v>0.18918738476792371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236256698</v>
      </c>
      <c r="D36" s="22">
        <v>250597819</v>
      </c>
      <c r="E36" s="22">
        <f>D36-C36</f>
        <v>14341121</v>
      </c>
      <c r="F36" s="23">
        <f>IF(C36=0,0,E36/C36)</f>
        <v>6.0701436705934156E-2</v>
      </c>
    </row>
    <row r="37" spans="1:8" ht="24" customHeight="1" x14ac:dyDescent="0.2">
      <c r="A37" s="20">
        <v>2</v>
      </c>
      <c r="B37" s="21" t="s">
        <v>39</v>
      </c>
      <c r="C37" s="22">
        <v>118311796</v>
      </c>
      <c r="D37" s="22">
        <v>134135876</v>
      </c>
      <c r="E37" s="22">
        <f>D37-C37</f>
        <v>15824080</v>
      </c>
      <c r="F37" s="23">
        <f>IF(C37=0,0,E37/C37)</f>
        <v>0.13374896278305165</v>
      </c>
    </row>
    <row r="38" spans="1:8" ht="24" customHeight="1" x14ac:dyDescent="0.25">
      <c r="A38" s="24"/>
      <c r="B38" s="25" t="s">
        <v>40</v>
      </c>
      <c r="C38" s="26">
        <f>C36-C37</f>
        <v>117944902</v>
      </c>
      <c r="D38" s="26">
        <f>D36-D37</f>
        <v>116461943</v>
      </c>
      <c r="E38" s="26">
        <f>D38-C38</f>
        <v>-1482959</v>
      </c>
      <c r="F38" s="27">
        <f>IF(C38=0,0,E38/C38)</f>
        <v>-1.2573320040572843E-2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16921791</v>
      </c>
      <c r="D40" s="22">
        <v>13845701</v>
      </c>
      <c r="E40" s="22">
        <f>D40-C40</f>
        <v>-3076090</v>
      </c>
      <c r="F40" s="23">
        <f>IF(C40=0,0,E40/C40)</f>
        <v>-0.18178276755693296</v>
      </c>
    </row>
    <row r="41" spans="1:8" ht="24" customHeight="1" x14ac:dyDescent="0.25">
      <c r="A41" s="24"/>
      <c r="B41" s="25" t="s">
        <v>42</v>
      </c>
      <c r="C41" s="26">
        <f>+C38+C40</f>
        <v>134866693</v>
      </c>
      <c r="D41" s="26">
        <f>+D38+D40</f>
        <v>130307644</v>
      </c>
      <c r="E41" s="26">
        <f>D41-C41</f>
        <v>-4559049</v>
      </c>
      <c r="F41" s="27">
        <f>IF(C41=0,0,E41/C41)</f>
        <v>-3.3804113518227957E-2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393459433</v>
      </c>
      <c r="D43" s="26">
        <f>D22+D29+D31+D32+D33+D41</f>
        <v>380119520</v>
      </c>
      <c r="E43" s="26">
        <f>D43-C43</f>
        <v>-13339913</v>
      </c>
      <c r="F43" s="27">
        <f>IF(C43=0,0,E43/C43)</f>
        <v>-3.3904163634577288E-2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40922726</v>
      </c>
      <c r="D49" s="22">
        <v>35669910</v>
      </c>
      <c r="E49" s="22">
        <f t="shared" ref="E49:E56" si="2">D49-C49</f>
        <v>-5252816</v>
      </c>
      <c r="F49" s="23">
        <f t="shared" ref="F49:F56" si="3">IF(C49=0,0,E49/C49)</f>
        <v>-0.12835938642015196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12269133</v>
      </c>
      <c r="D50" s="22">
        <v>14239585</v>
      </c>
      <c r="E50" s="22">
        <f t="shared" si="2"/>
        <v>1970452</v>
      </c>
      <c r="F50" s="23">
        <f t="shared" si="3"/>
        <v>0.16060238323278425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27554100</v>
      </c>
      <c r="D51" s="22">
        <v>12264644</v>
      </c>
      <c r="E51" s="22">
        <f t="shared" si="2"/>
        <v>-15289456</v>
      </c>
      <c r="F51" s="23">
        <f t="shared" si="3"/>
        <v>-0.55488860097045445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7733907</v>
      </c>
      <c r="D52" s="22">
        <v>14848033</v>
      </c>
      <c r="E52" s="22">
        <f t="shared" si="2"/>
        <v>7114126</v>
      </c>
      <c r="F52" s="23">
        <f t="shared" si="3"/>
        <v>0.91986184990328945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1350000</v>
      </c>
      <c r="D53" s="22">
        <v>1415000</v>
      </c>
      <c r="E53" s="22">
        <f t="shared" si="2"/>
        <v>65000</v>
      </c>
      <c r="F53" s="23">
        <f t="shared" si="3"/>
        <v>4.8148148148148148E-2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6175949</v>
      </c>
      <c r="D54" s="22">
        <v>5904502</v>
      </c>
      <c r="E54" s="22">
        <f t="shared" si="2"/>
        <v>-271447</v>
      </c>
      <c r="F54" s="23">
        <f t="shared" si="3"/>
        <v>-4.395227356961659E-2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49938</v>
      </c>
      <c r="D55" s="22">
        <v>50382</v>
      </c>
      <c r="E55" s="22">
        <f t="shared" si="2"/>
        <v>444</v>
      </c>
      <c r="F55" s="23">
        <f t="shared" si="3"/>
        <v>8.8910248708398421E-3</v>
      </c>
    </row>
    <row r="56" spans="1:6" ht="24" customHeight="1" x14ac:dyDescent="0.25">
      <c r="A56" s="24"/>
      <c r="B56" s="25" t="s">
        <v>54</v>
      </c>
      <c r="C56" s="26">
        <f>SUM(C49:C55)</f>
        <v>96055753</v>
      </c>
      <c r="D56" s="26">
        <f>SUM(D49:D55)</f>
        <v>84392056</v>
      </c>
      <c r="E56" s="26">
        <f t="shared" si="2"/>
        <v>-11663697</v>
      </c>
      <c r="F56" s="27">
        <f t="shared" si="3"/>
        <v>-0.12142632414739386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36685000</v>
      </c>
      <c r="D59" s="22">
        <v>35269625</v>
      </c>
      <c r="E59" s="22">
        <f>D59-C59</f>
        <v>-1415375</v>
      </c>
      <c r="F59" s="23">
        <f>IF(C59=0,0,E59/C59)</f>
        <v>-3.8581845440915905E-2</v>
      </c>
    </row>
    <row r="60" spans="1:6" ht="24" customHeight="1" x14ac:dyDescent="0.2">
      <c r="A60" s="20">
        <v>2</v>
      </c>
      <c r="B60" s="21" t="s">
        <v>57</v>
      </c>
      <c r="C60" s="22">
        <v>22795917</v>
      </c>
      <c r="D60" s="22">
        <v>16874755</v>
      </c>
      <c r="E60" s="22">
        <f>D60-C60</f>
        <v>-5921162</v>
      </c>
      <c r="F60" s="23">
        <f>IF(C60=0,0,E60/C60)</f>
        <v>-0.25974660286752227</v>
      </c>
    </row>
    <row r="61" spans="1:6" ht="24" customHeight="1" x14ac:dyDescent="0.25">
      <c r="A61" s="24"/>
      <c r="B61" s="25" t="s">
        <v>58</v>
      </c>
      <c r="C61" s="26">
        <f>SUM(C59:C60)</f>
        <v>59480917</v>
      </c>
      <c r="D61" s="26">
        <f>SUM(D59:D60)</f>
        <v>52144380</v>
      </c>
      <c r="E61" s="26">
        <f>D61-C61</f>
        <v>-7336537</v>
      </c>
      <c r="F61" s="27">
        <f>IF(C61=0,0,E61/C61)</f>
        <v>-0.12334270166009714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11770096</v>
      </c>
      <c r="D63" s="22">
        <v>19397464</v>
      </c>
      <c r="E63" s="22">
        <f>D63-C63</f>
        <v>7627368</v>
      </c>
      <c r="F63" s="23">
        <f>IF(C63=0,0,E63/C63)</f>
        <v>0.64802937885978162</v>
      </c>
    </row>
    <row r="64" spans="1:6" ht="24" customHeight="1" x14ac:dyDescent="0.2">
      <c r="A64" s="20">
        <v>4</v>
      </c>
      <c r="B64" s="21" t="s">
        <v>60</v>
      </c>
      <c r="C64" s="22">
        <v>25550702</v>
      </c>
      <c r="D64" s="22">
        <v>25935775</v>
      </c>
      <c r="E64" s="22">
        <f>D64-C64</f>
        <v>385073</v>
      </c>
      <c r="F64" s="23">
        <f>IF(C64=0,0,E64/C64)</f>
        <v>1.5070936211459083E-2</v>
      </c>
    </row>
    <row r="65" spans="1:6" ht="24" customHeight="1" x14ac:dyDescent="0.25">
      <c r="A65" s="24"/>
      <c r="B65" s="25" t="s">
        <v>61</v>
      </c>
      <c r="C65" s="26">
        <f>SUM(C61:C64)</f>
        <v>96801715</v>
      </c>
      <c r="D65" s="26">
        <f>SUM(D61:D64)</f>
        <v>97477619</v>
      </c>
      <c r="E65" s="26">
        <f>D65-C65</f>
        <v>675904</v>
      </c>
      <c r="F65" s="27">
        <f>IF(C65=0,0,E65/C65)</f>
        <v>6.9823556328521656E-3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74193342</v>
      </c>
      <c r="D70" s="22">
        <v>75698045</v>
      </c>
      <c r="E70" s="22">
        <f>D70-C70</f>
        <v>1504703</v>
      </c>
      <c r="F70" s="23">
        <f>IF(C70=0,0,E70/C70)</f>
        <v>2.0280835981212438E-2</v>
      </c>
    </row>
    <row r="71" spans="1:6" ht="24" customHeight="1" x14ac:dyDescent="0.2">
      <c r="A71" s="20">
        <v>2</v>
      </c>
      <c r="B71" s="21" t="s">
        <v>65</v>
      </c>
      <c r="C71" s="22">
        <v>26184898</v>
      </c>
      <c r="D71" s="22">
        <v>29429877</v>
      </c>
      <c r="E71" s="22">
        <f>D71-C71</f>
        <v>3244979</v>
      </c>
      <c r="F71" s="23">
        <f>IF(C71=0,0,E71/C71)</f>
        <v>0.1239255925304731</v>
      </c>
    </row>
    <row r="72" spans="1:6" ht="24" customHeight="1" x14ac:dyDescent="0.2">
      <c r="A72" s="20">
        <v>3</v>
      </c>
      <c r="B72" s="21" t="s">
        <v>66</v>
      </c>
      <c r="C72" s="22">
        <v>100223725</v>
      </c>
      <c r="D72" s="22">
        <v>93121923</v>
      </c>
      <c r="E72" s="22">
        <f>D72-C72</f>
        <v>-7101802</v>
      </c>
      <c r="F72" s="23">
        <f>IF(C72=0,0,E72/C72)</f>
        <v>-7.0859489606877019E-2</v>
      </c>
    </row>
    <row r="73" spans="1:6" ht="24" customHeight="1" x14ac:dyDescent="0.25">
      <c r="A73" s="20"/>
      <c r="B73" s="25" t="s">
        <v>67</v>
      </c>
      <c r="C73" s="26">
        <f>SUM(C70:C72)</f>
        <v>200601965</v>
      </c>
      <c r="D73" s="26">
        <f>SUM(D70:D72)</f>
        <v>198249845</v>
      </c>
      <c r="E73" s="26">
        <f>D73-C73</f>
        <v>-2352120</v>
      </c>
      <c r="F73" s="27">
        <f>IF(C73=0,0,E73/C73)</f>
        <v>-1.172530887222366E-2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393459433</v>
      </c>
      <c r="D75" s="26">
        <f>D56+D65+D67+D73</f>
        <v>380119520</v>
      </c>
      <c r="E75" s="26">
        <f>D75-C75</f>
        <v>-13339913</v>
      </c>
      <c r="F75" s="27">
        <f>IF(C75=0,0,E75/C75)</f>
        <v>-3.3904163634577288E-2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4" zoomScale="70" zoomScaleNormal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286514028</v>
      </c>
      <c r="D11" s="76">
        <v>304605441</v>
      </c>
      <c r="E11" s="76">
        <v>341250390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38302026</v>
      </c>
      <c r="D12" s="185">
        <v>33242787</v>
      </c>
      <c r="E12" s="185">
        <v>39119347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324816054</v>
      </c>
      <c r="D13" s="76">
        <f>+D11+D12</f>
        <v>337848228</v>
      </c>
      <c r="E13" s="76">
        <f>+E11+E12</f>
        <v>380369737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358502224</v>
      </c>
      <c r="D14" s="185">
        <v>372489049</v>
      </c>
      <c r="E14" s="185">
        <v>379326166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-33686170</v>
      </c>
      <c r="D15" s="76">
        <f>+D13-D14</f>
        <v>-34640821</v>
      </c>
      <c r="E15" s="76">
        <f>+E13-E14</f>
        <v>1043571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16611908</v>
      </c>
      <c r="D16" s="185">
        <v>17542732</v>
      </c>
      <c r="E16" s="185">
        <v>10376378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-17074262</v>
      </c>
      <c r="D17" s="76">
        <f>D15+D16</f>
        <v>-17098089</v>
      </c>
      <c r="E17" s="76">
        <f>E15+E16</f>
        <v>11419949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-9.8662598700688733E-2</v>
      </c>
      <c r="D20" s="189">
        <f>IF(+D27=0,0,+D24/+D27)</f>
        <v>-9.7472431487846511E-2</v>
      </c>
      <c r="E20" s="189">
        <f>IF(+E27=0,0,+E24/+E27)</f>
        <v>2.6707136934681999E-3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4.8654210694084862E-2</v>
      </c>
      <c r="D21" s="189">
        <f>IF(+D27=0,0,+D26/+D27)</f>
        <v>4.9361784554114711E-2</v>
      </c>
      <c r="E21" s="189">
        <f>IF(+E27=0,0,+E26/+E27)</f>
        <v>2.6555294094222793E-2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-5.0008388006603864E-2</v>
      </c>
      <c r="D22" s="189">
        <f>IF(+D27=0,0,+D28/+D27)</f>
        <v>-4.81106469337318E-2</v>
      </c>
      <c r="E22" s="189">
        <f>IF(+E27=0,0,+E28/+E27)</f>
        <v>2.9226007787690991E-2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-33686170</v>
      </c>
      <c r="D24" s="76">
        <f>+D15</f>
        <v>-34640821</v>
      </c>
      <c r="E24" s="76">
        <f>+E15</f>
        <v>1043571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324816054</v>
      </c>
      <c r="D25" s="76">
        <f>+D13</f>
        <v>337848228</v>
      </c>
      <c r="E25" s="76">
        <f>+E13</f>
        <v>380369737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16611908</v>
      </c>
      <c r="D26" s="76">
        <f>+D16</f>
        <v>17542732</v>
      </c>
      <c r="E26" s="76">
        <f>+E16</f>
        <v>10376378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341427962</v>
      </c>
      <c r="D27" s="76">
        <f>SUM(D25:D26)</f>
        <v>355390960</v>
      </c>
      <c r="E27" s="76">
        <f>SUM(E25:E26)</f>
        <v>390746115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-17074262</v>
      </c>
      <c r="D28" s="76">
        <f>+D17</f>
        <v>-17098089</v>
      </c>
      <c r="E28" s="76">
        <f>+E17</f>
        <v>11419949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127634615</v>
      </c>
      <c r="D31" s="76">
        <v>106219054</v>
      </c>
      <c r="E31" s="76">
        <v>100983261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245712538</v>
      </c>
      <c r="D32" s="76">
        <v>232687351</v>
      </c>
      <c r="E32" s="76">
        <v>223611054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6162907</v>
      </c>
      <c r="D33" s="76">
        <f>+D32-C32</f>
        <v>-13025187</v>
      </c>
      <c r="E33" s="76">
        <f>+E32-D32</f>
        <v>-9076297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1.0257000000000001</v>
      </c>
      <c r="D34" s="193">
        <f>IF(C32=0,0,+D33/C32)</f>
        <v>-5.300985902477634E-2</v>
      </c>
      <c r="E34" s="193">
        <f>IF(D32=0,0,+E33/D32)</f>
        <v>-3.9006404778745361E-2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0.99645986693627908</v>
      </c>
      <c r="D38" s="338">
        <f>IF(+D40=0,0,+D39/+D40)</f>
        <v>0.72166577645255225</v>
      </c>
      <c r="E38" s="338">
        <f>IF(+E40=0,0,+E39/+E40)</f>
        <v>0.7274004821614598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78269262</v>
      </c>
      <c r="D39" s="341">
        <v>77825229</v>
      </c>
      <c r="E39" s="341">
        <v>66100976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78547330</v>
      </c>
      <c r="D40" s="341">
        <v>107841097</v>
      </c>
      <c r="E40" s="341">
        <v>90872879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8.3791472481651432</v>
      </c>
      <c r="D42" s="343">
        <f>IF((D48/365)=0,0,+D45/(D48/365))</f>
        <v>18.31503295146959</v>
      </c>
      <c r="E42" s="343">
        <f>IF((E48/365)=0,0,+E45/(E48/365))</f>
        <v>14.136612368604014</v>
      </c>
    </row>
    <row r="43" spans="1:14" ht="24" customHeight="1" x14ac:dyDescent="0.2">
      <c r="A43" s="339">
        <v>5</v>
      </c>
      <c r="B43" s="344" t="s">
        <v>16</v>
      </c>
      <c r="C43" s="345">
        <v>3643185</v>
      </c>
      <c r="D43" s="345">
        <v>6660856</v>
      </c>
      <c r="E43" s="345">
        <v>11576841</v>
      </c>
    </row>
    <row r="44" spans="1:14" ht="24" customHeight="1" x14ac:dyDescent="0.2">
      <c r="A44" s="339">
        <v>6</v>
      </c>
      <c r="B44" s="346" t="s">
        <v>17</v>
      </c>
      <c r="C44" s="345">
        <v>4292988</v>
      </c>
      <c r="D44" s="345">
        <v>11232933</v>
      </c>
      <c r="E44" s="345">
        <v>2402355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7936173</v>
      </c>
      <c r="D45" s="341">
        <f>+D43+D44</f>
        <v>17893789</v>
      </c>
      <c r="E45" s="341">
        <f>+E43+E44</f>
        <v>13979196</v>
      </c>
    </row>
    <row r="46" spans="1:14" ht="24" customHeight="1" x14ac:dyDescent="0.2">
      <c r="A46" s="339">
        <v>8</v>
      </c>
      <c r="B46" s="340" t="s">
        <v>334</v>
      </c>
      <c r="C46" s="341">
        <f>+C14</f>
        <v>358502224</v>
      </c>
      <c r="D46" s="341">
        <f>+D14</f>
        <v>372489049</v>
      </c>
      <c r="E46" s="341">
        <f>+E14</f>
        <v>379326166</v>
      </c>
    </row>
    <row r="47" spans="1:14" ht="24" customHeight="1" x14ac:dyDescent="0.2">
      <c r="A47" s="339">
        <v>9</v>
      </c>
      <c r="B47" s="340" t="s">
        <v>356</v>
      </c>
      <c r="C47" s="341">
        <v>12798412</v>
      </c>
      <c r="D47" s="341">
        <v>15884013</v>
      </c>
      <c r="E47" s="341">
        <v>18390575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345703812</v>
      </c>
      <c r="D48" s="341">
        <f>+D46-D47</f>
        <v>356605036</v>
      </c>
      <c r="E48" s="341">
        <f>+E46-E47</f>
        <v>360935591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28.442799997911447</v>
      </c>
      <c r="D50" s="350">
        <f>IF((D55/365)=0,0,+D54/(D55/365))</f>
        <v>7.2990871328526268</v>
      </c>
      <c r="E50" s="350">
        <f>IF((E55/365)=0,0,+E54/(E55/365))</f>
        <v>19.498963327192094</v>
      </c>
    </row>
    <row r="51" spans="1:5" ht="24" customHeight="1" x14ac:dyDescent="0.2">
      <c r="A51" s="339">
        <v>12</v>
      </c>
      <c r="B51" s="344" t="s">
        <v>359</v>
      </c>
      <c r="C51" s="351">
        <v>35721547</v>
      </c>
      <c r="D51" s="351">
        <v>39656117</v>
      </c>
      <c r="E51" s="351">
        <v>38599255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13394804</v>
      </c>
      <c r="D53" s="341">
        <v>33564770</v>
      </c>
      <c r="E53" s="341">
        <v>20369039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22326743</v>
      </c>
      <c r="D54" s="352">
        <f>+D51+D52-D53</f>
        <v>6091347</v>
      </c>
      <c r="E54" s="352">
        <f>+E51+E52-E53</f>
        <v>18230216</v>
      </c>
    </row>
    <row r="55" spans="1:5" ht="24" customHeight="1" x14ac:dyDescent="0.2">
      <c r="A55" s="339">
        <v>16</v>
      </c>
      <c r="B55" s="340" t="s">
        <v>75</v>
      </c>
      <c r="C55" s="341">
        <f>+C11</f>
        <v>286514028</v>
      </c>
      <c r="D55" s="341">
        <f>+D11</f>
        <v>304605441</v>
      </c>
      <c r="E55" s="341">
        <f>+E11</f>
        <v>341250390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82.931615026564998</v>
      </c>
      <c r="D57" s="355">
        <f>IF((D61/365)=0,0,+D58/(D61/365))</f>
        <v>110.37982201967557</v>
      </c>
      <c r="E57" s="355">
        <f>IF((E61/365)=0,0,+E58/(E61/365))</f>
        <v>91.896176664384413</v>
      </c>
    </row>
    <row r="58" spans="1:5" ht="24" customHeight="1" x14ac:dyDescent="0.2">
      <c r="A58" s="339">
        <v>18</v>
      </c>
      <c r="B58" s="340" t="s">
        <v>54</v>
      </c>
      <c r="C58" s="353">
        <f>+C40</f>
        <v>78547330</v>
      </c>
      <c r="D58" s="353">
        <f>+D40</f>
        <v>107841097</v>
      </c>
      <c r="E58" s="353">
        <f>+E40</f>
        <v>90872879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358502224</v>
      </c>
      <c r="D59" s="353">
        <f t="shared" si="0"/>
        <v>372489049</v>
      </c>
      <c r="E59" s="353">
        <f t="shared" si="0"/>
        <v>379326166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12798412</v>
      </c>
      <c r="D60" s="356">
        <f t="shared" si="0"/>
        <v>15884013</v>
      </c>
      <c r="E60" s="356">
        <f t="shared" si="0"/>
        <v>18390575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345703812</v>
      </c>
      <c r="D61" s="353">
        <f>+D59-D60</f>
        <v>356605036</v>
      </c>
      <c r="E61" s="353">
        <f>+E59-E60</f>
        <v>360935591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57.398519240955956</v>
      </c>
      <c r="D65" s="357">
        <f>IF(D67=0,0,(D66/D67)*100)</f>
        <v>52.044927856496606</v>
      </c>
      <c r="E65" s="357">
        <f>IF(E67=0,0,(E66/E67)*100)</f>
        <v>52.941600795789412</v>
      </c>
    </row>
    <row r="66" spans="1:5" ht="24" customHeight="1" x14ac:dyDescent="0.2">
      <c r="A66" s="339">
        <v>2</v>
      </c>
      <c r="B66" s="340" t="s">
        <v>67</v>
      </c>
      <c r="C66" s="353">
        <f>+C32</f>
        <v>245712538</v>
      </c>
      <c r="D66" s="353">
        <f>+D32</f>
        <v>232687351</v>
      </c>
      <c r="E66" s="353">
        <f>+E32</f>
        <v>223611054</v>
      </c>
    </row>
    <row r="67" spans="1:5" ht="24" customHeight="1" x14ac:dyDescent="0.2">
      <c r="A67" s="339">
        <v>3</v>
      </c>
      <c r="B67" s="340" t="s">
        <v>43</v>
      </c>
      <c r="C67" s="353">
        <v>428081667</v>
      </c>
      <c r="D67" s="353">
        <v>447089391</v>
      </c>
      <c r="E67" s="353">
        <v>422373050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-3.0152249662390145</v>
      </c>
      <c r="D69" s="357">
        <f>IF(D75=0,0,(D72/D75)*100)</f>
        <v>-0.72533328337171254</v>
      </c>
      <c r="E69" s="357">
        <f>IF(E75=0,0,(E72/E75)*100)</f>
        <v>20.837326064596517</v>
      </c>
    </row>
    <row r="70" spans="1:5" ht="24" customHeight="1" x14ac:dyDescent="0.2">
      <c r="A70" s="339">
        <v>5</v>
      </c>
      <c r="B70" s="340" t="s">
        <v>366</v>
      </c>
      <c r="C70" s="353">
        <f>+C28</f>
        <v>-17074262</v>
      </c>
      <c r="D70" s="353">
        <f>+D28</f>
        <v>-17098089</v>
      </c>
      <c r="E70" s="353">
        <f>+E28</f>
        <v>11419949</v>
      </c>
    </row>
    <row r="71" spans="1:5" ht="24" customHeight="1" x14ac:dyDescent="0.2">
      <c r="A71" s="339">
        <v>6</v>
      </c>
      <c r="B71" s="340" t="s">
        <v>356</v>
      </c>
      <c r="C71" s="356">
        <f>+C47</f>
        <v>12798412</v>
      </c>
      <c r="D71" s="356">
        <f>+D47</f>
        <v>15884013</v>
      </c>
      <c r="E71" s="356">
        <f>+E47</f>
        <v>18390575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-4275850</v>
      </c>
      <c r="D72" s="353">
        <f>+D70+D71</f>
        <v>-1214076</v>
      </c>
      <c r="E72" s="353">
        <f>+E70+E71</f>
        <v>29810524</v>
      </c>
    </row>
    <row r="73" spans="1:5" ht="24" customHeight="1" x14ac:dyDescent="0.2">
      <c r="A73" s="339">
        <v>8</v>
      </c>
      <c r="B73" s="340" t="s">
        <v>54</v>
      </c>
      <c r="C73" s="341">
        <f>+C40</f>
        <v>78547330</v>
      </c>
      <c r="D73" s="341">
        <f>+D40</f>
        <v>107841097</v>
      </c>
      <c r="E73" s="341">
        <f>+E40</f>
        <v>90872879</v>
      </c>
    </row>
    <row r="74" spans="1:5" ht="24" customHeight="1" x14ac:dyDescent="0.2">
      <c r="A74" s="339">
        <v>9</v>
      </c>
      <c r="B74" s="340" t="s">
        <v>58</v>
      </c>
      <c r="C74" s="353">
        <v>63261326</v>
      </c>
      <c r="D74" s="353">
        <v>59540716</v>
      </c>
      <c r="E74" s="353">
        <v>52190218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141808656</v>
      </c>
      <c r="D75" s="341">
        <f>+D73+D74</f>
        <v>167381813</v>
      </c>
      <c r="E75" s="341">
        <f>+E73+E74</f>
        <v>143063097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20.474652833418947</v>
      </c>
      <c r="D77" s="359">
        <f>IF(D80=0,0,(D78/D80)*100)</f>
        <v>20.374742443887158</v>
      </c>
      <c r="E77" s="359">
        <f>IF(E80=0,0,(E78/E80)*100)</f>
        <v>18.923124473479586</v>
      </c>
    </row>
    <row r="78" spans="1:5" ht="24" customHeight="1" x14ac:dyDescent="0.2">
      <c r="A78" s="339">
        <v>12</v>
      </c>
      <c r="B78" s="340" t="s">
        <v>58</v>
      </c>
      <c r="C78" s="341">
        <f>+C74</f>
        <v>63261326</v>
      </c>
      <c r="D78" s="341">
        <f>+D74</f>
        <v>59540716</v>
      </c>
      <c r="E78" s="341">
        <f>+E74</f>
        <v>52190218</v>
      </c>
    </row>
    <row r="79" spans="1:5" ht="24" customHeight="1" x14ac:dyDescent="0.2">
      <c r="A79" s="339">
        <v>13</v>
      </c>
      <c r="B79" s="340" t="s">
        <v>67</v>
      </c>
      <c r="C79" s="341">
        <f>+C32</f>
        <v>245712538</v>
      </c>
      <c r="D79" s="341">
        <f>+D32</f>
        <v>232687351</v>
      </c>
      <c r="E79" s="341">
        <f>+E32</f>
        <v>223611054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308973864</v>
      </c>
      <c r="D80" s="341">
        <f>+D78+D79</f>
        <v>292228067</v>
      </c>
      <c r="E80" s="341">
        <f>+E78+E79</f>
        <v>275801272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FILING&amp;R&amp;8CCMC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0</v>
      </c>
      <c r="D11" s="376">
        <v>0</v>
      </c>
      <c r="E11" s="376">
        <v>0</v>
      </c>
      <c r="F11" s="377">
        <v>0</v>
      </c>
      <c r="G11" s="377">
        <v>0</v>
      </c>
      <c r="H11" s="378">
        <f>IF(F11=0,0,$C11/(F11*365))</f>
        <v>0</v>
      </c>
      <c r="I11" s="378">
        <f>IF(G11=0,0,$C11/(G11*365))</f>
        <v>0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4635</v>
      </c>
      <c r="D13" s="376">
        <v>178</v>
      </c>
      <c r="E13" s="376">
        <v>781</v>
      </c>
      <c r="F13" s="377">
        <v>18</v>
      </c>
      <c r="G13" s="377">
        <v>18</v>
      </c>
      <c r="H13" s="378">
        <f>IF(F13=0,0,$C13/(F13*365))</f>
        <v>0.70547945205479456</v>
      </c>
      <c r="I13" s="378">
        <f>IF(G13=0,0,$C13/(G13*365))</f>
        <v>0.70547945205479456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0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0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20023</v>
      </c>
      <c r="D25" s="376">
        <v>697</v>
      </c>
      <c r="E25" s="376">
        <v>788</v>
      </c>
      <c r="F25" s="377">
        <v>72</v>
      </c>
      <c r="G25" s="377">
        <v>72</v>
      </c>
      <c r="H25" s="378">
        <f>IF(F25=0,0,$C25/(F25*365))</f>
        <v>0.76191019786910197</v>
      </c>
      <c r="I25" s="378">
        <f>IF(G25=0,0,$C25/(G25*365))</f>
        <v>0.76191019786910197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20352</v>
      </c>
      <c r="D27" s="376">
        <v>5350</v>
      </c>
      <c r="E27" s="376">
        <v>4447</v>
      </c>
      <c r="F27" s="377">
        <v>92</v>
      </c>
      <c r="G27" s="377">
        <v>97</v>
      </c>
      <c r="H27" s="378">
        <f>IF(F27=0,0,$C27/(F27*365))</f>
        <v>0.60607504466944606</v>
      </c>
      <c r="I27" s="378">
        <f>IF(G27=0,0,$C27/(G27*365))</f>
        <v>0.57483406298545403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45010</v>
      </c>
      <c r="D31" s="384">
        <f>SUM(D10:D29)-D13-D17-D23</f>
        <v>6047</v>
      </c>
      <c r="E31" s="384">
        <f>SUM(E10:E29)-E17-E23</f>
        <v>6016</v>
      </c>
      <c r="F31" s="384">
        <f>SUM(F10:F29)-F17-F23</f>
        <v>182</v>
      </c>
      <c r="G31" s="384">
        <f>SUM(G10:G29)-G17-G23</f>
        <v>187</v>
      </c>
      <c r="H31" s="385">
        <f>IF(F31=0,0,$C31/(F31*365))</f>
        <v>0.67755532139093788</v>
      </c>
      <c r="I31" s="385">
        <f>IF(G31=0,0,$C31/(G31*365))</f>
        <v>0.65943886894732984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45010</v>
      </c>
      <c r="D33" s="384">
        <f>SUM(D10:D29)-D13-D17</f>
        <v>6047</v>
      </c>
      <c r="E33" s="384">
        <f>SUM(E10:E29)-E17</f>
        <v>6016</v>
      </c>
      <c r="F33" s="384">
        <f>SUM(F10:F29)-F17</f>
        <v>182</v>
      </c>
      <c r="G33" s="384">
        <f>SUM(G10:G29)-G17</f>
        <v>187</v>
      </c>
      <c r="H33" s="385">
        <f>IF(F33=0,0,$C33/(F33*365))</f>
        <v>0.67755532139093788</v>
      </c>
      <c r="I33" s="385">
        <f>IF(G33=0,0,$C33/(G33*365))</f>
        <v>0.65943886894732984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45010</v>
      </c>
      <c r="D36" s="384">
        <f t="shared" si="1"/>
        <v>6047</v>
      </c>
      <c r="E36" s="384">
        <f t="shared" si="1"/>
        <v>6016</v>
      </c>
      <c r="F36" s="384">
        <f t="shared" si="1"/>
        <v>182</v>
      </c>
      <c r="G36" s="384">
        <f t="shared" si="1"/>
        <v>187</v>
      </c>
      <c r="H36" s="387">
        <f t="shared" si="1"/>
        <v>0.67755532139093788</v>
      </c>
      <c r="I36" s="387">
        <f t="shared" si="1"/>
        <v>0.65943886894732984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42524</v>
      </c>
      <c r="D37" s="384">
        <v>5803</v>
      </c>
      <c r="E37" s="384">
        <v>5727</v>
      </c>
      <c r="F37" s="386">
        <v>182</v>
      </c>
      <c r="G37" s="386">
        <v>187</v>
      </c>
      <c r="H37" s="385">
        <f>IF(F37=0,0,$C37/(F37*365))</f>
        <v>0.64013247026945652</v>
      </c>
      <c r="I37" s="385">
        <f>IF(G37=0,0,$C37/(G37*365))</f>
        <v>0.62301662881840159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2486</v>
      </c>
      <c r="D38" s="384">
        <f t="shared" si="2"/>
        <v>244</v>
      </c>
      <c r="E38" s="384">
        <f t="shared" si="2"/>
        <v>289</v>
      </c>
      <c r="F38" s="384">
        <f t="shared" si="2"/>
        <v>0</v>
      </c>
      <c r="G38" s="384">
        <f t="shared" si="2"/>
        <v>0</v>
      </c>
      <c r="H38" s="387">
        <f t="shared" si="2"/>
        <v>3.742285112148136E-2</v>
      </c>
      <c r="I38" s="387">
        <f t="shared" si="2"/>
        <v>3.6422240128928252E-2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5.8461104317561845E-2</v>
      </c>
      <c r="D40" s="389">
        <f t="shared" si="3"/>
        <v>4.2047216956746514E-2</v>
      </c>
      <c r="E40" s="389">
        <f t="shared" si="3"/>
        <v>5.0462720447005414E-2</v>
      </c>
      <c r="F40" s="389">
        <f t="shared" si="3"/>
        <v>0</v>
      </c>
      <c r="G40" s="389">
        <f t="shared" si="3"/>
        <v>0</v>
      </c>
      <c r="H40" s="389">
        <f t="shared" si="3"/>
        <v>5.8461104317562011E-2</v>
      </c>
      <c r="I40" s="389">
        <f t="shared" si="3"/>
        <v>5.8461104317561796E-2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FILING&amp;RCT CHILDREN`S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1093</v>
      </c>
      <c r="D12" s="409">
        <v>1322</v>
      </c>
      <c r="E12" s="409">
        <f>+D12-C12</f>
        <v>229</v>
      </c>
      <c r="F12" s="410">
        <f>IF(C12=0,0,+E12/C12)</f>
        <v>0.20951509606587373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1827</v>
      </c>
      <c r="D13" s="409">
        <v>1800</v>
      </c>
      <c r="E13" s="409">
        <f>+D13-C13</f>
        <v>-27</v>
      </c>
      <c r="F13" s="410">
        <f>IF(C13=0,0,+E13/C13)</f>
        <v>-1.4778325123152709E-2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603</v>
      </c>
      <c r="D14" s="409">
        <v>1050</v>
      </c>
      <c r="E14" s="409">
        <f>+D14-C14</f>
        <v>447</v>
      </c>
      <c r="F14" s="410">
        <f>IF(C14=0,0,+E14/C14)</f>
        <v>0.74129353233830841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3523</v>
      </c>
      <c r="D16" s="401">
        <f>SUM(D12:D15)</f>
        <v>4172</v>
      </c>
      <c r="E16" s="401">
        <f>+D16-C16</f>
        <v>649</v>
      </c>
      <c r="F16" s="402">
        <f>IF(C16=0,0,+E16/C16)</f>
        <v>0.18421799602611411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626</v>
      </c>
      <c r="D19" s="409">
        <v>715</v>
      </c>
      <c r="E19" s="409">
        <f>+D19-C19</f>
        <v>89</v>
      </c>
      <c r="F19" s="410">
        <f>IF(C19=0,0,+E19/C19)</f>
        <v>0.14217252396166133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3990</v>
      </c>
      <c r="D20" s="409">
        <v>4515</v>
      </c>
      <c r="E20" s="409">
        <f>+D20-C20</f>
        <v>525</v>
      </c>
      <c r="F20" s="410">
        <f>IF(C20=0,0,+E20/C20)</f>
        <v>0.13157894736842105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73</v>
      </c>
      <c r="D21" s="409">
        <v>114</v>
      </c>
      <c r="E21" s="409">
        <f>+D21-C21</f>
        <v>41</v>
      </c>
      <c r="F21" s="410">
        <f>IF(C21=0,0,+E21/C21)</f>
        <v>0.56164383561643838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4689</v>
      </c>
      <c r="D23" s="401">
        <f>SUM(D19:D22)</f>
        <v>5344</v>
      </c>
      <c r="E23" s="401">
        <f>+D23-C23</f>
        <v>655</v>
      </c>
      <c r="F23" s="402">
        <f>IF(C23=0,0,+E23/C23)</f>
        <v>0.13968863297078268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20</v>
      </c>
      <c r="D48" s="409">
        <v>21</v>
      </c>
      <c r="E48" s="409">
        <f>+D48-C48</f>
        <v>1</v>
      </c>
      <c r="F48" s="410">
        <f>IF(C48=0,0,+E48/C48)</f>
        <v>0.05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46</v>
      </c>
      <c r="D49" s="409">
        <v>41</v>
      </c>
      <c r="E49" s="409">
        <f>+D49-C49</f>
        <v>-5</v>
      </c>
      <c r="F49" s="410">
        <f>IF(C49=0,0,+E49/C49)</f>
        <v>-0.10869565217391304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66</v>
      </c>
      <c r="D50" s="401">
        <f>SUM(D48:D49)</f>
        <v>62</v>
      </c>
      <c r="E50" s="401">
        <f>+D50-C50</f>
        <v>-4</v>
      </c>
      <c r="F50" s="402">
        <f>IF(C50=0,0,+E50/C50)</f>
        <v>-6.0606060606060608E-2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</v>
      </c>
      <c r="D53" s="409">
        <v>2</v>
      </c>
      <c r="E53" s="409">
        <f>+D53-C53</f>
        <v>-1</v>
      </c>
      <c r="F53" s="410">
        <f>IF(C53=0,0,+E53/C53)</f>
        <v>-0.33333333333333331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</v>
      </c>
      <c r="D54" s="409">
        <v>0</v>
      </c>
      <c r="E54" s="409">
        <f>+D54-C54</f>
        <v>-1</v>
      </c>
      <c r="F54" s="410">
        <f>IF(C54=0,0,+E54/C54)</f>
        <v>-1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</v>
      </c>
      <c r="D55" s="401">
        <f>SUM(D53:D54)</f>
        <v>2</v>
      </c>
      <c r="E55" s="401">
        <f>+D55-C55</f>
        <v>-2</v>
      </c>
      <c r="F55" s="402">
        <f>IF(C55=0,0,+E55/C55)</f>
        <v>-0.5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13</v>
      </c>
      <c r="D58" s="409">
        <v>9</v>
      </c>
      <c r="E58" s="409">
        <f>+D58-C58</f>
        <v>-4</v>
      </c>
      <c r="F58" s="410">
        <f>IF(C58=0,0,+E58/C58)</f>
        <v>-0.30769230769230771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43</v>
      </c>
      <c r="D59" s="409">
        <v>37</v>
      </c>
      <c r="E59" s="409">
        <f>+D59-C59</f>
        <v>-6</v>
      </c>
      <c r="F59" s="410">
        <f>IF(C59=0,0,+E59/C59)</f>
        <v>-0.13953488372093023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56</v>
      </c>
      <c r="D60" s="401">
        <f>SUM(D58:D59)</f>
        <v>46</v>
      </c>
      <c r="E60" s="401">
        <f>SUM(E58:E59)</f>
        <v>-10</v>
      </c>
      <c r="F60" s="402">
        <f>IF(C60=0,0,+E60/C60)</f>
        <v>-0.17857142857142858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1921</v>
      </c>
      <c r="D63" s="409">
        <v>1854</v>
      </c>
      <c r="E63" s="409">
        <f>+D63-C63</f>
        <v>-67</v>
      </c>
      <c r="F63" s="410">
        <f>IF(C63=0,0,+E63/C63)</f>
        <v>-3.4877667881311816E-2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8308</v>
      </c>
      <c r="D64" s="409">
        <v>8306</v>
      </c>
      <c r="E64" s="409">
        <f>+D64-C64</f>
        <v>-2</v>
      </c>
      <c r="F64" s="410">
        <f>IF(C64=0,0,+E64/C64)</f>
        <v>-2.4073182474723158E-4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10229</v>
      </c>
      <c r="D65" s="401">
        <f>SUM(D63:D64)</f>
        <v>10160</v>
      </c>
      <c r="E65" s="401">
        <f>+D65-C65</f>
        <v>-69</v>
      </c>
      <c r="F65" s="402">
        <f>IF(C65=0,0,+E65/C65)</f>
        <v>-6.7455274220353896E-3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102</v>
      </c>
      <c r="D68" s="409">
        <v>61</v>
      </c>
      <c r="E68" s="409">
        <f>+D68-C68</f>
        <v>-41</v>
      </c>
      <c r="F68" s="410">
        <f>IF(C68=0,0,+E68/C68)</f>
        <v>-0.40196078431372551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1396</v>
      </c>
      <c r="D69" s="409">
        <v>1258</v>
      </c>
      <c r="E69" s="409">
        <f>+D69-C69</f>
        <v>-138</v>
      </c>
      <c r="F69" s="412">
        <f>IF(C69=0,0,+E69/C69)</f>
        <v>-9.8853868194842404E-2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1498</v>
      </c>
      <c r="D70" s="401">
        <f>SUM(D68:D69)</f>
        <v>1319</v>
      </c>
      <c r="E70" s="401">
        <f>+D70-C70</f>
        <v>-179</v>
      </c>
      <c r="F70" s="402">
        <f>IF(C70=0,0,+E70/C70)</f>
        <v>-0.11949265687583445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2972</v>
      </c>
      <c r="D73" s="376">
        <v>3092</v>
      </c>
      <c r="E73" s="409">
        <f>+D73-C73</f>
        <v>120</v>
      </c>
      <c r="F73" s="410">
        <f>IF(C73=0,0,+E73/C73)</f>
        <v>4.0376850605652756E-2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51438</v>
      </c>
      <c r="D74" s="376">
        <v>53740</v>
      </c>
      <c r="E74" s="409">
        <f>+D74-C74</f>
        <v>2302</v>
      </c>
      <c r="F74" s="410">
        <f>IF(C74=0,0,+E74/C74)</f>
        <v>4.4752906411602317E-2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54410</v>
      </c>
      <c r="D75" s="401">
        <f>SUM(D73:D74)</f>
        <v>56832</v>
      </c>
      <c r="E75" s="401">
        <f>SUM(E73:E74)</f>
        <v>2422</v>
      </c>
      <c r="F75" s="402">
        <f>IF(C75=0,0,+E75/C75)</f>
        <v>4.4513876125712185E-2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50871</v>
      </c>
      <c r="D95" s="414">
        <v>54398</v>
      </c>
      <c r="E95" s="415">
        <f t="shared" ref="E95:E100" si="2">+D95-C95</f>
        <v>3527</v>
      </c>
      <c r="F95" s="412">
        <f t="shared" ref="F95:F100" si="3">IF(C95=0,0,+E95/C95)</f>
        <v>6.9332232509681346E-2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2196</v>
      </c>
      <c r="D97" s="414">
        <v>3746</v>
      </c>
      <c r="E97" s="409">
        <f t="shared" si="2"/>
        <v>1550</v>
      </c>
      <c r="F97" s="410">
        <f t="shared" si="3"/>
        <v>0.70582877959927137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2407</v>
      </c>
      <c r="D98" s="414">
        <v>2432</v>
      </c>
      <c r="E98" s="409">
        <f t="shared" si="2"/>
        <v>25</v>
      </c>
      <c r="F98" s="410">
        <f t="shared" si="3"/>
        <v>1.038637307852098E-2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50489</v>
      </c>
      <c r="D99" s="414">
        <v>52170</v>
      </c>
      <c r="E99" s="409">
        <f t="shared" si="2"/>
        <v>1681</v>
      </c>
      <c r="F99" s="410">
        <f t="shared" si="3"/>
        <v>3.3294380954267268E-2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105963</v>
      </c>
      <c r="D100" s="381">
        <f>SUM(D95:D99)</f>
        <v>112746</v>
      </c>
      <c r="E100" s="401">
        <f t="shared" si="2"/>
        <v>6783</v>
      </c>
      <c r="F100" s="402">
        <f t="shared" si="3"/>
        <v>6.4012910166756323E-2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327.3</v>
      </c>
      <c r="D104" s="416">
        <v>329.9</v>
      </c>
      <c r="E104" s="417">
        <f>+D104-C104</f>
        <v>2.5999999999999659</v>
      </c>
      <c r="F104" s="410">
        <f>IF(C104=0,0,+E104/C104)</f>
        <v>7.9437824625724594E-3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44.4</v>
      </c>
      <c r="D105" s="416">
        <v>50</v>
      </c>
      <c r="E105" s="417">
        <f>+D105-C105</f>
        <v>5.6000000000000014</v>
      </c>
      <c r="F105" s="410">
        <f>IF(C105=0,0,+E105/C105)</f>
        <v>0.12612612612612617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1082.7</v>
      </c>
      <c r="D106" s="416">
        <v>1067.8</v>
      </c>
      <c r="E106" s="417">
        <f>+D106-C106</f>
        <v>-14.900000000000091</v>
      </c>
      <c r="F106" s="410">
        <f>IF(C106=0,0,+E106/C106)</f>
        <v>-1.3761891567377935E-2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1454.4</v>
      </c>
      <c r="D107" s="418">
        <f>SUM(D104:D106)</f>
        <v>1447.6999999999998</v>
      </c>
      <c r="E107" s="418">
        <f>+D107-C107</f>
        <v>-6.7000000000002728</v>
      </c>
      <c r="F107" s="402">
        <f>IF(C107=0,0,+E107/C107)</f>
        <v>-4.6067106710672937E-3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FILING&amp;RCT CHILDREN`S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zoomScale="75" zoomScaleNormal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1385</v>
      </c>
      <c r="D12" s="409">
        <v>1420</v>
      </c>
      <c r="E12" s="409">
        <f>+D12-C12</f>
        <v>35</v>
      </c>
      <c r="F12" s="410">
        <f>IF(C12=0,0,+E12/C12)</f>
        <v>2.5270758122743681E-2</v>
      </c>
    </row>
    <row r="13" spans="1:6" ht="15.75" customHeight="1" x14ac:dyDescent="0.2">
      <c r="A13" s="374">
        <v>2</v>
      </c>
      <c r="B13" s="408" t="s">
        <v>622</v>
      </c>
      <c r="C13" s="409">
        <v>6923</v>
      </c>
      <c r="D13" s="409">
        <v>6886</v>
      </c>
      <c r="E13" s="409">
        <f>+D13-C13</f>
        <v>-37</v>
      </c>
      <c r="F13" s="410">
        <f>IF(C13=0,0,+E13/C13)</f>
        <v>-5.3445038278203093E-3</v>
      </c>
    </row>
    <row r="14" spans="1:6" ht="15.75" customHeight="1" x14ac:dyDescent="0.25">
      <c r="A14" s="374"/>
      <c r="B14" s="399" t="s">
        <v>623</v>
      </c>
      <c r="C14" s="401">
        <f>SUM(C11:C13)</f>
        <v>8308</v>
      </c>
      <c r="D14" s="401">
        <f>SUM(D11:D13)</f>
        <v>8306</v>
      </c>
      <c r="E14" s="401">
        <f>+D14-C14</f>
        <v>-2</v>
      </c>
      <c r="F14" s="402">
        <f>IF(C14=0,0,+E14/C14)</f>
        <v>-2.4073182474723158E-4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1396</v>
      </c>
      <c r="D17" s="409">
        <v>1258</v>
      </c>
      <c r="E17" s="409">
        <f>+D17-C17</f>
        <v>-138</v>
      </c>
      <c r="F17" s="410">
        <f>IF(C17=0,0,+E17/C17)</f>
        <v>-9.8853868194842404E-2</v>
      </c>
    </row>
    <row r="18" spans="1:6" ht="15.75" customHeight="1" x14ac:dyDescent="0.25">
      <c r="A18" s="374"/>
      <c r="B18" s="399" t="s">
        <v>625</v>
      </c>
      <c r="C18" s="401">
        <f>SUM(C16:C17)</f>
        <v>1396</v>
      </c>
      <c r="D18" s="401">
        <f>SUM(D16:D17)</f>
        <v>1258</v>
      </c>
      <c r="E18" s="401">
        <f>+D18-C18</f>
        <v>-138</v>
      </c>
      <c r="F18" s="402">
        <f>IF(C18=0,0,+E18/C18)</f>
        <v>-9.8853868194842404E-2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627</v>
      </c>
      <c r="C21" s="409">
        <v>51438</v>
      </c>
      <c r="D21" s="409">
        <v>53740</v>
      </c>
      <c r="E21" s="409">
        <f>+D21-C21</f>
        <v>2302</v>
      </c>
      <c r="F21" s="410">
        <f>IF(C21=0,0,+E21/C21)</f>
        <v>4.4752906411602317E-2</v>
      </c>
    </row>
    <row r="22" spans="1:6" ht="15.75" customHeight="1" x14ac:dyDescent="0.25">
      <c r="A22" s="374"/>
      <c r="B22" s="399" t="s">
        <v>628</v>
      </c>
      <c r="C22" s="401">
        <f>SUM(C20:C21)</f>
        <v>51438</v>
      </c>
      <c r="D22" s="401">
        <f>SUM(D20:D21)</f>
        <v>53740</v>
      </c>
      <c r="E22" s="401">
        <f>+D22-C22</f>
        <v>2302</v>
      </c>
      <c r="F22" s="402">
        <f>IF(C22=0,0,+E22/C22)</f>
        <v>4.4752906411602317E-2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629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630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631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FILING&amp;RCT CHILDREN`S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344532</v>
      </c>
      <c r="D15" s="448">
        <v>1698315</v>
      </c>
      <c r="E15" s="448">
        <f t="shared" ref="E15:E24" si="0">D15-C15</f>
        <v>1353783</v>
      </c>
      <c r="F15" s="449">
        <f t="shared" ref="F15:F24" si="1">IF(C15=0,0,E15/C15)</f>
        <v>3.9293389293302217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1402653</v>
      </c>
      <c r="D16" s="448">
        <v>2433392</v>
      </c>
      <c r="E16" s="448">
        <f t="shared" si="0"/>
        <v>1030739</v>
      </c>
      <c r="F16" s="449">
        <f t="shared" si="1"/>
        <v>0.73484960285972367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4.0711835185120684</v>
      </c>
      <c r="D17" s="453">
        <f>IF(LN_IA1=0,0,LN_IA2/LN_IA1)</f>
        <v>1.4328272434736784</v>
      </c>
      <c r="E17" s="454">
        <f t="shared" si="0"/>
        <v>-2.6383562750383902</v>
      </c>
      <c r="F17" s="449">
        <f t="shared" si="1"/>
        <v>-0.64805633620826153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9</v>
      </c>
      <c r="D18" s="456">
        <v>20</v>
      </c>
      <c r="E18" s="456">
        <f t="shared" si="0"/>
        <v>11</v>
      </c>
      <c r="F18" s="449">
        <f t="shared" si="1"/>
        <v>1.2222222222222223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1.038</v>
      </c>
      <c r="D19" s="459">
        <v>1.4275</v>
      </c>
      <c r="E19" s="460">
        <f t="shared" si="0"/>
        <v>0.38949999999999996</v>
      </c>
      <c r="F19" s="449">
        <f t="shared" si="1"/>
        <v>0.37524084778420036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9.3420000000000005</v>
      </c>
      <c r="D20" s="463">
        <f>LN_IA4*LN_IA5</f>
        <v>28.55</v>
      </c>
      <c r="E20" s="463">
        <f t="shared" si="0"/>
        <v>19.207999999999998</v>
      </c>
      <c r="F20" s="449">
        <f t="shared" si="1"/>
        <v>2.0560907728537785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150144.82980089917</v>
      </c>
      <c r="D21" s="465">
        <f>IF(LN_IA6=0,0,LN_IA2/LN_IA6)</f>
        <v>85232.644483362514</v>
      </c>
      <c r="E21" s="465">
        <f t="shared" si="0"/>
        <v>-64912.185317536656</v>
      </c>
      <c r="F21" s="449">
        <f t="shared" si="1"/>
        <v>-0.43233047320786211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46</v>
      </c>
      <c r="D22" s="456">
        <v>193</v>
      </c>
      <c r="E22" s="456">
        <f t="shared" si="0"/>
        <v>147</v>
      </c>
      <c r="F22" s="449">
        <f t="shared" si="1"/>
        <v>3.1956521739130435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30492.456521739132</v>
      </c>
      <c r="D23" s="465">
        <f>IF(LN_IA8=0,0,LN_IA2/LN_IA8)</f>
        <v>12608.248704663212</v>
      </c>
      <c r="E23" s="465">
        <f t="shared" si="0"/>
        <v>-17884.20781707592</v>
      </c>
      <c r="F23" s="449">
        <f t="shared" si="1"/>
        <v>-0.586512529888356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5.1111111111111107</v>
      </c>
      <c r="D24" s="466">
        <f>IF(LN_IA4=0,0,LN_IA8/LN_IA4)</f>
        <v>9.65</v>
      </c>
      <c r="E24" s="466">
        <f t="shared" si="0"/>
        <v>4.5388888888888896</v>
      </c>
      <c r="F24" s="449">
        <f t="shared" si="1"/>
        <v>0.88804347826086982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364729</v>
      </c>
      <c r="D27" s="448">
        <v>427046</v>
      </c>
      <c r="E27" s="448">
        <f t="shared" ref="E27:E32" si="2">D27-C27</f>
        <v>62317</v>
      </c>
      <c r="F27" s="449">
        <f t="shared" ref="F27:F32" si="3">IF(C27=0,0,E27/C27)</f>
        <v>0.17085836333277585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1375898</v>
      </c>
      <c r="D28" s="448">
        <v>669910</v>
      </c>
      <c r="E28" s="448">
        <f t="shared" si="2"/>
        <v>-705988</v>
      </c>
      <c r="F28" s="449">
        <f t="shared" si="3"/>
        <v>-0.51311071024160226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3.7723844278902967</v>
      </c>
      <c r="D29" s="453">
        <f>IF(LN_IA11=0,0,LN_IA12/LN_IA11)</f>
        <v>1.5687068840359117</v>
      </c>
      <c r="E29" s="454">
        <f t="shared" si="2"/>
        <v>-2.203677543854385</v>
      </c>
      <c r="F29" s="449">
        <f t="shared" si="3"/>
        <v>-0.58416038608419085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1.0586215503929968</v>
      </c>
      <c r="D30" s="453">
        <f>IF(LN_IA1=0,0,LN_IA11/LN_IA1)</f>
        <v>0.25145276347438489</v>
      </c>
      <c r="E30" s="454">
        <f t="shared" si="2"/>
        <v>-0.80716878691861194</v>
      </c>
      <c r="F30" s="449">
        <f t="shared" si="3"/>
        <v>-0.76247152404838447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9.5275939535369716</v>
      </c>
      <c r="D31" s="463">
        <f>LN_IA14*LN_IA4</f>
        <v>5.0290552694876975</v>
      </c>
      <c r="E31" s="463">
        <f t="shared" si="2"/>
        <v>-4.498538684049274</v>
      </c>
      <c r="F31" s="449">
        <f t="shared" si="3"/>
        <v>-0.47215894232974331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144411.90574554441</v>
      </c>
      <c r="D32" s="465">
        <f>IF(LN_IA15=0,0,LN_IA12/LN_IA15)</f>
        <v>133207.9215880725</v>
      </c>
      <c r="E32" s="465">
        <f t="shared" si="2"/>
        <v>-11203.984157471918</v>
      </c>
      <c r="F32" s="449">
        <f t="shared" si="3"/>
        <v>-7.7583521245218362E-2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709261</v>
      </c>
      <c r="D35" s="448">
        <f>LN_IA1+LN_IA11</f>
        <v>2125361</v>
      </c>
      <c r="E35" s="448">
        <f>D35-C35</f>
        <v>1416100</v>
      </c>
      <c r="F35" s="449">
        <f>IF(C35=0,0,E35/C35)</f>
        <v>1.9965851780938189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2778551</v>
      </c>
      <c r="D36" s="448">
        <f>LN_IA2+LN_IA12</f>
        <v>3103302</v>
      </c>
      <c r="E36" s="448">
        <f>D36-C36</f>
        <v>324751</v>
      </c>
      <c r="F36" s="449">
        <f>IF(C36=0,0,E36/C36)</f>
        <v>0.1168778258883857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-2069290</v>
      </c>
      <c r="D37" s="448">
        <f>LN_IA17-LN_IA18</f>
        <v>-977941</v>
      </c>
      <c r="E37" s="448">
        <f>D37-C37</f>
        <v>1091349</v>
      </c>
      <c r="F37" s="449">
        <f>IF(C37=0,0,E37/C37)</f>
        <v>-0.52740263568663648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148080190</v>
      </c>
      <c r="D42" s="448">
        <v>167182889</v>
      </c>
      <c r="E42" s="448">
        <f t="shared" ref="E42:E53" si="4">D42-C42</f>
        <v>19102699</v>
      </c>
      <c r="F42" s="449">
        <f t="shared" ref="F42:F53" si="5">IF(C42=0,0,E42/C42)</f>
        <v>0.1290023939056264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91539914</v>
      </c>
      <c r="D43" s="448">
        <v>103703439</v>
      </c>
      <c r="E43" s="448">
        <f t="shared" si="4"/>
        <v>12163525</v>
      </c>
      <c r="F43" s="449">
        <f t="shared" si="5"/>
        <v>0.1328767361524941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0.61817798856146799</v>
      </c>
      <c r="D44" s="453">
        <f>IF(LN_IB1=0,0,LN_IB2/LN_IB1)</f>
        <v>0.62029935970301364</v>
      </c>
      <c r="E44" s="454">
        <f t="shared" si="4"/>
        <v>2.1213711415456471E-3</v>
      </c>
      <c r="F44" s="449">
        <f t="shared" si="5"/>
        <v>3.43165104678377E-3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2598</v>
      </c>
      <c r="D45" s="456">
        <v>2549</v>
      </c>
      <c r="E45" s="456">
        <f t="shared" si="4"/>
        <v>-49</v>
      </c>
      <c r="F45" s="449">
        <f t="shared" si="5"/>
        <v>-1.8860662047729022E-2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1.8827</v>
      </c>
      <c r="D46" s="459">
        <v>1.8512999999999999</v>
      </c>
      <c r="E46" s="460">
        <f t="shared" si="4"/>
        <v>-3.1400000000000095E-2</v>
      </c>
      <c r="F46" s="449">
        <f t="shared" si="5"/>
        <v>-1.6678174961491526E-2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4891.2546000000002</v>
      </c>
      <c r="D47" s="463">
        <f>LN_IB4*LN_IB5</f>
        <v>4718.9637000000002</v>
      </c>
      <c r="E47" s="463">
        <f t="shared" si="4"/>
        <v>-172.29089999999997</v>
      </c>
      <c r="F47" s="449">
        <f t="shared" si="5"/>
        <v>-3.5224275587698903E-2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18715.01720642389</v>
      </c>
      <c r="D48" s="465">
        <f>IF(LN_IB6=0,0,LN_IB2/LN_IB6)</f>
        <v>21975.892503686773</v>
      </c>
      <c r="E48" s="465">
        <f t="shared" si="4"/>
        <v>3260.8752972628827</v>
      </c>
      <c r="F48" s="449">
        <f t="shared" si="5"/>
        <v>0.17423843437042602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131429.81259447528</v>
      </c>
      <c r="D49" s="465">
        <f>LN_IA7-LN_IB7</f>
        <v>63256.751979675741</v>
      </c>
      <c r="E49" s="465">
        <f t="shared" si="4"/>
        <v>-68173.060614799542</v>
      </c>
      <c r="F49" s="449">
        <f t="shared" si="5"/>
        <v>-0.51870317144213318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642856675.42986524</v>
      </c>
      <c r="D50" s="479">
        <f>LN_IB8*LN_IB6</f>
        <v>298506316.37199295</v>
      </c>
      <c r="E50" s="479">
        <f t="shared" si="4"/>
        <v>-344350359.0578723</v>
      </c>
      <c r="F50" s="449">
        <f t="shared" si="5"/>
        <v>-0.53565650357074102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18528</v>
      </c>
      <c r="D51" s="456">
        <v>19318</v>
      </c>
      <c r="E51" s="456">
        <f t="shared" si="4"/>
        <v>790</v>
      </c>
      <c r="F51" s="449">
        <f t="shared" si="5"/>
        <v>4.2638169257340243E-2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4940.6257556131259</v>
      </c>
      <c r="D52" s="465">
        <f>IF(LN_IB10=0,0,LN_IB2/LN_IB10)</f>
        <v>5368.2285433274665</v>
      </c>
      <c r="E52" s="465">
        <f t="shared" si="4"/>
        <v>427.60278771434059</v>
      </c>
      <c r="F52" s="449">
        <f t="shared" si="5"/>
        <v>8.6548305592370367E-2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7.1316397228637411</v>
      </c>
      <c r="D53" s="466">
        <f>IF(LN_IB4=0,0,LN_IB10/LN_IB4)</f>
        <v>7.5786582973715184</v>
      </c>
      <c r="E53" s="466">
        <f t="shared" si="4"/>
        <v>0.44701857450777727</v>
      </c>
      <c r="F53" s="449">
        <f t="shared" si="5"/>
        <v>6.2681037163817219E-2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124271515</v>
      </c>
      <c r="D56" s="448">
        <v>136326987</v>
      </c>
      <c r="E56" s="448">
        <f t="shared" ref="E56:E63" si="6">D56-C56</f>
        <v>12055472</v>
      </c>
      <c r="F56" s="449">
        <f t="shared" ref="F56:F63" si="7">IF(C56=0,0,E56/C56)</f>
        <v>9.7009133589463364E-2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64102390</v>
      </c>
      <c r="D57" s="448">
        <v>74734109</v>
      </c>
      <c r="E57" s="448">
        <f t="shared" si="6"/>
        <v>10631719</v>
      </c>
      <c r="F57" s="449">
        <f t="shared" si="7"/>
        <v>0.1658552668629048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0.51582528787872262</v>
      </c>
      <c r="D58" s="453">
        <f>IF(LN_IB13=0,0,LN_IB14/LN_IB13)</f>
        <v>0.54819746731437702</v>
      </c>
      <c r="E58" s="454">
        <f t="shared" si="6"/>
        <v>3.2372179435654402E-2</v>
      </c>
      <c r="F58" s="449">
        <f t="shared" si="7"/>
        <v>6.2758031055013985E-2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0.8392176900907542</v>
      </c>
      <c r="D59" s="453">
        <f>IF(LN_IB1=0,0,LN_IB13/LN_IB1)</f>
        <v>0.81543624359787203</v>
      </c>
      <c r="E59" s="454">
        <f t="shared" si="6"/>
        <v>-2.3781446492882163E-2</v>
      </c>
      <c r="F59" s="449">
        <f t="shared" si="7"/>
        <v>-2.8337637270623314E-2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2180.2875588557795</v>
      </c>
      <c r="D60" s="463">
        <f>LN_IB16*LN_IB4</f>
        <v>2078.5469849309757</v>
      </c>
      <c r="E60" s="463">
        <f t="shared" si="6"/>
        <v>-101.74057392480381</v>
      </c>
      <c r="F60" s="449">
        <f t="shared" si="7"/>
        <v>-4.6663832718560082E-2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29400.887850610448</v>
      </c>
      <c r="D61" s="465">
        <f>IF(LN_IB17=0,0,LN_IB14/LN_IB17)</f>
        <v>35954.976982385495</v>
      </c>
      <c r="E61" s="465">
        <f t="shared" si="6"/>
        <v>6554.0891317750466</v>
      </c>
      <c r="F61" s="449">
        <f t="shared" si="7"/>
        <v>0.22292146975551164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115011.01789493396</v>
      </c>
      <c r="D62" s="465">
        <f>LN_IA16-LN_IB18</f>
        <v>97252.944605686993</v>
      </c>
      <c r="E62" s="465">
        <f t="shared" si="6"/>
        <v>-17758.073289246968</v>
      </c>
      <c r="F62" s="449">
        <f t="shared" si="7"/>
        <v>-0.15440323557060859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250757091.44766393</v>
      </c>
      <c r="D63" s="448">
        <f>LN_IB19*LN_IB17</f>
        <v>202144814.7858099</v>
      </c>
      <c r="E63" s="448">
        <f t="shared" si="6"/>
        <v>-48612276.661854029</v>
      </c>
      <c r="F63" s="449">
        <f t="shared" si="7"/>
        <v>-0.19386202153329732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272351705</v>
      </c>
      <c r="D66" s="448">
        <f>LN_IB1+LN_IB13</f>
        <v>303509876</v>
      </c>
      <c r="E66" s="448">
        <f>D66-C66</f>
        <v>31158171</v>
      </c>
      <c r="F66" s="449">
        <f>IF(C66=0,0,E66/C66)</f>
        <v>0.11440417088631775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155642304</v>
      </c>
      <c r="D67" s="448">
        <f>LN_IB2+LN_IB14</f>
        <v>178437548</v>
      </c>
      <c r="E67" s="448">
        <f>D67-C67</f>
        <v>22795244</v>
      </c>
      <c r="F67" s="449">
        <f>IF(C67=0,0,E67/C67)</f>
        <v>0.14645917860480914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116709401</v>
      </c>
      <c r="D68" s="448">
        <f>LN_IB21-LN_IB22</f>
        <v>125072328</v>
      </c>
      <c r="E68" s="448">
        <f>D68-C68</f>
        <v>8362927</v>
      </c>
      <c r="F68" s="449">
        <f>IF(C68=0,0,E68/C68)</f>
        <v>7.1655984251003058E-2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893613766.87752914</v>
      </c>
      <c r="D70" s="441">
        <f>LN_IB9+LN_IB20</f>
        <v>500651131.15780282</v>
      </c>
      <c r="E70" s="448">
        <f>D70-C70</f>
        <v>-392962635.71972632</v>
      </c>
      <c r="F70" s="449">
        <f>IF(C70=0,0,E70/C70)</f>
        <v>-0.43974550335411555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272351705</v>
      </c>
      <c r="D73" s="488">
        <v>303509876</v>
      </c>
      <c r="E73" s="488">
        <f>D73-C73</f>
        <v>31158171</v>
      </c>
      <c r="F73" s="489">
        <f>IF(C73=0,0,E73/C73)</f>
        <v>0.11440417088631775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155642304</v>
      </c>
      <c r="D74" s="488">
        <v>178437548</v>
      </c>
      <c r="E74" s="488">
        <f>D74-C74</f>
        <v>22795244</v>
      </c>
      <c r="F74" s="489">
        <f>IF(C74=0,0,E74/C74)</f>
        <v>0.14645917860480914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116709401</v>
      </c>
      <c r="D76" s="441">
        <f>LN_IB32-LN_IB33</f>
        <v>125072328</v>
      </c>
      <c r="E76" s="488">
        <f>D76-C76</f>
        <v>8362927</v>
      </c>
      <c r="F76" s="489">
        <f>IF(E76=0,0,E76/C76)</f>
        <v>7.1655984251003058E-2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0.42852458368123675</v>
      </c>
      <c r="D77" s="453">
        <f>IF(LN_IB32=0,0,LN_IB34/LN_IB32)</f>
        <v>0.41208651806770202</v>
      </c>
      <c r="E77" s="493">
        <f>D77-C77</f>
        <v>-1.6438065613534725E-2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1436919</v>
      </c>
      <c r="D83" s="448">
        <v>894674</v>
      </c>
      <c r="E83" s="448">
        <f t="shared" ref="E83:E95" si="8">D83-C83</f>
        <v>-542245</v>
      </c>
      <c r="F83" s="449">
        <f t="shared" ref="F83:F95" si="9">IF(C83=0,0,E83/C83)</f>
        <v>-0.37736643471204712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362139</v>
      </c>
      <c r="D84" s="448">
        <v>102412</v>
      </c>
      <c r="E84" s="448">
        <f t="shared" si="8"/>
        <v>-259727</v>
      </c>
      <c r="F84" s="449">
        <f t="shared" si="9"/>
        <v>-0.71720251063818041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0.25202464439540434</v>
      </c>
      <c r="D85" s="453">
        <f>IF(LN_IC1=0,0,LN_IC2/LN_IC1)</f>
        <v>0.11446851031772466</v>
      </c>
      <c r="E85" s="454">
        <f t="shared" si="8"/>
        <v>-0.13755613407767969</v>
      </c>
      <c r="F85" s="449">
        <f t="shared" si="9"/>
        <v>-0.54580429786011841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34</v>
      </c>
      <c r="D86" s="456">
        <v>20</v>
      </c>
      <c r="E86" s="456">
        <f t="shared" si="8"/>
        <v>-14</v>
      </c>
      <c r="F86" s="449">
        <f t="shared" si="9"/>
        <v>-0.41176470588235292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1.0401</v>
      </c>
      <c r="D87" s="459">
        <v>1.4956</v>
      </c>
      <c r="E87" s="460">
        <f t="shared" si="8"/>
        <v>0.45550000000000002</v>
      </c>
      <c r="F87" s="449">
        <f t="shared" si="9"/>
        <v>0.43793865974425539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35.363399999999999</v>
      </c>
      <c r="D88" s="463">
        <f>LN_IC4*LN_IC5</f>
        <v>29.911999999999999</v>
      </c>
      <c r="E88" s="463">
        <f t="shared" si="8"/>
        <v>-5.4513999999999996</v>
      </c>
      <c r="F88" s="449">
        <f t="shared" si="9"/>
        <v>-0.15415372956220272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10240.502892821392</v>
      </c>
      <c r="D89" s="465">
        <f>IF(LN_IC6=0,0,LN_IC2/LN_IC6)</f>
        <v>3423.7764108050283</v>
      </c>
      <c r="E89" s="465">
        <f t="shared" si="8"/>
        <v>-6816.7264820163637</v>
      </c>
      <c r="F89" s="449">
        <f t="shared" si="9"/>
        <v>-0.6656632543695582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8474.5143136024981</v>
      </c>
      <c r="D90" s="465">
        <f>LN_IB7-LN_IC7</f>
        <v>18552.116092881744</v>
      </c>
      <c r="E90" s="465">
        <f t="shared" si="8"/>
        <v>10077.601779279246</v>
      </c>
      <c r="F90" s="449">
        <f t="shared" si="9"/>
        <v>1.1891657039393539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139904.32690807778</v>
      </c>
      <c r="D91" s="465">
        <f>LN_IA7-LN_IC7</f>
        <v>81808.868072557481</v>
      </c>
      <c r="E91" s="465">
        <f t="shared" si="8"/>
        <v>-58095.458835520301</v>
      </c>
      <c r="F91" s="449">
        <f t="shared" si="9"/>
        <v>-0.41525133724914115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4947492.6741811177</v>
      </c>
      <c r="D92" s="441">
        <f>LN_IC9*LN_IC6</f>
        <v>2447066.8617863394</v>
      </c>
      <c r="E92" s="441">
        <f t="shared" si="8"/>
        <v>-2500425.8123947782</v>
      </c>
      <c r="F92" s="449">
        <f t="shared" si="9"/>
        <v>-0.50539252446869676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177</v>
      </c>
      <c r="D93" s="456">
        <v>105</v>
      </c>
      <c r="E93" s="456">
        <f t="shared" si="8"/>
        <v>-72</v>
      </c>
      <c r="F93" s="449">
        <f t="shared" si="9"/>
        <v>-0.40677966101694918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2045.9830508474577</v>
      </c>
      <c r="D94" s="499">
        <f>IF(LN_IC11=0,0,LN_IC2/LN_IC11)</f>
        <v>975.35238095238094</v>
      </c>
      <c r="E94" s="499">
        <f t="shared" si="8"/>
        <v>-1070.6306698950766</v>
      </c>
      <c r="F94" s="449">
        <f t="shared" si="9"/>
        <v>-0.52328423221864684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5.2058823529411766</v>
      </c>
      <c r="D95" s="466">
        <f>IF(LN_IC4=0,0,LN_IC11/LN_IC4)</f>
        <v>5.25</v>
      </c>
      <c r="E95" s="466">
        <f t="shared" si="8"/>
        <v>4.4117647058823373E-2</v>
      </c>
      <c r="F95" s="449">
        <f t="shared" si="9"/>
        <v>8.4745762711864112E-3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2050876</v>
      </c>
      <c r="D98" s="448">
        <v>2453906</v>
      </c>
      <c r="E98" s="448">
        <f t="shared" ref="E98:E106" si="10">D98-C98</f>
        <v>403030</v>
      </c>
      <c r="F98" s="449">
        <f t="shared" ref="F98:F106" si="11">IF(C98=0,0,E98/C98)</f>
        <v>0.19651602534721749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1095326</v>
      </c>
      <c r="D99" s="448">
        <v>387830</v>
      </c>
      <c r="E99" s="448">
        <f t="shared" si="10"/>
        <v>-707496</v>
      </c>
      <c r="F99" s="449">
        <f t="shared" si="11"/>
        <v>-0.64592276637275114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0.53407714557096575</v>
      </c>
      <c r="D100" s="453">
        <f>IF(LN_IC14=0,0,LN_IC15/LN_IC14)</f>
        <v>0.15804598872165437</v>
      </c>
      <c r="E100" s="454">
        <f t="shared" si="10"/>
        <v>-0.37603115684931138</v>
      </c>
      <c r="F100" s="449">
        <f t="shared" si="11"/>
        <v>-0.70407648027572467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1.4272732144261437</v>
      </c>
      <c r="D101" s="453">
        <f>IF(LN_IC1=0,0,LN_IC14/LN_IC1)</f>
        <v>2.7427934644350902</v>
      </c>
      <c r="E101" s="454">
        <f t="shared" si="10"/>
        <v>1.3155202500089465</v>
      </c>
      <c r="F101" s="449">
        <f t="shared" si="11"/>
        <v>0.92170177140041876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48.527289290488888</v>
      </c>
      <c r="D102" s="463">
        <f>LN_IC17*LN_IC4</f>
        <v>54.855869288701804</v>
      </c>
      <c r="E102" s="463">
        <f t="shared" si="10"/>
        <v>6.3285799982129163</v>
      </c>
      <c r="F102" s="449">
        <f t="shared" si="11"/>
        <v>0.1304128067061287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22571.341115784897</v>
      </c>
      <c r="D103" s="465">
        <f>IF(LN_IC18=0,0,LN_IC15/LN_IC18)</f>
        <v>7069.9818456778703</v>
      </c>
      <c r="E103" s="465">
        <f t="shared" si="10"/>
        <v>-15501.359270107027</v>
      </c>
      <c r="F103" s="449">
        <f t="shared" si="11"/>
        <v>-0.68677174256457474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6829.5467348255515</v>
      </c>
      <c r="D104" s="465">
        <f>LN_IB18-LN_IC19</f>
        <v>28884.995136707625</v>
      </c>
      <c r="E104" s="465">
        <f t="shared" si="10"/>
        <v>22055.448401882073</v>
      </c>
      <c r="F104" s="449">
        <f t="shared" si="11"/>
        <v>3.2294161323204476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121840.56462975952</v>
      </c>
      <c r="D105" s="465">
        <f>LN_IA16-LN_IC19</f>
        <v>126137.93974239462</v>
      </c>
      <c r="E105" s="465">
        <f t="shared" si="10"/>
        <v>4297.375112635098</v>
      </c>
      <c r="F105" s="449">
        <f t="shared" si="11"/>
        <v>3.5270479299678699E-2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5912592.3271048488</v>
      </c>
      <c r="D106" s="448">
        <f>LN_IC21*LN_IC18</f>
        <v>6919406.3348549437</v>
      </c>
      <c r="E106" s="448">
        <f t="shared" si="10"/>
        <v>1006814.0077500949</v>
      </c>
      <c r="F106" s="449">
        <f t="shared" si="11"/>
        <v>0.1702830082051488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3487795</v>
      </c>
      <c r="D109" s="448">
        <f>LN_IC1+LN_IC14</f>
        <v>3348580</v>
      </c>
      <c r="E109" s="448">
        <f>D109-C109</f>
        <v>-139215</v>
      </c>
      <c r="F109" s="449">
        <f>IF(C109=0,0,E109/C109)</f>
        <v>-3.9914903255495231E-2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1457465</v>
      </c>
      <c r="D110" s="448">
        <f>LN_IC2+LN_IC15</f>
        <v>490242</v>
      </c>
      <c r="E110" s="448">
        <f>D110-C110</f>
        <v>-967223</v>
      </c>
      <c r="F110" s="449">
        <f>IF(C110=0,0,E110/C110)</f>
        <v>-0.66363377508207744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2030330</v>
      </c>
      <c r="D111" s="448">
        <f>LN_IC23-LN_IC24</f>
        <v>2858338</v>
      </c>
      <c r="E111" s="448">
        <f>D111-C111</f>
        <v>828008</v>
      </c>
      <c r="F111" s="449">
        <f>IF(C111=0,0,E111/C111)</f>
        <v>0.40781941851817194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10860085.001285966</v>
      </c>
      <c r="D113" s="448">
        <f>LN_IC10+LN_IC22</f>
        <v>9366473.1966412831</v>
      </c>
      <c r="E113" s="448">
        <f>D113-C113</f>
        <v>-1493611.8046446834</v>
      </c>
      <c r="F113" s="449">
        <f>IF(C113=0,0,E113/C113)</f>
        <v>-0.1375322388791452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185270770</v>
      </c>
      <c r="D118" s="448">
        <v>218045317</v>
      </c>
      <c r="E118" s="448">
        <f t="shared" ref="E118:E130" si="12">D118-C118</f>
        <v>32774547</v>
      </c>
      <c r="F118" s="449">
        <f t="shared" ref="F118:F130" si="13">IF(C118=0,0,E118/C118)</f>
        <v>0.17690079768114528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51354904</v>
      </c>
      <c r="D119" s="448">
        <v>57661686</v>
      </c>
      <c r="E119" s="448">
        <f t="shared" si="12"/>
        <v>6306782</v>
      </c>
      <c r="F119" s="449">
        <f t="shared" si="13"/>
        <v>0.12280778482226352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0.2771883767741668</v>
      </c>
      <c r="D120" s="453">
        <f>IF(LN_ID1=0,0,LN_1D2/LN_ID1)</f>
        <v>0.26444817432148748</v>
      </c>
      <c r="E120" s="454">
        <f t="shared" si="12"/>
        <v>-1.2740202452679317E-2</v>
      </c>
      <c r="F120" s="449">
        <f t="shared" si="13"/>
        <v>-4.5962253543766443E-2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3153</v>
      </c>
      <c r="D121" s="456">
        <v>3430</v>
      </c>
      <c r="E121" s="456">
        <f t="shared" si="12"/>
        <v>277</v>
      </c>
      <c r="F121" s="449">
        <f t="shared" si="13"/>
        <v>8.7852838566444658E-2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1.7053</v>
      </c>
      <c r="D122" s="459">
        <v>1.6950000000000001</v>
      </c>
      <c r="E122" s="460">
        <f t="shared" si="12"/>
        <v>-1.0299999999999976E-2</v>
      </c>
      <c r="F122" s="449">
        <f t="shared" si="13"/>
        <v>-6.0399929631149802E-3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5376.8109000000004</v>
      </c>
      <c r="D123" s="463">
        <f>LN_ID4*LN_ID5</f>
        <v>5813.85</v>
      </c>
      <c r="E123" s="463">
        <f t="shared" si="12"/>
        <v>437.03909999999996</v>
      </c>
      <c r="F123" s="449">
        <f t="shared" si="13"/>
        <v>8.1282215076598649E-2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9551.1828396271103</v>
      </c>
      <c r="D124" s="465">
        <f>IF(LN_ID6=0,0,LN_1D2/LN_ID6)</f>
        <v>9917.986532160272</v>
      </c>
      <c r="E124" s="465">
        <f t="shared" si="12"/>
        <v>366.80369253316167</v>
      </c>
      <c r="F124" s="449">
        <f t="shared" si="13"/>
        <v>3.8404006989722975E-2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9163.8343667967802</v>
      </c>
      <c r="D125" s="465">
        <f>LN_IB7-LN_ID7</f>
        <v>12057.905971526501</v>
      </c>
      <c r="E125" s="465">
        <f t="shared" si="12"/>
        <v>2894.071604729721</v>
      </c>
      <c r="F125" s="449">
        <f t="shared" si="13"/>
        <v>0.31581448211414415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140593.64696127205</v>
      </c>
      <c r="D126" s="465">
        <f>LN_IA7-LN_ID7</f>
        <v>75314.657951202244</v>
      </c>
      <c r="E126" s="465">
        <f t="shared" si="12"/>
        <v>-65278.98901006981</v>
      </c>
      <c r="F126" s="449">
        <f t="shared" si="13"/>
        <v>-0.46430966420589098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755945453.45211947</v>
      </c>
      <c r="D127" s="479">
        <f>LN_ID9*LN_ID6</f>
        <v>437868124.12959719</v>
      </c>
      <c r="E127" s="479">
        <f t="shared" si="12"/>
        <v>-318077329.32252228</v>
      </c>
      <c r="F127" s="449">
        <f t="shared" si="13"/>
        <v>-0.42076756711741881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23813</v>
      </c>
      <c r="D128" s="456">
        <v>25146</v>
      </c>
      <c r="E128" s="456">
        <f t="shared" si="12"/>
        <v>1333</v>
      </c>
      <c r="F128" s="449">
        <f t="shared" si="13"/>
        <v>5.5977827237223367E-2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2156.5911056985678</v>
      </c>
      <c r="D129" s="465">
        <f>IF(LN_ID11=0,0,LN_1D2/LN_ID11)</f>
        <v>2293.0758768790265</v>
      </c>
      <c r="E129" s="465">
        <f t="shared" si="12"/>
        <v>136.48477118045867</v>
      </c>
      <c r="F129" s="449">
        <f t="shared" si="13"/>
        <v>6.3287273521536763E-2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7.5524896923564855</v>
      </c>
      <c r="D130" s="466">
        <f>IF(LN_ID4=0,0,LN_ID11/LN_ID4)</f>
        <v>7.3311953352769681</v>
      </c>
      <c r="E130" s="466">
        <f t="shared" si="12"/>
        <v>-0.22129435707951739</v>
      </c>
      <c r="F130" s="449">
        <f t="shared" si="13"/>
        <v>-2.9300848606715592E-2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135423585</v>
      </c>
      <c r="D133" s="448">
        <v>139794966</v>
      </c>
      <c r="E133" s="448">
        <f t="shared" ref="E133:E141" si="14">D133-C133</f>
        <v>4371381</v>
      </c>
      <c r="F133" s="449">
        <f t="shared" ref="F133:F141" si="15">IF(C133=0,0,E133/C133)</f>
        <v>3.2279318259075776E-2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29766970</v>
      </c>
      <c r="D134" s="448">
        <v>29210044</v>
      </c>
      <c r="E134" s="448">
        <f t="shared" si="14"/>
        <v>-556926</v>
      </c>
      <c r="F134" s="449">
        <f t="shared" si="15"/>
        <v>-1.8709529387774437E-2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0.21980639487575226</v>
      </c>
      <c r="D135" s="453">
        <f>IF(LN_ID14=0,0,LN_ID15/LN_ID14)</f>
        <v>0.20894918347775127</v>
      </c>
      <c r="E135" s="454">
        <f t="shared" si="14"/>
        <v>-1.0857211398000999E-2</v>
      </c>
      <c r="F135" s="449">
        <f t="shared" si="15"/>
        <v>-4.9394429148151696E-2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0.73094954482026497</v>
      </c>
      <c r="D136" s="453">
        <f>IF(LN_ID1=0,0,LN_ID14/LN_ID1)</f>
        <v>0.64112803670073781</v>
      </c>
      <c r="E136" s="454">
        <f t="shared" si="14"/>
        <v>-8.982150811952716E-2</v>
      </c>
      <c r="F136" s="449">
        <f t="shared" si="15"/>
        <v>-0.12288332177785759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2304.6839148182953</v>
      </c>
      <c r="D137" s="463">
        <f>LN_ID17*LN_ID4</f>
        <v>2199.0691658835308</v>
      </c>
      <c r="E137" s="463">
        <f t="shared" si="14"/>
        <v>-105.61474893476452</v>
      </c>
      <c r="F137" s="449">
        <f t="shared" si="15"/>
        <v>-4.5826131842071433E-2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12915.857922472145</v>
      </c>
      <c r="D138" s="465">
        <f>IF(LN_ID18=0,0,LN_ID15/LN_ID18)</f>
        <v>13282.912812914703</v>
      </c>
      <c r="E138" s="465">
        <f t="shared" si="14"/>
        <v>367.05489044255773</v>
      </c>
      <c r="F138" s="449">
        <f t="shared" si="15"/>
        <v>2.841893218753385E-2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16485.029928138305</v>
      </c>
      <c r="D139" s="465">
        <f>LN_IB18-LN_ID19</f>
        <v>22672.064169470792</v>
      </c>
      <c r="E139" s="465">
        <f t="shared" si="14"/>
        <v>6187.034241332487</v>
      </c>
      <c r="F139" s="449">
        <f t="shared" si="15"/>
        <v>0.37531228443642894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131496.04782307227</v>
      </c>
      <c r="D140" s="465">
        <f>LN_IA16-LN_ID19</f>
        <v>119925.0087751578</v>
      </c>
      <c r="E140" s="465">
        <f t="shared" si="14"/>
        <v>-11571.03904791447</v>
      </c>
      <c r="F140" s="449">
        <f t="shared" si="15"/>
        <v>-8.799533704224545E-2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303056826.28001195</v>
      </c>
      <c r="D141" s="441">
        <f>LN_ID21*LN_ID18</f>
        <v>263723389.01576138</v>
      </c>
      <c r="E141" s="441">
        <f t="shared" si="14"/>
        <v>-39333437.264250576</v>
      </c>
      <c r="F141" s="449">
        <f t="shared" si="15"/>
        <v>-0.12978898296753133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320694355</v>
      </c>
      <c r="D144" s="448">
        <f>LN_ID1+LN_ID14</f>
        <v>357840283</v>
      </c>
      <c r="E144" s="448">
        <f>D144-C144</f>
        <v>37145928</v>
      </c>
      <c r="F144" s="449">
        <f>IF(C144=0,0,E144/C144)</f>
        <v>0.11582969085938541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81121874</v>
      </c>
      <c r="D145" s="448">
        <f>LN_1D2+LN_ID15</f>
        <v>86871730</v>
      </c>
      <c r="E145" s="448">
        <f>D145-C145</f>
        <v>5749856</v>
      </c>
      <c r="F145" s="449">
        <f>IF(C145=0,0,E145/C145)</f>
        <v>7.0879230428034734E-2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239572481</v>
      </c>
      <c r="D146" s="448">
        <f>LN_ID23-LN_ID24</f>
        <v>270968553</v>
      </c>
      <c r="E146" s="448">
        <f>D146-C146</f>
        <v>31396072</v>
      </c>
      <c r="F146" s="449">
        <f>IF(C146=0,0,E146/C146)</f>
        <v>0.13105041058534597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1059002279.7321315</v>
      </c>
      <c r="D148" s="448">
        <f>LN_ID10+LN_ID22</f>
        <v>701591513.14535856</v>
      </c>
      <c r="E148" s="448">
        <f>D148-C148</f>
        <v>-357410766.58677292</v>
      </c>
      <c r="F148" s="503">
        <f>IF(C148=0,0,E148/C148)</f>
        <v>-0.33749763662187576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18715.01720642389</v>
      </c>
      <c r="D160" s="465">
        <f>LN_IB7-LN_IE7</f>
        <v>21975.892503686773</v>
      </c>
      <c r="E160" s="465">
        <f t="shared" si="16"/>
        <v>3260.8752972628827</v>
      </c>
      <c r="F160" s="449">
        <f t="shared" si="17"/>
        <v>0.17423843437042602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150144.82980089917</v>
      </c>
      <c r="D161" s="465">
        <f>LN_IA7-LN_IE7</f>
        <v>85232.644483362514</v>
      </c>
      <c r="E161" s="465">
        <f t="shared" si="16"/>
        <v>-64912.185317536656</v>
      </c>
      <c r="F161" s="449">
        <f t="shared" si="17"/>
        <v>-0.43233047320786211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29400.887850610448</v>
      </c>
      <c r="D174" s="465">
        <f>LN_IB18-LN_IE19</f>
        <v>35954.976982385495</v>
      </c>
      <c r="E174" s="465">
        <f t="shared" si="18"/>
        <v>6554.0891317750466</v>
      </c>
      <c r="F174" s="449">
        <f t="shared" si="19"/>
        <v>0.22292146975551164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144411.90574554441</v>
      </c>
      <c r="D175" s="465">
        <f>LN_IA16-LN_IE19</f>
        <v>133207.9215880725</v>
      </c>
      <c r="E175" s="465">
        <f t="shared" si="18"/>
        <v>-11203.984157471918</v>
      </c>
      <c r="F175" s="449">
        <f t="shared" si="19"/>
        <v>-7.7583521245218362E-2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185270770</v>
      </c>
      <c r="D188" s="448">
        <f>LN_ID1+LN_IE1</f>
        <v>218045317</v>
      </c>
      <c r="E188" s="448">
        <f t="shared" ref="E188:E200" si="20">D188-C188</f>
        <v>32774547</v>
      </c>
      <c r="F188" s="449">
        <f t="shared" ref="F188:F200" si="21">IF(C188=0,0,E188/C188)</f>
        <v>0.17690079768114528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51354904</v>
      </c>
      <c r="D189" s="448">
        <f>LN_1D2+LN_IE2</f>
        <v>57661686</v>
      </c>
      <c r="E189" s="448">
        <f t="shared" si="20"/>
        <v>6306782</v>
      </c>
      <c r="F189" s="449">
        <f t="shared" si="21"/>
        <v>0.12280778482226352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0.2771883767741668</v>
      </c>
      <c r="D190" s="453">
        <f>IF(LN_IF1=0,0,LN_IF2/LN_IF1)</f>
        <v>0.26444817432148748</v>
      </c>
      <c r="E190" s="454">
        <f t="shared" si="20"/>
        <v>-1.2740202452679317E-2</v>
      </c>
      <c r="F190" s="449">
        <f t="shared" si="21"/>
        <v>-4.5962253543766443E-2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3153</v>
      </c>
      <c r="D191" s="456">
        <f>LN_ID4+LN_IE4</f>
        <v>3430</v>
      </c>
      <c r="E191" s="456">
        <f t="shared" si="20"/>
        <v>277</v>
      </c>
      <c r="F191" s="449">
        <f t="shared" si="21"/>
        <v>8.7852838566444658E-2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1.7053</v>
      </c>
      <c r="D192" s="459">
        <f>IF((LN_ID4+LN_IE4)=0,0,(LN_ID6+LN_IE6)/(LN_ID4+LN_IE4))</f>
        <v>1.6950000000000001</v>
      </c>
      <c r="E192" s="460">
        <f t="shared" si="20"/>
        <v>-1.0299999999999976E-2</v>
      </c>
      <c r="F192" s="449">
        <f t="shared" si="21"/>
        <v>-6.0399929631149802E-3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5376.8109000000004</v>
      </c>
      <c r="D193" s="463">
        <f>LN_IF4*LN_IF5</f>
        <v>5813.85</v>
      </c>
      <c r="E193" s="463">
        <f t="shared" si="20"/>
        <v>437.03909999999996</v>
      </c>
      <c r="F193" s="449">
        <f t="shared" si="21"/>
        <v>8.1282215076598649E-2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9551.1828396271103</v>
      </c>
      <c r="D194" s="465">
        <f>IF(LN_IF6=0,0,LN_IF2/LN_IF6)</f>
        <v>9917.986532160272</v>
      </c>
      <c r="E194" s="465">
        <f t="shared" si="20"/>
        <v>366.80369253316167</v>
      </c>
      <c r="F194" s="449">
        <f t="shared" si="21"/>
        <v>3.8404006989722975E-2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9163.8343667967802</v>
      </c>
      <c r="D195" s="465">
        <f>LN_IB7-LN_IF7</f>
        <v>12057.905971526501</v>
      </c>
      <c r="E195" s="465">
        <f t="shared" si="20"/>
        <v>2894.071604729721</v>
      </c>
      <c r="F195" s="449">
        <f t="shared" si="21"/>
        <v>0.31581448211414415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140593.64696127205</v>
      </c>
      <c r="D196" s="465">
        <f>LN_IA7-LN_IF7</f>
        <v>75314.657951202244</v>
      </c>
      <c r="E196" s="465">
        <f t="shared" si="20"/>
        <v>-65278.98901006981</v>
      </c>
      <c r="F196" s="449">
        <f t="shared" si="21"/>
        <v>-0.46430966420589098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755945453.45211947</v>
      </c>
      <c r="D197" s="479">
        <f>LN_IF9*LN_IF6</f>
        <v>437868124.12959719</v>
      </c>
      <c r="E197" s="479">
        <f t="shared" si="20"/>
        <v>-318077329.32252228</v>
      </c>
      <c r="F197" s="449">
        <f t="shared" si="21"/>
        <v>-0.42076756711741881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23813</v>
      </c>
      <c r="D198" s="456">
        <f>LN_ID11+LN_IE11</f>
        <v>25146</v>
      </c>
      <c r="E198" s="456">
        <f t="shared" si="20"/>
        <v>1333</v>
      </c>
      <c r="F198" s="449">
        <f t="shared" si="21"/>
        <v>5.5977827237223367E-2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2156.5911056985678</v>
      </c>
      <c r="D199" s="519">
        <f>IF(LN_IF11=0,0,LN_IF2/LN_IF11)</f>
        <v>2293.0758768790265</v>
      </c>
      <c r="E199" s="519">
        <f t="shared" si="20"/>
        <v>136.48477118045867</v>
      </c>
      <c r="F199" s="449">
        <f t="shared" si="21"/>
        <v>6.3287273521536763E-2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7.5524896923564855</v>
      </c>
      <c r="D200" s="466">
        <f>IF(LN_IF4=0,0,LN_IF11/LN_IF4)</f>
        <v>7.3311953352769681</v>
      </c>
      <c r="E200" s="466">
        <f t="shared" si="20"/>
        <v>-0.22129435707951739</v>
      </c>
      <c r="F200" s="449">
        <f t="shared" si="21"/>
        <v>-2.9300848606715592E-2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135423585</v>
      </c>
      <c r="D203" s="448">
        <f>LN_ID14+LN_IE14</f>
        <v>139794966</v>
      </c>
      <c r="E203" s="448">
        <f t="shared" ref="E203:E211" si="22">D203-C203</f>
        <v>4371381</v>
      </c>
      <c r="F203" s="449">
        <f t="shared" ref="F203:F211" si="23">IF(C203=0,0,E203/C203)</f>
        <v>3.2279318259075776E-2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29766970</v>
      </c>
      <c r="D204" s="448">
        <f>LN_ID15+LN_IE15</f>
        <v>29210044</v>
      </c>
      <c r="E204" s="448">
        <f t="shared" si="22"/>
        <v>-556926</v>
      </c>
      <c r="F204" s="449">
        <f t="shared" si="23"/>
        <v>-1.8709529387774437E-2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0.21980639487575226</v>
      </c>
      <c r="D205" s="453">
        <f>IF(LN_IF14=0,0,LN_IF15/LN_IF14)</f>
        <v>0.20894918347775127</v>
      </c>
      <c r="E205" s="454">
        <f t="shared" si="22"/>
        <v>-1.0857211398000999E-2</v>
      </c>
      <c r="F205" s="449">
        <f t="shared" si="23"/>
        <v>-4.9394429148151696E-2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0.73094954482026497</v>
      </c>
      <c r="D206" s="453">
        <f>IF(LN_IF1=0,0,LN_IF14/LN_IF1)</f>
        <v>0.64112803670073781</v>
      </c>
      <c r="E206" s="454">
        <f t="shared" si="22"/>
        <v>-8.982150811952716E-2</v>
      </c>
      <c r="F206" s="449">
        <f t="shared" si="23"/>
        <v>-0.12288332177785759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2304.6839148182953</v>
      </c>
      <c r="D207" s="463">
        <f>LN_ID18+LN_IE18</f>
        <v>2199.0691658835308</v>
      </c>
      <c r="E207" s="463">
        <f t="shared" si="22"/>
        <v>-105.61474893476452</v>
      </c>
      <c r="F207" s="449">
        <f t="shared" si="23"/>
        <v>-4.5826131842071433E-2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12915.857922472145</v>
      </c>
      <c r="D208" s="465">
        <f>IF(LN_IF18=0,0,LN_IF15/LN_IF18)</f>
        <v>13282.912812914703</v>
      </c>
      <c r="E208" s="465">
        <f t="shared" si="22"/>
        <v>367.05489044255773</v>
      </c>
      <c r="F208" s="449">
        <f t="shared" si="23"/>
        <v>2.841893218753385E-2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16485.029928138305</v>
      </c>
      <c r="D209" s="465">
        <f>LN_IB18-LN_IF19</f>
        <v>22672.064169470792</v>
      </c>
      <c r="E209" s="465">
        <f t="shared" si="22"/>
        <v>6187.034241332487</v>
      </c>
      <c r="F209" s="449">
        <f t="shared" si="23"/>
        <v>0.37531228443642894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131496.04782307227</v>
      </c>
      <c r="D210" s="465">
        <f>LN_IA16-LN_IF19</f>
        <v>119925.0087751578</v>
      </c>
      <c r="E210" s="465">
        <f t="shared" si="22"/>
        <v>-11571.03904791447</v>
      </c>
      <c r="F210" s="449">
        <f t="shared" si="23"/>
        <v>-8.799533704224545E-2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303056826.28001195</v>
      </c>
      <c r="D211" s="441">
        <f>LN_IF21*LN_IF18</f>
        <v>263723389.01576138</v>
      </c>
      <c r="E211" s="441">
        <f t="shared" si="22"/>
        <v>-39333437.264250576</v>
      </c>
      <c r="F211" s="449">
        <f t="shared" si="23"/>
        <v>-0.12978898296753133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320694355</v>
      </c>
      <c r="D214" s="448">
        <f>LN_IF1+LN_IF14</f>
        <v>357840283</v>
      </c>
      <c r="E214" s="448">
        <f>D214-C214</f>
        <v>37145928</v>
      </c>
      <c r="F214" s="449">
        <f>IF(C214=0,0,E214/C214)</f>
        <v>0.11582969085938541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81121874</v>
      </c>
      <c r="D215" s="448">
        <f>LN_IF2+LN_IF15</f>
        <v>86871730</v>
      </c>
      <c r="E215" s="448">
        <f>D215-C215</f>
        <v>5749856</v>
      </c>
      <c r="F215" s="449">
        <f>IF(C215=0,0,E215/C215)</f>
        <v>7.0879230428034734E-2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239572481</v>
      </c>
      <c r="D216" s="448">
        <f>LN_IF23-LN_IF24</f>
        <v>270968553</v>
      </c>
      <c r="E216" s="448">
        <f>D216-C216</f>
        <v>31396072</v>
      </c>
      <c r="F216" s="449">
        <f>IF(C216=0,0,E216/C216)</f>
        <v>0.13105041058534597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1121594</v>
      </c>
      <c r="D221" s="448">
        <v>3052459</v>
      </c>
      <c r="E221" s="448">
        <f t="shared" ref="E221:E230" si="24">D221-C221</f>
        <v>1930865</v>
      </c>
      <c r="F221" s="449">
        <f t="shared" ref="F221:F230" si="25">IF(C221=0,0,E221/C221)</f>
        <v>1.7215364918143286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383011</v>
      </c>
      <c r="D222" s="448">
        <v>746843</v>
      </c>
      <c r="E222" s="448">
        <f t="shared" si="24"/>
        <v>363832</v>
      </c>
      <c r="F222" s="449">
        <f t="shared" si="25"/>
        <v>0.94992572014902965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0.34148809640565125</v>
      </c>
      <c r="D223" s="453">
        <f>IF(LN_IG1=0,0,LN_IG2/LN_IG1)</f>
        <v>0.24466929776943769</v>
      </c>
      <c r="E223" s="454">
        <f t="shared" si="24"/>
        <v>-9.6818798636213566E-2</v>
      </c>
      <c r="F223" s="449">
        <f t="shared" si="25"/>
        <v>-0.28352027392838669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43</v>
      </c>
      <c r="D224" s="456">
        <v>48</v>
      </c>
      <c r="E224" s="456">
        <f t="shared" si="24"/>
        <v>5</v>
      </c>
      <c r="F224" s="449">
        <f t="shared" si="25"/>
        <v>0.11627906976744186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1.1034999999999999</v>
      </c>
      <c r="D225" s="459">
        <v>1.6104000000000001</v>
      </c>
      <c r="E225" s="460">
        <f t="shared" si="24"/>
        <v>0.50690000000000013</v>
      </c>
      <c r="F225" s="449">
        <f t="shared" si="25"/>
        <v>0.45935659265971923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47.450499999999998</v>
      </c>
      <c r="D226" s="463">
        <f>LN_IG3*LN_IG4</f>
        <v>77.299199999999999</v>
      </c>
      <c r="E226" s="463">
        <f t="shared" si="24"/>
        <v>29.848700000000001</v>
      </c>
      <c r="F226" s="449">
        <f t="shared" si="25"/>
        <v>0.62904921971317485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8071.8011401355097</v>
      </c>
      <c r="D227" s="465">
        <f>IF(LN_IG5=0,0,LN_IG2/LN_IG5)</f>
        <v>9661.7170682232154</v>
      </c>
      <c r="E227" s="465">
        <f t="shared" si="24"/>
        <v>1589.9159280877057</v>
      </c>
      <c r="F227" s="449">
        <f t="shared" si="25"/>
        <v>0.19697164244819515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137</v>
      </c>
      <c r="D228" s="456">
        <v>353</v>
      </c>
      <c r="E228" s="456">
        <f t="shared" si="24"/>
        <v>216</v>
      </c>
      <c r="F228" s="449">
        <f t="shared" si="25"/>
        <v>1.5766423357664234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2795.7007299270072</v>
      </c>
      <c r="D229" s="465">
        <f>IF(LN_IG6=0,0,LN_IG2/LN_IG6)</f>
        <v>2115.7025495750709</v>
      </c>
      <c r="E229" s="465">
        <f t="shared" si="24"/>
        <v>-679.9981803519363</v>
      </c>
      <c r="F229" s="449">
        <f t="shared" si="25"/>
        <v>-0.24322996130193461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3.1860465116279069</v>
      </c>
      <c r="D230" s="466">
        <f>IF(LN_IG3=0,0,LN_IG6/LN_IG3)</f>
        <v>7.354166666666667</v>
      </c>
      <c r="E230" s="466">
        <f t="shared" si="24"/>
        <v>4.1681201550387605</v>
      </c>
      <c r="F230" s="449">
        <f t="shared" si="25"/>
        <v>1.3082420924574212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1798331</v>
      </c>
      <c r="D233" s="448">
        <v>1724718</v>
      </c>
      <c r="E233" s="448">
        <f>D233-C233</f>
        <v>-73613</v>
      </c>
      <c r="F233" s="449">
        <f>IF(C233=0,0,E233/C233)</f>
        <v>-4.0934066086832734E-2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822388</v>
      </c>
      <c r="D234" s="448">
        <v>911649</v>
      </c>
      <c r="E234" s="448">
        <f>D234-C234</f>
        <v>89261</v>
      </c>
      <c r="F234" s="449">
        <f>IF(C234=0,0,E234/C234)</f>
        <v>0.10853879190844225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2919925</v>
      </c>
      <c r="D237" s="448">
        <f>LN_IG1+LN_IG9</f>
        <v>4777177</v>
      </c>
      <c r="E237" s="448">
        <f>D237-C237</f>
        <v>1857252</v>
      </c>
      <c r="F237" s="449">
        <f>IF(C237=0,0,E237/C237)</f>
        <v>0.63606154267660986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1205399</v>
      </c>
      <c r="D238" s="448">
        <f>LN_IG2+LN_IG10</f>
        <v>1658492</v>
      </c>
      <c r="E238" s="448">
        <f>D238-C238</f>
        <v>453093</v>
      </c>
      <c r="F238" s="449">
        <f>IF(C238=0,0,E238/C238)</f>
        <v>0.37588632477710698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1714526</v>
      </c>
      <c r="D239" s="448">
        <f>LN_IG13-LN_IG14</f>
        <v>3118685</v>
      </c>
      <c r="E239" s="448">
        <f>D239-C239</f>
        <v>1404159</v>
      </c>
      <c r="F239" s="449">
        <f>IF(C239=0,0,E239/C239)</f>
        <v>0.81897795658975137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31932692</v>
      </c>
      <c r="D243" s="448">
        <v>44142342</v>
      </c>
      <c r="E243" s="441">
        <f>D243-C243</f>
        <v>12209650</v>
      </c>
      <c r="F243" s="503">
        <f>IF(C243=0,0,E243/C243)</f>
        <v>0.38235580013110076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280099480</v>
      </c>
      <c r="D244" s="448">
        <v>288197545</v>
      </c>
      <c r="E244" s="441">
        <f>D244-C244</f>
        <v>8098065</v>
      </c>
      <c r="F244" s="503">
        <f>IF(C244=0,0,E244/C244)</f>
        <v>2.891138891082554E-2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1302183</v>
      </c>
      <c r="D248" s="441">
        <v>1893788</v>
      </c>
      <c r="E248" s="441">
        <f>D248-C248</f>
        <v>591605</v>
      </c>
      <c r="F248" s="449">
        <f>IF(C248=0,0,E248/C248)</f>
        <v>0.45431786469336494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3419884</v>
      </c>
      <c r="D249" s="441">
        <v>852481</v>
      </c>
      <c r="E249" s="441">
        <f>D249-C249</f>
        <v>-2567403</v>
      </c>
      <c r="F249" s="449">
        <f>IF(C249=0,0,E249/C249)</f>
        <v>-0.75072809487105407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4722067</v>
      </c>
      <c r="D250" s="441">
        <f>LN_IH4+LN_IH5</f>
        <v>2746269</v>
      </c>
      <c r="E250" s="441">
        <f>D250-C250</f>
        <v>-1975798</v>
      </c>
      <c r="F250" s="449">
        <f>IF(C250=0,0,E250/C250)</f>
        <v>-0.41841803599991273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1867901.980616248</v>
      </c>
      <c r="D251" s="441">
        <f>LN_IH6*LN_III10</f>
        <v>1096452.9889378538</v>
      </c>
      <c r="E251" s="441">
        <f>D251-C251</f>
        <v>-771448.99167839414</v>
      </c>
      <c r="F251" s="449">
        <f>IF(C251=0,0,E251/C251)</f>
        <v>-0.41300293039139124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320694355</v>
      </c>
      <c r="D254" s="441">
        <f>LN_IF23</f>
        <v>357840283</v>
      </c>
      <c r="E254" s="441">
        <f>D254-C254</f>
        <v>37145928</v>
      </c>
      <c r="F254" s="449">
        <f>IF(C254=0,0,E254/C254)</f>
        <v>0.11582969085938541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81121874</v>
      </c>
      <c r="D255" s="441">
        <f>LN_IF24</f>
        <v>86871730</v>
      </c>
      <c r="E255" s="441">
        <f>D255-C255</f>
        <v>5749856</v>
      </c>
      <c r="F255" s="449">
        <f>IF(C255=0,0,E255/C255)</f>
        <v>7.0879230428034734E-2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126856654.27384876</v>
      </c>
      <c r="D256" s="441">
        <f>LN_IH8*LN_III10</f>
        <v>142868396.30703238</v>
      </c>
      <c r="E256" s="441">
        <f>D256-C256</f>
        <v>16011742.033183619</v>
      </c>
      <c r="F256" s="449">
        <f>IF(C256=0,0,E256/C256)</f>
        <v>0.12621917332470914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45734780.273848757</v>
      </c>
      <c r="D257" s="441">
        <f>LN_IH10-LN_IH9</f>
        <v>55996666.307032377</v>
      </c>
      <c r="E257" s="441">
        <f>D257-C257</f>
        <v>10261886.033183619</v>
      </c>
      <c r="F257" s="449">
        <f>IF(C257=0,0,E257/C257)</f>
        <v>0.22437816409607608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334817086</v>
      </c>
      <c r="D261" s="448">
        <f>LN_IA1+LN_IB1+LN_IF1+LN_IG1</f>
        <v>389978980</v>
      </c>
      <c r="E261" s="448">
        <f t="shared" ref="E261:E274" si="26">D261-C261</f>
        <v>55161894</v>
      </c>
      <c r="F261" s="503">
        <f t="shared" ref="F261:F274" si="27">IF(C261=0,0,E261/C261)</f>
        <v>0.16475232688692595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144680482</v>
      </c>
      <c r="D262" s="448">
        <f>+LN_IA2+LN_IB2+LN_IF2+LN_IG2</f>
        <v>164545360</v>
      </c>
      <c r="E262" s="448">
        <f t="shared" si="26"/>
        <v>19864878</v>
      </c>
      <c r="F262" s="503">
        <f t="shared" si="27"/>
        <v>0.13730171288757526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0.43211797739617147</v>
      </c>
      <c r="D263" s="453">
        <f>IF(LN_IIA1=0,0,LN_IIA2/LN_IIA1)</f>
        <v>0.42193392064362034</v>
      </c>
      <c r="E263" s="454">
        <f t="shared" si="26"/>
        <v>-1.0184056752551129E-2</v>
      </c>
      <c r="F263" s="458">
        <f t="shared" si="27"/>
        <v>-2.3567769186363316E-2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5803</v>
      </c>
      <c r="D264" s="456">
        <f>LN_IA4+LN_IB4+LN_IF4+LN_IG3</f>
        <v>6047</v>
      </c>
      <c r="E264" s="456">
        <f t="shared" si="26"/>
        <v>244</v>
      </c>
      <c r="F264" s="503">
        <f t="shared" si="27"/>
        <v>4.2047216956746514E-2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1.7792276408754095</v>
      </c>
      <c r="D265" s="525">
        <f>IF(LN_IIA4=0,0,LN_IIA6/LN_IIA4)</f>
        <v>1.7593290722672401</v>
      </c>
      <c r="E265" s="525">
        <f t="shared" si="26"/>
        <v>-1.9898568608169409E-2</v>
      </c>
      <c r="F265" s="503">
        <f t="shared" si="27"/>
        <v>-1.1183823896968564E-2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10324.858000000002</v>
      </c>
      <c r="D266" s="463">
        <f>LN_IA6+LN_IB6+LN_IF6+LN_IG5</f>
        <v>10638.662900000001</v>
      </c>
      <c r="E266" s="463">
        <f t="shared" si="26"/>
        <v>313.80489999999918</v>
      </c>
      <c r="F266" s="503">
        <f t="shared" si="27"/>
        <v>3.0393144389976028E-2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261858160</v>
      </c>
      <c r="D267" s="448">
        <f>LN_IA11+LN_IB13+LN_IF14+LN_IG9</f>
        <v>278273717</v>
      </c>
      <c r="E267" s="448">
        <f t="shared" si="26"/>
        <v>16415557</v>
      </c>
      <c r="F267" s="503">
        <f t="shared" si="27"/>
        <v>6.2688735764430639E-2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0.78209318146923956</v>
      </c>
      <c r="D268" s="453">
        <f>IF(LN_IIA1=0,0,LN_IIA7/LN_IIA1)</f>
        <v>0.71356081038008767</v>
      </c>
      <c r="E268" s="454">
        <f t="shared" si="26"/>
        <v>-6.8532371089151889E-2</v>
      </c>
      <c r="F268" s="458">
        <f t="shared" si="27"/>
        <v>-8.7626861751188057E-2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96067646</v>
      </c>
      <c r="D269" s="448">
        <f>LN_IA12+LN_IB14+LN_IF15+LN_IG10</f>
        <v>105525712</v>
      </c>
      <c r="E269" s="448">
        <f t="shared" si="26"/>
        <v>9458066</v>
      </c>
      <c r="F269" s="503">
        <f t="shared" si="27"/>
        <v>9.8452146938210597E-2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0.36686901794467663</v>
      </c>
      <c r="D270" s="453">
        <f>IF(LN_IIA7=0,0,LN_IIA9/LN_IIA7)</f>
        <v>0.37921551894173317</v>
      </c>
      <c r="E270" s="454">
        <f t="shared" si="26"/>
        <v>1.2346500997056531E-2</v>
      </c>
      <c r="F270" s="458">
        <f t="shared" si="27"/>
        <v>3.3653703074262777E-2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596675246</v>
      </c>
      <c r="D271" s="441">
        <f>LN_IIA1+LN_IIA7</f>
        <v>668252697</v>
      </c>
      <c r="E271" s="441">
        <f t="shared" si="26"/>
        <v>71577451</v>
      </c>
      <c r="F271" s="503">
        <f t="shared" si="27"/>
        <v>0.11996048349557306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240748128</v>
      </c>
      <c r="D272" s="441">
        <f>LN_IIA2+LN_IIA9</f>
        <v>270071072</v>
      </c>
      <c r="E272" s="441">
        <f t="shared" si="26"/>
        <v>29322944</v>
      </c>
      <c r="F272" s="503">
        <f t="shared" si="27"/>
        <v>0.12179926067794804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0.40348268109651059</v>
      </c>
      <c r="D273" s="453">
        <f>IF(LN_IIA11=0,0,LN_IIA12/LN_IIA11)</f>
        <v>0.40414512835104949</v>
      </c>
      <c r="E273" s="454">
        <f t="shared" si="26"/>
        <v>6.6244725453890041E-4</v>
      </c>
      <c r="F273" s="458">
        <f t="shared" si="27"/>
        <v>1.6418232691887142E-3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42524</v>
      </c>
      <c r="D274" s="508">
        <f>LN_IA8+LN_IB10+LN_IF11+LN_IG6</f>
        <v>45010</v>
      </c>
      <c r="E274" s="528">
        <f t="shared" si="26"/>
        <v>2486</v>
      </c>
      <c r="F274" s="458">
        <f t="shared" si="27"/>
        <v>5.8461104317561845E-2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186736896</v>
      </c>
      <c r="D277" s="448">
        <f>LN_IA1+LN_IF1+LN_IG1</f>
        <v>222796091</v>
      </c>
      <c r="E277" s="448">
        <f t="shared" ref="E277:E291" si="28">D277-C277</f>
        <v>36059195</v>
      </c>
      <c r="F277" s="503">
        <f t="shared" ref="F277:F291" si="29">IF(C277=0,0,E277/C277)</f>
        <v>0.19310160858623246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53140568</v>
      </c>
      <c r="D278" s="448">
        <f>LN_IA2+LN_IF2+LN_IG2</f>
        <v>60841921</v>
      </c>
      <c r="E278" s="448">
        <f t="shared" si="28"/>
        <v>7701353</v>
      </c>
      <c r="F278" s="503">
        <f t="shared" si="29"/>
        <v>0.14492417544351427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0.28457454920960024</v>
      </c>
      <c r="D279" s="453">
        <f>IF(D277=0,0,LN_IIB2/D277)</f>
        <v>0.27308343125284007</v>
      </c>
      <c r="E279" s="454">
        <f t="shared" si="28"/>
        <v>-1.1491117956760166E-2</v>
      </c>
      <c r="F279" s="458">
        <f t="shared" si="29"/>
        <v>-4.0379991776061851E-2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3205</v>
      </c>
      <c r="D280" s="456">
        <f>LN_IA4+LN_IF4+LN_IG3</f>
        <v>3498</v>
      </c>
      <c r="E280" s="456">
        <f t="shared" si="28"/>
        <v>293</v>
      </c>
      <c r="F280" s="503">
        <f t="shared" si="29"/>
        <v>9.1419656786271453E-2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1.6953520748829953</v>
      </c>
      <c r="D281" s="525">
        <f>IF(LN_IIB4=0,0,LN_IIB6/LN_IIB4)</f>
        <v>1.6923096626643799</v>
      </c>
      <c r="E281" s="525">
        <f t="shared" si="28"/>
        <v>-3.0424122186154534E-3</v>
      </c>
      <c r="F281" s="503">
        <f t="shared" si="29"/>
        <v>-1.7945607072946341E-3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5433.6034</v>
      </c>
      <c r="D282" s="463">
        <f>LN_IA6+LN_IF6+LN_IG5</f>
        <v>5919.6992000000009</v>
      </c>
      <c r="E282" s="463">
        <f t="shared" si="28"/>
        <v>486.09580000000096</v>
      </c>
      <c r="F282" s="503">
        <f t="shared" si="29"/>
        <v>8.9461037955033851E-2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137586645</v>
      </c>
      <c r="D283" s="448">
        <f>LN_IA11+LN_IF14+LN_IG9</f>
        <v>141946730</v>
      </c>
      <c r="E283" s="448">
        <f t="shared" si="28"/>
        <v>4360085</v>
      </c>
      <c r="F283" s="503">
        <f t="shared" si="29"/>
        <v>3.1689739945326818E-2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0.736794109504744</v>
      </c>
      <c r="D284" s="453">
        <f>IF(D277=0,0,LN_IIB7/D277)</f>
        <v>0.63711499318899634</v>
      </c>
      <c r="E284" s="454">
        <f t="shared" si="28"/>
        <v>-9.9679116315747662E-2</v>
      </c>
      <c r="F284" s="458">
        <f t="shared" si="29"/>
        <v>-0.13528761295709824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31965256</v>
      </c>
      <c r="D285" s="448">
        <f>LN_IA12+LN_IF15+LN_IG10</f>
        <v>30791603</v>
      </c>
      <c r="E285" s="448">
        <f t="shared" si="28"/>
        <v>-1173653</v>
      </c>
      <c r="F285" s="503">
        <f t="shared" si="29"/>
        <v>-3.6716521212906916E-2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0.2323281885389385</v>
      </c>
      <c r="D286" s="453">
        <f>IF(LN_IIB7=0,0,LN_IIB9/LN_IIB7)</f>
        <v>0.21692365156985299</v>
      </c>
      <c r="E286" s="454">
        <f t="shared" si="28"/>
        <v>-1.5404536969085503E-2</v>
      </c>
      <c r="F286" s="458">
        <f t="shared" si="29"/>
        <v>-6.6305070710365746E-2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324323541</v>
      </c>
      <c r="D287" s="441">
        <f>D277+LN_IIB7</f>
        <v>364742821</v>
      </c>
      <c r="E287" s="441">
        <f t="shared" si="28"/>
        <v>40419280</v>
      </c>
      <c r="F287" s="503">
        <f t="shared" si="29"/>
        <v>0.12462641433728056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85105824</v>
      </c>
      <c r="D288" s="441">
        <f>LN_IIB2+LN_IIB9</f>
        <v>91633524</v>
      </c>
      <c r="E288" s="441">
        <f t="shared" si="28"/>
        <v>6527700</v>
      </c>
      <c r="F288" s="503">
        <f t="shared" si="29"/>
        <v>7.6700978772028569E-2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0.26241025778637511</v>
      </c>
      <c r="D289" s="453">
        <f>IF(LN_IIB11=0,0,LN_IIB12/LN_IIB11)</f>
        <v>0.2512277657686921</v>
      </c>
      <c r="E289" s="454">
        <f t="shared" si="28"/>
        <v>-1.118249201768301E-2</v>
      </c>
      <c r="F289" s="458">
        <f t="shared" si="29"/>
        <v>-4.2614538440743942E-2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23996</v>
      </c>
      <c r="D290" s="508">
        <f>LN_IA8+LN_IF11+LN_IG6</f>
        <v>25692</v>
      </c>
      <c r="E290" s="528">
        <f t="shared" si="28"/>
        <v>1696</v>
      </c>
      <c r="F290" s="458">
        <f t="shared" si="29"/>
        <v>7.0678446407734616E-2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239217717</v>
      </c>
      <c r="D291" s="516">
        <f>LN_IIB11-LN_IIB12</f>
        <v>273109297</v>
      </c>
      <c r="E291" s="441">
        <f t="shared" si="28"/>
        <v>33891580</v>
      </c>
      <c r="F291" s="503">
        <f t="shared" si="29"/>
        <v>0.14167671368588472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5.1111111111111107</v>
      </c>
      <c r="D294" s="466">
        <f>IF(LN_IA4=0,0,LN_IA8/LN_IA4)</f>
        <v>9.65</v>
      </c>
      <c r="E294" s="466">
        <f t="shared" ref="E294:E300" si="30">D294-C294</f>
        <v>4.5388888888888896</v>
      </c>
      <c r="F294" s="503">
        <f t="shared" ref="F294:F300" si="31">IF(C294=0,0,E294/C294)</f>
        <v>0.88804347826086982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7.1316397228637411</v>
      </c>
      <c r="D295" s="466">
        <f>IF(LN_IB4=0,0,(LN_IB10)/(LN_IB4))</f>
        <v>7.5786582973715184</v>
      </c>
      <c r="E295" s="466">
        <f t="shared" si="30"/>
        <v>0.44701857450777727</v>
      </c>
      <c r="F295" s="503">
        <f t="shared" si="31"/>
        <v>6.2681037163817219E-2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5.2058823529411766</v>
      </c>
      <c r="D296" s="466">
        <f>IF(LN_IC4=0,0,LN_IC11/LN_IC4)</f>
        <v>5.25</v>
      </c>
      <c r="E296" s="466">
        <f t="shared" si="30"/>
        <v>4.4117647058823373E-2</v>
      </c>
      <c r="F296" s="503">
        <f t="shared" si="31"/>
        <v>8.4745762711864112E-3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7.5524896923564855</v>
      </c>
      <c r="D297" s="466">
        <f>IF(LN_ID4=0,0,LN_ID11/LN_ID4)</f>
        <v>7.3311953352769681</v>
      </c>
      <c r="E297" s="466">
        <f t="shared" si="30"/>
        <v>-0.22129435707951739</v>
      </c>
      <c r="F297" s="503">
        <f t="shared" si="31"/>
        <v>-2.9300848606715592E-2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3.1860465116279069</v>
      </c>
      <c r="D299" s="466">
        <f>IF(LN_IG3=0,0,LN_IG6/LN_IG3)</f>
        <v>7.354166666666667</v>
      </c>
      <c r="E299" s="466">
        <f t="shared" si="30"/>
        <v>4.1681201550387605</v>
      </c>
      <c r="F299" s="503">
        <f t="shared" si="31"/>
        <v>1.3082420924574212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7.3279338273306909</v>
      </c>
      <c r="D300" s="466">
        <f>IF(LN_IIA4=0,0,LN_IIA14/LN_IIA4)</f>
        <v>7.443360343972218</v>
      </c>
      <c r="E300" s="466">
        <f t="shared" si="30"/>
        <v>0.11542651664152714</v>
      </c>
      <c r="F300" s="503">
        <f t="shared" si="31"/>
        <v>1.575157736973902E-2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596675246</v>
      </c>
      <c r="D304" s="441">
        <f>LN_IIA11</f>
        <v>668252697</v>
      </c>
      <c r="E304" s="441">
        <f t="shared" ref="E304:E316" si="32">D304-C304</f>
        <v>71577451</v>
      </c>
      <c r="F304" s="449">
        <f>IF(C304=0,0,E304/C304)</f>
        <v>0.11996048349557306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239217717</v>
      </c>
      <c r="D305" s="441">
        <f>LN_IIB14</f>
        <v>273109297</v>
      </c>
      <c r="E305" s="441">
        <f t="shared" si="32"/>
        <v>33891580</v>
      </c>
      <c r="F305" s="449">
        <f>IF(C305=0,0,E305/C305)</f>
        <v>0.14167671368588472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4722067</v>
      </c>
      <c r="D306" s="441">
        <f>LN_IH6</f>
        <v>2746269</v>
      </c>
      <c r="E306" s="441">
        <f t="shared" si="32"/>
        <v>-1975798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116709401</v>
      </c>
      <c r="D307" s="441">
        <f>LN_IB32-LN_IB33</f>
        <v>125072328</v>
      </c>
      <c r="E307" s="441">
        <f t="shared" si="32"/>
        <v>8362927</v>
      </c>
      <c r="F307" s="449">
        <f t="shared" ref="F307:F316" si="33">IF(C307=0,0,E307/C307)</f>
        <v>7.1655984251003058E-2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0</v>
      </c>
      <c r="D308" s="441">
        <v>523675</v>
      </c>
      <c r="E308" s="441">
        <f t="shared" si="32"/>
        <v>523675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360649185</v>
      </c>
      <c r="D309" s="441">
        <f>LN_III2+LN_III3+LN_III4+LN_III5</f>
        <v>401451569</v>
      </c>
      <c r="E309" s="441">
        <f t="shared" si="32"/>
        <v>40802384</v>
      </c>
      <c r="F309" s="449">
        <f t="shared" si="33"/>
        <v>0.11313593846052918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236026061</v>
      </c>
      <c r="D310" s="441">
        <f>LN_III1-LN_III6</f>
        <v>266801128</v>
      </c>
      <c r="E310" s="441">
        <f t="shared" si="32"/>
        <v>30775067</v>
      </c>
      <c r="F310" s="449">
        <f t="shared" si="33"/>
        <v>0.13038842774230766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236026061</v>
      </c>
      <c r="D312" s="441">
        <f>LN_III7+LN_III8</f>
        <v>266801128</v>
      </c>
      <c r="E312" s="441">
        <f t="shared" si="32"/>
        <v>30775067</v>
      </c>
      <c r="F312" s="449">
        <f t="shared" si="33"/>
        <v>0.13038842774230766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0.39556871611865058</v>
      </c>
      <c r="D313" s="532">
        <f>IF(LN_III1=0,0,LN_III9/LN_III1)</f>
        <v>0.39925185367414984</v>
      </c>
      <c r="E313" s="532">
        <f t="shared" si="32"/>
        <v>3.6831375554992607E-3</v>
      </c>
      <c r="F313" s="449">
        <f t="shared" si="33"/>
        <v>9.3109930219924322E-3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1867901.980616248</v>
      </c>
      <c r="D314" s="441">
        <f>D313*LN_III5</f>
        <v>1096452.9889378538</v>
      </c>
      <c r="E314" s="441">
        <f t="shared" si="32"/>
        <v>-771448.99167839414</v>
      </c>
      <c r="F314" s="449">
        <f t="shared" si="33"/>
        <v>-0.41300293039139124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45734780.273848757</v>
      </c>
      <c r="D315" s="441">
        <f>D313*LN_IH8-LN_IH9</f>
        <v>55996666.307032377</v>
      </c>
      <c r="E315" s="441">
        <f t="shared" si="32"/>
        <v>10261886.033183619</v>
      </c>
      <c r="F315" s="449">
        <f t="shared" si="33"/>
        <v>0.22437816409607608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47602682.254465006</v>
      </c>
      <c r="D318" s="441">
        <f>D314+D315+D316</f>
        <v>57093119.295970231</v>
      </c>
      <c r="E318" s="441">
        <f>D318-C318</f>
        <v>9490437.041505225</v>
      </c>
      <c r="F318" s="449">
        <f>IF(C318=0,0,E318/C318)</f>
        <v>0.19936769509695113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303056826.28001195</v>
      </c>
      <c r="D322" s="441">
        <f>LN_ID22</f>
        <v>263723389.01576138</v>
      </c>
      <c r="E322" s="441">
        <f>LN_IV2-C322</f>
        <v>-39333437.264250576</v>
      </c>
      <c r="F322" s="449">
        <f>IF(C322=0,0,E322/C322)</f>
        <v>-0.12978898296753133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10860085.001285966</v>
      </c>
      <c r="D324" s="441">
        <f>LN_IC10+LN_IC22</f>
        <v>9366473.1966412831</v>
      </c>
      <c r="E324" s="441">
        <f>LN_IV1-C324</f>
        <v>-1493611.8046446834</v>
      </c>
      <c r="F324" s="449">
        <f>IF(C324=0,0,E324/C324)</f>
        <v>-0.1375322388791452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313916911.28129792</v>
      </c>
      <c r="D325" s="516">
        <f>LN_IV1+LN_IV2+LN_IV3</f>
        <v>273089862.21240264</v>
      </c>
      <c r="E325" s="441">
        <f>LN_IV4-C325</f>
        <v>-40827049.06889528</v>
      </c>
      <c r="F325" s="449">
        <f>IF(C325=0,0,E325/C325)</f>
        <v>-0.13005686409901809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0</v>
      </c>
      <c r="D329" s="518">
        <v>920780</v>
      </c>
      <c r="E329" s="518">
        <f t="shared" ref="E329:E335" si="34">D329-C329</f>
        <v>920780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12209849</v>
      </c>
      <c r="D330" s="516">
        <v>22963836</v>
      </c>
      <c r="E330" s="518">
        <f t="shared" si="34"/>
        <v>10753987</v>
      </c>
      <c r="F330" s="543">
        <f t="shared" si="35"/>
        <v>0.88076330837506667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252957977</v>
      </c>
      <c r="D331" s="516">
        <v>293034805</v>
      </c>
      <c r="E331" s="518">
        <f t="shared" si="34"/>
        <v>40076828</v>
      </c>
      <c r="F331" s="542">
        <f t="shared" si="35"/>
        <v>0.15843275027456438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596674847</v>
      </c>
      <c r="D333" s="516">
        <v>668252697</v>
      </c>
      <c r="E333" s="518">
        <f t="shared" si="34"/>
        <v>71577850</v>
      </c>
      <c r="F333" s="542">
        <f t="shared" si="35"/>
        <v>0.11996123241977384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1622972</v>
      </c>
      <c r="D334" s="516">
        <v>2031854</v>
      </c>
      <c r="E334" s="516">
        <f t="shared" si="34"/>
        <v>408882</v>
      </c>
      <c r="F334" s="543">
        <f t="shared" si="35"/>
        <v>0.25193410607207023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6345039</v>
      </c>
      <c r="D335" s="516">
        <v>4778123</v>
      </c>
      <c r="E335" s="516">
        <f t="shared" si="34"/>
        <v>-1566916</v>
      </c>
      <c r="F335" s="542">
        <f t="shared" si="35"/>
        <v>-0.24695135837620541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FILING&amp;RCT CHILDREN`S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148080190</v>
      </c>
      <c r="D14" s="589">
        <v>167182889</v>
      </c>
      <c r="E14" s="590">
        <f t="shared" ref="E14:E22" si="0">D14-C14</f>
        <v>19102699</v>
      </c>
    </row>
    <row r="15" spans="1:5" s="421" customFormat="1" x14ac:dyDescent="0.2">
      <c r="A15" s="588">
        <v>2</v>
      </c>
      <c r="B15" s="587" t="s">
        <v>638</v>
      </c>
      <c r="C15" s="589">
        <v>344532</v>
      </c>
      <c r="D15" s="591">
        <v>1698315</v>
      </c>
      <c r="E15" s="590">
        <f t="shared" si="0"/>
        <v>1353783</v>
      </c>
    </row>
    <row r="16" spans="1:5" s="421" customFormat="1" x14ac:dyDescent="0.2">
      <c r="A16" s="588">
        <v>3</v>
      </c>
      <c r="B16" s="587" t="s">
        <v>780</v>
      </c>
      <c r="C16" s="589">
        <v>185270770</v>
      </c>
      <c r="D16" s="591">
        <v>218045317</v>
      </c>
      <c r="E16" s="590">
        <f t="shared" si="0"/>
        <v>32774547</v>
      </c>
    </row>
    <row r="17" spans="1:5" s="421" customFormat="1" x14ac:dyDescent="0.2">
      <c r="A17" s="588">
        <v>4</v>
      </c>
      <c r="B17" s="587" t="s">
        <v>115</v>
      </c>
      <c r="C17" s="589">
        <v>185270770</v>
      </c>
      <c r="D17" s="591">
        <v>218045317</v>
      </c>
      <c r="E17" s="590">
        <f t="shared" si="0"/>
        <v>32774547</v>
      </c>
    </row>
    <row r="18" spans="1:5" s="421" customFormat="1" x14ac:dyDescent="0.2">
      <c r="A18" s="588">
        <v>5</v>
      </c>
      <c r="B18" s="587" t="s">
        <v>746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1121594</v>
      </c>
      <c r="D19" s="591">
        <v>3052459</v>
      </c>
      <c r="E19" s="590">
        <f t="shared" si="0"/>
        <v>1930865</v>
      </c>
    </row>
    <row r="20" spans="1:5" s="421" customFormat="1" x14ac:dyDescent="0.2">
      <c r="A20" s="588">
        <v>7</v>
      </c>
      <c r="B20" s="587" t="s">
        <v>761</v>
      </c>
      <c r="C20" s="589">
        <v>1436919</v>
      </c>
      <c r="D20" s="591">
        <v>894674</v>
      </c>
      <c r="E20" s="590">
        <f t="shared" si="0"/>
        <v>-542245</v>
      </c>
    </row>
    <row r="21" spans="1:5" s="421" customFormat="1" x14ac:dyDescent="0.2">
      <c r="A21" s="588"/>
      <c r="B21" s="592" t="s">
        <v>781</v>
      </c>
      <c r="C21" s="593">
        <f>SUM(C15+C16+C19)</f>
        <v>186736896</v>
      </c>
      <c r="D21" s="593">
        <f>SUM(D15+D16+D19)</f>
        <v>222796091</v>
      </c>
      <c r="E21" s="593">
        <f t="shared" si="0"/>
        <v>36059195</v>
      </c>
    </row>
    <row r="22" spans="1:5" s="421" customFormat="1" x14ac:dyDescent="0.2">
      <c r="A22" s="588"/>
      <c r="B22" s="592" t="s">
        <v>465</v>
      </c>
      <c r="C22" s="593">
        <f>SUM(C14+C21)</f>
        <v>334817086</v>
      </c>
      <c r="D22" s="593">
        <f>SUM(D14+D21)</f>
        <v>389978980</v>
      </c>
      <c r="E22" s="593">
        <f t="shared" si="0"/>
        <v>55161894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124271515</v>
      </c>
      <c r="D25" s="589">
        <v>136326987</v>
      </c>
      <c r="E25" s="590">
        <f t="shared" ref="E25:E33" si="1">D25-C25</f>
        <v>12055472</v>
      </c>
    </row>
    <row r="26" spans="1:5" s="421" customFormat="1" x14ac:dyDescent="0.2">
      <c r="A26" s="588">
        <v>2</v>
      </c>
      <c r="B26" s="587" t="s">
        <v>638</v>
      </c>
      <c r="C26" s="589">
        <v>364729</v>
      </c>
      <c r="D26" s="591">
        <v>427046</v>
      </c>
      <c r="E26" s="590">
        <f t="shared" si="1"/>
        <v>62317</v>
      </c>
    </row>
    <row r="27" spans="1:5" s="421" customFormat="1" x14ac:dyDescent="0.2">
      <c r="A27" s="588">
        <v>3</v>
      </c>
      <c r="B27" s="587" t="s">
        <v>780</v>
      </c>
      <c r="C27" s="589">
        <v>135423585</v>
      </c>
      <c r="D27" s="591">
        <v>139794966</v>
      </c>
      <c r="E27" s="590">
        <f t="shared" si="1"/>
        <v>4371381</v>
      </c>
    </row>
    <row r="28" spans="1:5" s="421" customFormat="1" x14ac:dyDescent="0.2">
      <c r="A28" s="588">
        <v>4</v>
      </c>
      <c r="B28" s="587" t="s">
        <v>115</v>
      </c>
      <c r="C28" s="589">
        <v>135423585</v>
      </c>
      <c r="D28" s="591">
        <v>139794966</v>
      </c>
      <c r="E28" s="590">
        <f t="shared" si="1"/>
        <v>4371381</v>
      </c>
    </row>
    <row r="29" spans="1:5" s="421" customFormat="1" x14ac:dyDescent="0.2">
      <c r="A29" s="588">
        <v>5</v>
      </c>
      <c r="B29" s="587" t="s">
        <v>746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1798331</v>
      </c>
      <c r="D30" s="591">
        <v>1724718</v>
      </c>
      <c r="E30" s="590">
        <f t="shared" si="1"/>
        <v>-73613</v>
      </c>
    </row>
    <row r="31" spans="1:5" s="421" customFormat="1" x14ac:dyDescent="0.2">
      <c r="A31" s="588">
        <v>7</v>
      </c>
      <c r="B31" s="587" t="s">
        <v>761</v>
      </c>
      <c r="C31" s="590">
        <v>2050876</v>
      </c>
      <c r="D31" s="594">
        <v>2453906</v>
      </c>
      <c r="E31" s="590">
        <f t="shared" si="1"/>
        <v>403030</v>
      </c>
    </row>
    <row r="32" spans="1:5" s="421" customFormat="1" x14ac:dyDescent="0.2">
      <c r="A32" s="588"/>
      <c r="B32" s="592" t="s">
        <v>783</v>
      </c>
      <c r="C32" s="593">
        <f>SUM(C26+C27+C30)</f>
        <v>137586645</v>
      </c>
      <c r="D32" s="593">
        <f>SUM(D26+D27+D30)</f>
        <v>141946730</v>
      </c>
      <c r="E32" s="593">
        <f t="shared" si="1"/>
        <v>4360085</v>
      </c>
    </row>
    <row r="33" spans="1:5" s="421" customFormat="1" x14ac:dyDescent="0.2">
      <c r="A33" s="588"/>
      <c r="B33" s="592" t="s">
        <v>467</v>
      </c>
      <c r="C33" s="593">
        <f>SUM(C25+C32)</f>
        <v>261858160</v>
      </c>
      <c r="D33" s="593">
        <f>SUM(D25+D32)</f>
        <v>278273717</v>
      </c>
      <c r="E33" s="593">
        <f t="shared" si="1"/>
        <v>16415557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272351705</v>
      </c>
      <c r="D36" s="590">
        <f t="shared" si="2"/>
        <v>303509876</v>
      </c>
      <c r="E36" s="590">
        <f t="shared" ref="E36:E44" si="3">D36-C36</f>
        <v>31158171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709261</v>
      </c>
      <c r="D37" s="590">
        <f t="shared" si="2"/>
        <v>2125361</v>
      </c>
      <c r="E37" s="590">
        <f t="shared" si="3"/>
        <v>1416100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320694355</v>
      </c>
      <c r="D38" s="590">
        <f t="shared" si="2"/>
        <v>357840283</v>
      </c>
      <c r="E38" s="590">
        <f t="shared" si="3"/>
        <v>37145928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320694355</v>
      </c>
      <c r="D39" s="590">
        <f t="shared" si="2"/>
        <v>357840283</v>
      </c>
      <c r="E39" s="590">
        <f t="shared" si="3"/>
        <v>37145928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2919925</v>
      </c>
      <c r="D41" s="590">
        <f t="shared" si="2"/>
        <v>4777177</v>
      </c>
      <c r="E41" s="590">
        <f t="shared" si="3"/>
        <v>1857252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3487795</v>
      </c>
      <c r="D42" s="590">
        <f t="shared" si="2"/>
        <v>3348580</v>
      </c>
      <c r="E42" s="590">
        <f t="shared" si="3"/>
        <v>-139215</v>
      </c>
    </row>
    <row r="43" spans="1:5" s="421" customFormat="1" x14ac:dyDescent="0.2">
      <c r="A43" s="588"/>
      <c r="B43" s="592" t="s">
        <v>791</v>
      </c>
      <c r="C43" s="593">
        <f>SUM(C37+C38+C41)</f>
        <v>324323541</v>
      </c>
      <c r="D43" s="593">
        <f>SUM(D37+D38+D41)</f>
        <v>364742821</v>
      </c>
      <c r="E43" s="593">
        <f t="shared" si="3"/>
        <v>40419280</v>
      </c>
    </row>
    <row r="44" spans="1:5" s="421" customFormat="1" x14ac:dyDescent="0.2">
      <c r="A44" s="588"/>
      <c r="B44" s="592" t="s">
        <v>728</v>
      </c>
      <c r="C44" s="593">
        <f>SUM(C36+C43)</f>
        <v>596675246</v>
      </c>
      <c r="D44" s="593">
        <f>SUM(D36+D43)</f>
        <v>668252697</v>
      </c>
      <c r="E44" s="593">
        <f t="shared" si="3"/>
        <v>71577451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91539914</v>
      </c>
      <c r="D47" s="589">
        <v>103703439</v>
      </c>
      <c r="E47" s="590">
        <f t="shared" ref="E47:E55" si="4">D47-C47</f>
        <v>12163525</v>
      </c>
    </row>
    <row r="48" spans="1:5" s="421" customFormat="1" x14ac:dyDescent="0.2">
      <c r="A48" s="588">
        <v>2</v>
      </c>
      <c r="B48" s="587" t="s">
        <v>638</v>
      </c>
      <c r="C48" s="589">
        <v>1402653</v>
      </c>
      <c r="D48" s="591">
        <v>2433392</v>
      </c>
      <c r="E48" s="590">
        <f t="shared" si="4"/>
        <v>1030739</v>
      </c>
    </row>
    <row r="49" spans="1:5" s="421" customFormat="1" x14ac:dyDescent="0.2">
      <c r="A49" s="588">
        <v>3</v>
      </c>
      <c r="B49" s="587" t="s">
        <v>780</v>
      </c>
      <c r="C49" s="589">
        <v>51354904</v>
      </c>
      <c r="D49" s="591">
        <v>57661686</v>
      </c>
      <c r="E49" s="590">
        <f t="shared" si="4"/>
        <v>6306782</v>
      </c>
    </row>
    <row r="50" spans="1:5" s="421" customFormat="1" x14ac:dyDescent="0.2">
      <c r="A50" s="588">
        <v>4</v>
      </c>
      <c r="B50" s="587" t="s">
        <v>115</v>
      </c>
      <c r="C50" s="589">
        <v>51354904</v>
      </c>
      <c r="D50" s="591">
        <v>57661686</v>
      </c>
      <c r="E50" s="590">
        <f t="shared" si="4"/>
        <v>6306782</v>
      </c>
    </row>
    <row r="51" spans="1:5" s="421" customFormat="1" x14ac:dyDescent="0.2">
      <c r="A51" s="588">
        <v>5</v>
      </c>
      <c r="B51" s="587" t="s">
        <v>746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383011</v>
      </c>
      <c r="D52" s="591">
        <v>746843</v>
      </c>
      <c r="E52" s="590">
        <f t="shared" si="4"/>
        <v>363832</v>
      </c>
    </row>
    <row r="53" spans="1:5" s="421" customFormat="1" x14ac:dyDescent="0.2">
      <c r="A53" s="588">
        <v>7</v>
      </c>
      <c r="B53" s="587" t="s">
        <v>761</v>
      </c>
      <c r="C53" s="589">
        <v>362139</v>
      </c>
      <c r="D53" s="591">
        <v>102412</v>
      </c>
      <c r="E53" s="590">
        <f t="shared" si="4"/>
        <v>-259727</v>
      </c>
    </row>
    <row r="54" spans="1:5" s="421" customFormat="1" x14ac:dyDescent="0.2">
      <c r="A54" s="588"/>
      <c r="B54" s="592" t="s">
        <v>793</v>
      </c>
      <c r="C54" s="593">
        <f>SUM(C48+C49+C52)</f>
        <v>53140568</v>
      </c>
      <c r="D54" s="593">
        <f>SUM(D48+D49+D52)</f>
        <v>60841921</v>
      </c>
      <c r="E54" s="593">
        <f t="shared" si="4"/>
        <v>7701353</v>
      </c>
    </row>
    <row r="55" spans="1:5" s="421" customFormat="1" x14ac:dyDescent="0.2">
      <c r="A55" s="588"/>
      <c r="B55" s="592" t="s">
        <v>466</v>
      </c>
      <c r="C55" s="593">
        <f>SUM(C47+C54)</f>
        <v>144680482</v>
      </c>
      <c r="D55" s="593">
        <f>SUM(D47+D54)</f>
        <v>164545360</v>
      </c>
      <c r="E55" s="593">
        <f t="shared" si="4"/>
        <v>19864878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64102390</v>
      </c>
      <c r="D58" s="589">
        <v>74734109</v>
      </c>
      <c r="E58" s="590">
        <f t="shared" ref="E58:E66" si="5">D58-C58</f>
        <v>10631719</v>
      </c>
    </row>
    <row r="59" spans="1:5" s="421" customFormat="1" x14ac:dyDescent="0.2">
      <c r="A59" s="588">
        <v>2</v>
      </c>
      <c r="B59" s="587" t="s">
        <v>638</v>
      </c>
      <c r="C59" s="589">
        <v>1375898</v>
      </c>
      <c r="D59" s="591">
        <v>669910</v>
      </c>
      <c r="E59" s="590">
        <f t="shared" si="5"/>
        <v>-705988</v>
      </c>
    </row>
    <row r="60" spans="1:5" s="421" customFormat="1" x14ac:dyDescent="0.2">
      <c r="A60" s="588">
        <v>3</v>
      </c>
      <c r="B60" s="587" t="s">
        <v>780</v>
      </c>
      <c r="C60" s="589">
        <f>C61+C62</f>
        <v>29766970</v>
      </c>
      <c r="D60" s="591">
        <f>D61+D62</f>
        <v>29210044</v>
      </c>
      <c r="E60" s="590">
        <f t="shared" si="5"/>
        <v>-556926</v>
      </c>
    </row>
    <row r="61" spans="1:5" s="421" customFormat="1" x14ac:dyDescent="0.2">
      <c r="A61" s="588">
        <v>4</v>
      </c>
      <c r="B61" s="587" t="s">
        <v>115</v>
      </c>
      <c r="C61" s="589">
        <v>29766970</v>
      </c>
      <c r="D61" s="591">
        <v>29210044</v>
      </c>
      <c r="E61" s="590">
        <f t="shared" si="5"/>
        <v>-556926</v>
      </c>
    </row>
    <row r="62" spans="1:5" s="421" customFormat="1" x14ac:dyDescent="0.2">
      <c r="A62" s="588">
        <v>5</v>
      </c>
      <c r="B62" s="587" t="s">
        <v>746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822388</v>
      </c>
      <c r="D63" s="591">
        <v>911649</v>
      </c>
      <c r="E63" s="590">
        <f t="shared" si="5"/>
        <v>89261</v>
      </c>
    </row>
    <row r="64" spans="1:5" s="421" customFormat="1" x14ac:dyDescent="0.2">
      <c r="A64" s="588">
        <v>7</v>
      </c>
      <c r="B64" s="587" t="s">
        <v>761</v>
      </c>
      <c r="C64" s="589">
        <v>1095326</v>
      </c>
      <c r="D64" s="591">
        <v>387830</v>
      </c>
      <c r="E64" s="590">
        <f t="shared" si="5"/>
        <v>-707496</v>
      </c>
    </row>
    <row r="65" spans="1:5" s="421" customFormat="1" x14ac:dyDescent="0.2">
      <c r="A65" s="588"/>
      <c r="B65" s="592" t="s">
        <v>795</v>
      </c>
      <c r="C65" s="593">
        <f>SUM(C59+C60+C63)</f>
        <v>31965256</v>
      </c>
      <c r="D65" s="593">
        <f>SUM(D59+D60+D63)</f>
        <v>30791603</v>
      </c>
      <c r="E65" s="593">
        <f t="shared" si="5"/>
        <v>-1173653</v>
      </c>
    </row>
    <row r="66" spans="1:5" s="421" customFormat="1" x14ac:dyDescent="0.2">
      <c r="A66" s="588"/>
      <c r="B66" s="592" t="s">
        <v>468</v>
      </c>
      <c r="C66" s="593">
        <f>SUM(C58+C65)</f>
        <v>96067646</v>
      </c>
      <c r="D66" s="593">
        <f>SUM(D58+D65)</f>
        <v>105525712</v>
      </c>
      <c r="E66" s="593">
        <f t="shared" si="5"/>
        <v>9458066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155642304</v>
      </c>
      <c r="D69" s="590">
        <f t="shared" si="6"/>
        <v>178437548</v>
      </c>
      <c r="E69" s="590">
        <f t="shared" ref="E69:E77" si="7">D69-C69</f>
        <v>22795244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2778551</v>
      </c>
      <c r="D70" s="590">
        <f t="shared" si="6"/>
        <v>3103302</v>
      </c>
      <c r="E70" s="590">
        <f t="shared" si="7"/>
        <v>324751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81121874</v>
      </c>
      <c r="D71" s="590">
        <f t="shared" si="6"/>
        <v>86871730</v>
      </c>
      <c r="E71" s="590">
        <f t="shared" si="7"/>
        <v>5749856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81121874</v>
      </c>
      <c r="D72" s="590">
        <f t="shared" si="6"/>
        <v>86871730</v>
      </c>
      <c r="E72" s="590">
        <f t="shared" si="7"/>
        <v>5749856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1205399</v>
      </c>
      <c r="D74" s="590">
        <f t="shared" si="6"/>
        <v>1658492</v>
      </c>
      <c r="E74" s="590">
        <f t="shared" si="7"/>
        <v>453093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1457465</v>
      </c>
      <c r="D75" s="590">
        <f t="shared" si="6"/>
        <v>490242</v>
      </c>
      <c r="E75" s="590">
        <f t="shared" si="7"/>
        <v>-967223</v>
      </c>
    </row>
    <row r="76" spans="1:5" s="421" customFormat="1" x14ac:dyDescent="0.2">
      <c r="A76" s="588"/>
      <c r="B76" s="592" t="s">
        <v>796</v>
      </c>
      <c r="C76" s="593">
        <f>SUM(C70+C71+C74)</f>
        <v>85105824</v>
      </c>
      <c r="D76" s="593">
        <f>SUM(D70+D71+D74)</f>
        <v>91633524</v>
      </c>
      <c r="E76" s="593">
        <f t="shared" si="7"/>
        <v>6527700</v>
      </c>
    </row>
    <row r="77" spans="1:5" s="421" customFormat="1" x14ac:dyDescent="0.2">
      <c r="A77" s="588"/>
      <c r="B77" s="592" t="s">
        <v>729</v>
      </c>
      <c r="C77" s="593">
        <f>SUM(C69+C76)</f>
        <v>240748128</v>
      </c>
      <c r="D77" s="593">
        <f>SUM(D69+D76)</f>
        <v>270071072</v>
      </c>
      <c r="E77" s="593">
        <f t="shared" si="7"/>
        <v>29322944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0.24817552092650413</v>
      </c>
      <c r="D83" s="599">
        <f t="shared" si="8"/>
        <v>0.25017914592868451</v>
      </c>
      <c r="E83" s="599">
        <f t="shared" ref="E83:E91" si="9">D83-C83</f>
        <v>2.0036250021803759E-3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5.7741963037628678E-4</v>
      </c>
      <c r="D84" s="599">
        <f t="shared" si="8"/>
        <v>2.5414263311233595E-3</v>
      </c>
      <c r="E84" s="599">
        <f t="shared" si="9"/>
        <v>1.9640067007470727E-3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0.31050520570782986</v>
      </c>
      <c r="D85" s="599">
        <f t="shared" si="8"/>
        <v>0.32629171266928686</v>
      </c>
      <c r="E85" s="599">
        <f t="shared" si="9"/>
        <v>1.5786506961457003E-2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0.31050520570782986</v>
      </c>
      <c r="D86" s="599">
        <f t="shared" si="8"/>
        <v>0.32629171266928686</v>
      </c>
      <c r="E86" s="599">
        <f t="shared" si="9"/>
        <v>1.5786506961457003E-2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1.8797394521039004E-3</v>
      </c>
      <c r="D88" s="599">
        <f t="shared" si="8"/>
        <v>4.5678214449465966E-3</v>
      </c>
      <c r="E88" s="599">
        <f t="shared" si="9"/>
        <v>2.6880819928426962E-3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2.4082095069853124E-3</v>
      </c>
      <c r="D89" s="599">
        <f t="shared" si="8"/>
        <v>1.3388258723331422E-3</v>
      </c>
      <c r="E89" s="599">
        <f t="shared" si="9"/>
        <v>-1.0693836346521701E-3</v>
      </c>
    </row>
    <row r="90" spans="1:5" s="421" customFormat="1" x14ac:dyDescent="0.2">
      <c r="A90" s="588"/>
      <c r="B90" s="592" t="s">
        <v>799</v>
      </c>
      <c r="C90" s="600">
        <f>SUM(C84+C85+C88)</f>
        <v>0.31296236479031003</v>
      </c>
      <c r="D90" s="600">
        <f>SUM(D84+D85+D88)</f>
        <v>0.33340096044535683</v>
      </c>
      <c r="E90" s="601">
        <f t="shared" si="9"/>
        <v>2.0438595655046798E-2</v>
      </c>
    </row>
    <row r="91" spans="1:5" s="421" customFormat="1" x14ac:dyDescent="0.2">
      <c r="A91" s="588"/>
      <c r="B91" s="592" t="s">
        <v>800</v>
      </c>
      <c r="C91" s="600">
        <f>SUM(C83+C90)</f>
        <v>0.56113788571681411</v>
      </c>
      <c r="D91" s="600">
        <f>SUM(D83+D90)</f>
        <v>0.58358010637404134</v>
      </c>
      <c r="E91" s="601">
        <f t="shared" si="9"/>
        <v>2.244222065722723E-2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0.20827328740901044</v>
      </c>
      <c r="D95" s="599">
        <f t="shared" si="10"/>
        <v>0.20400514298261035</v>
      </c>
      <c r="E95" s="599">
        <f t="shared" ref="E95:E103" si="11">D95-C95</f>
        <v>-4.2681444264000834E-3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6.1126886433629588E-4</v>
      </c>
      <c r="D96" s="599">
        <f t="shared" si="10"/>
        <v>6.3904867412753594E-4</v>
      </c>
      <c r="E96" s="599">
        <f t="shared" si="11"/>
        <v>2.7779809791240052E-5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0.226963638776461</v>
      </c>
      <c r="D97" s="599">
        <f t="shared" si="10"/>
        <v>0.20919476513538113</v>
      </c>
      <c r="E97" s="599">
        <f t="shared" si="11"/>
        <v>-1.7768873641079874E-2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0.226963638776461</v>
      </c>
      <c r="D98" s="599">
        <f t="shared" si="10"/>
        <v>0.20919476513538113</v>
      </c>
      <c r="E98" s="599">
        <f t="shared" si="11"/>
        <v>-1.7768873641079874E-2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3.0139192333780845E-3</v>
      </c>
      <c r="D100" s="599">
        <f t="shared" si="10"/>
        <v>2.5809368338396694E-3</v>
      </c>
      <c r="E100" s="599">
        <f t="shared" si="11"/>
        <v>-4.329823995384151E-4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3.4371729240465256E-3</v>
      </c>
      <c r="D101" s="599">
        <f t="shared" si="10"/>
        <v>3.6721228526519511E-3</v>
      </c>
      <c r="E101" s="599">
        <f t="shared" si="11"/>
        <v>2.3494992860542555E-4</v>
      </c>
    </row>
    <row r="102" spans="1:5" s="421" customFormat="1" x14ac:dyDescent="0.2">
      <c r="A102" s="588"/>
      <c r="B102" s="592" t="s">
        <v>802</v>
      </c>
      <c r="C102" s="600">
        <f>SUM(C96+C97+C100)</f>
        <v>0.23058882687417537</v>
      </c>
      <c r="D102" s="600">
        <f>SUM(D96+D97+D100)</f>
        <v>0.21241475064334833</v>
      </c>
      <c r="E102" s="601">
        <f t="shared" si="11"/>
        <v>-1.8174076230827035E-2</v>
      </c>
    </row>
    <row r="103" spans="1:5" s="421" customFormat="1" x14ac:dyDescent="0.2">
      <c r="A103" s="588"/>
      <c r="B103" s="592" t="s">
        <v>803</v>
      </c>
      <c r="C103" s="600">
        <f>SUM(C95+C102)</f>
        <v>0.43886211428318578</v>
      </c>
      <c r="D103" s="600">
        <f>SUM(D95+D102)</f>
        <v>0.41641989362595866</v>
      </c>
      <c r="E103" s="601">
        <f t="shared" si="11"/>
        <v>-2.2442220657227119E-2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0.99999999999999989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0.38023105209773428</v>
      </c>
      <c r="D109" s="599">
        <f t="shared" si="12"/>
        <v>0.38398573468838604</v>
      </c>
      <c r="E109" s="599">
        <f t="shared" ref="E109:E117" si="13">D109-C109</f>
        <v>3.7546825906517589E-3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5.8262259883491178E-3</v>
      </c>
      <c r="D110" s="599">
        <f t="shared" si="12"/>
        <v>9.0101912136668974E-3</v>
      </c>
      <c r="E110" s="599">
        <f t="shared" si="13"/>
        <v>3.1839652253177796E-3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0.21331382481196282</v>
      </c>
      <c r="D111" s="599">
        <f t="shared" si="12"/>
        <v>0.21350559900025132</v>
      </c>
      <c r="E111" s="599">
        <f t="shared" si="13"/>
        <v>1.9177418828850157E-4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0.21331382481196282</v>
      </c>
      <c r="D112" s="599">
        <f t="shared" si="12"/>
        <v>0.21350559900025132</v>
      </c>
      <c r="E112" s="599">
        <f t="shared" si="13"/>
        <v>1.9177418828850157E-4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1.5909199509954238E-3</v>
      </c>
      <c r="D114" s="599">
        <f t="shared" si="12"/>
        <v>2.7653572612175211E-3</v>
      </c>
      <c r="E114" s="599">
        <f t="shared" si="13"/>
        <v>1.1744373102220973E-3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1.5042235343985728E-3</v>
      </c>
      <c r="D115" s="599">
        <f t="shared" si="12"/>
        <v>3.792038860052364E-4</v>
      </c>
      <c r="E115" s="599">
        <f t="shared" si="13"/>
        <v>-1.1250196483933363E-3</v>
      </c>
    </row>
    <row r="116" spans="1:5" s="421" customFormat="1" x14ac:dyDescent="0.2">
      <c r="A116" s="588"/>
      <c r="B116" s="592" t="s">
        <v>799</v>
      </c>
      <c r="C116" s="600">
        <f>SUM(C110+C111+C114)</f>
        <v>0.22073097075130735</v>
      </c>
      <c r="D116" s="600">
        <f>SUM(D110+D111+D114)</f>
        <v>0.22528114747513572</v>
      </c>
      <c r="E116" s="601">
        <f t="shared" si="13"/>
        <v>4.5501767238283752E-3</v>
      </c>
    </row>
    <row r="117" spans="1:5" s="421" customFormat="1" x14ac:dyDescent="0.2">
      <c r="A117" s="588"/>
      <c r="B117" s="592" t="s">
        <v>800</v>
      </c>
      <c r="C117" s="600">
        <f>SUM(C109+C116)</f>
        <v>0.60096202284904165</v>
      </c>
      <c r="D117" s="600">
        <f>SUM(D109+D116)</f>
        <v>0.60926688216352176</v>
      </c>
      <c r="E117" s="601">
        <f t="shared" si="13"/>
        <v>8.3048593144801064E-3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0.26626329572124441</v>
      </c>
      <c r="D121" s="599">
        <f t="shared" si="14"/>
        <v>0.27672015535229189</v>
      </c>
      <c r="E121" s="599">
        <f t="shared" ref="E121:E129" si="15">D121-C121</f>
        <v>1.0456859631047477E-2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5.7150932446710448E-3</v>
      </c>
      <c r="D122" s="599">
        <f t="shared" si="14"/>
        <v>2.4804952083131659E-3</v>
      </c>
      <c r="E122" s="599">
        <f t="shared" si="15"/>
        <v>-3.2345980363578789E-3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0.12364361977510371</v>
      </c>
      <c r="D123" s="599">
        <f t="shared" si="14"/>
        <v>0.10815687805319631</v>
      </c>
      <c r="E123" s="599">
        <f t="shared" si="15"/>
        <v>-1.5486741721907407E-2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0.12364361977510371</v>
      </c>
      <c r="D124" s="599">
        <f t="shared" si="14"/>
        <v>0.10815687805319631</v>
      </c>
      <c r="E124" s="599">
        <f t="shared" si="15"/>
        <v>-1.5486741721907407E-2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3.4159684099392042E-3</v>
      </c>
      <c r="D126" s="599">
        <f t="shared" si="14"/>
        <v>3.3755892226769108E-3</v>
      </c>
      <c r="E126" s="599">
        <f t="shared" si="15"/>
        <v>-4.0379187262293455E-5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4.5496760830472582E-3</v>
      </c>
      <c r="D127" s="599">
        <f t="shared" si="14"/>
        <v>1.4360294019198029E-3</v>
      </c>
      <c r="E127" s="599">
        <f t="shared" si="15"/>
        <v>-3.1136466811274551E-3</v>
      </c>
    </row>
    <row r="128" spans="1:5" s="421" customFormat="1" x14ac:dyDescent="0.2">
      <c r="A128" s="588"/>
      <c r="B128" s="592" t="s">
        <v>802</v>
      </c>
      <c r="C128" s="600">
        <f>SUM(C122+C123+C126)</f>
        <v>0.13277468142971396</v>
      </c>
      <c r="D128" s="600">
        <f>SUM(D122+D123+D126)</f>
        <v>0.11401296248418639</v>
      </c>
      <c r="E128" s="601">
        <f t="shared" si="15"/>
        <v>-1.876171894552757E-2</v>
      </c>
    </row>
    <row r="129" spans="1:5" s="421" customFormat="1" x14ac:dyDescent="0.2">
      <c r="A129" s="588"/>
      <c r="B129" s="592" t="s">
        <v>803</v>
      </c>
      <c r="C129" s="600">
        <f>SUM(C121+C128)</f>
        <v>0.39903797715095835</v>
      </c>
      <c r="D129" s="600">
        <f>SUM(D121+D128)</f>
        <v>0.39073311783647829</v>
      </c>
      <c r="E129" s="601">
        <f t="shared" si="15"/>
        <v>-8.3048593144800509E-3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2598</v>
      </c>
      <c r="D137" s="606">
        <v>2549</v>
      </c>
      <c r="E137" s="607">
        <f t="shared" ref="E137:E145" si="16">D137-C137</f>
        <v>-49</v>
      </c>
    </row>
    <row r="138" spans="1:5" s="421" customFormat="1" x14ac:dyDescent="0.2">
      <c r="A138" s="588">
        <v>2</v>
      </c>
      <c r="B138" s="587" t="s">
        <v>638</v>
      </c>
      <c r="C138" s="606">
        <v>9</v>
      </c>
      <c r="D138" s="606">
        <v>20</v>
      </c>
      <c r="E138" s="607">
        <f t="shared" si="16"/>
        <v>11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3153</v>
      </c>
      <c r="D139" s="606">
        <f>D140+D141</f>
        <v>3430</v>
      </c>
      <c r="E139" s="607">
        <f t="shared" si="16"/>
        <v>277</v>
      </c>
    </row>
    <row r="140" spans="1:5" s="421" customFormat="1" x14ac:dyDescent="0.2">
      <c r="A140" s="588">
        <v>4</v>
      </c>
      <c r="B140" s="587" t="s">
        <v>115</v>
      </c>
      <c r="C140" s="606">
        <v>3153</v>
      </c>
      <c r="D140" s="606">
        <v>3430</v>
      </c>
      <c r="E140" s="607">
        <f t="shared" si="16"/>
        <v>277</v>
      </c>
    </row>
    <row r="141" spans="1:5" s="421" customFormat="1" x14ac:dyDescent="0.2">
      <c r="A141" s="588">
        <v>5</v>
      </c>
      <c r="B141" s="587" t="s">
        <v>746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43</v>
      </c>
      <c r="D142" s="606">
        <v>48</v>
      </c>
      <c r="E142" s="607">
        <f t="shared" si="16"/>
        <v>5</v>
      </c>
    </row>
    <row r="143" spans="1:5" s="421" customFormat="1" x14ac:dyDescent="0.2">
      <c r="A143" s="588">
        <v>7</v>
      </c>
      <c r="B143" s="587" t="s">
        <v>761</v>
      </c>
      <c r="C143" s="606">
        <v>34</v>
      </c>
      <c r="D143" s="606">
        <v>20</v>
      </c>
      <c r="E143" s="607">
        <f t="shared" si="16"/>
        <v>-14</v>
      </c>
    </row>
    <row r="144" spans="1:5" s="421" customFormat="1" x14ac:dyDescent="0.2">
      <c r="A144" s="588"/>
      <c r="B144" s="592" t="s">
        <v>810</v>
      </c>
      <c r="C144" s="608">
        <f>SUM(C138+C139+C142)</f>
        <v>3205</v>
      </c>
      <c r="D144" s="608">
        <f>SUM(D138+D139+D142)</f>
        <v>3498</v>
      </c>
      <c r="E144" s="609">
        <f t="shared" si="16"/>
        <v>293</v>
      </c>
    </row>
    <row r="145" spans="1:5" s="421" customFormat="1" x14ac:dyDescent="0.2">
      <c r="A145" s="588"/>
      <c r="B145" s="592" t="s">
        <v>138</v>
      </c>
      <c r="C145" s="608">
        <f>SUM(C137+C144)</f>
        <v>5803</v>
      </c>
      <c r="D145" s="608">
        <f>SUM(D137+D144)</f>
        <v>6047</v>
      </c>
      <c r="E145" s="609">
        <f t="shared" si="16"/>
        <v>244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18528</v>
      </c>
      <c r="D149" s="610">
        <v>19318</v>
      </c>
      <c r="E149" s="607">
        <f t="shared" ref="E149:E157" si="17">D149-C149</f>
        <v>790</v>
      </c>
    </row>
    <row r="150" spans="1:5" s="421" customFormat="1" x14ac:dyDescent="0.2">
      <c r="A150" s="588">
        <v>2</v>
      </c>
      <c r="B150" s="587" t="s">
        <v>638</v>
      </c>
      <c r="C150" s="610">
        <v>46</v>
      </c>
      <c r="D150" s="610">
        <v>193</v>
      </c>
      <c r="E150" s="607">
        <f t="shared" si="17"/>
        <v>147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23813</v>
      </c>
      <c r="D151" s="610">
        <f>D152+D153</f>
        <v>25146</v>
      </c>
      <c r="E151" s="607">
        <f t="shared" si="17"/>
        <v>1333</v>
      </c>
    </row>
    <row r="152" spans="1:5" s="421" customFormat="1" x14ac:dyDescent="0.2">
      <c r="A152" s="588">
        <v>4</v>
      </c>
      <c r="B152" s="587" t="s">
        <v>115</v>
      </c>
      <c r="C152" s="610">
        <v>23813</v>
      </c>
      <c r="D152" s="610">
        <v>25146</v>
      </c>
      <c r="E152" s="607">
        <f t="shared" si="17"/>
        <v>1333</v>
      </c>
    </row>
    <row r="153" spans="1:5" s="421" customFormat="1" x14ac:dyDescent="0.2">
      <c r="A153" s="588">
        <v>5</v>
      </c>
      <c r="B153" s="587" t="s">
        <v>746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137</v>
      </c>
      <c r="D154" s="610">
        <v>353</v>
      </c>
      <c r="E154" s="607">
        <f t="shared" si="17"/>
        <v>216</v>
      </c>
    </row>
    <row r="155" spans="1:5" s="421" customFormat="1" x14ac:dyDescent="0.2">
      <c r="A155" s="588">
        <v>7</v>
      </c>
      <c r="B155" s="587" t="s">
        <v>761</v>
      </c>
      <c r="C155" s="610">
        <v>177</v>
      </c>
      <c r="D155" s="610">
        <v>105</v>
      </c>
      <c r="E155" s="607">
        <f t="shared" si="17"/>
        <v>-72</v>
      </c>
    </row>
    <row r="156" spans="1:5" s="421" customFormat="1" x14ac:dyDescent="0.2">
      <c r="A156" s="588"/>
      <c r="B156" s="592" t="s">
        <v>811</v>
      </c>
      <c r="C156" s="608">
        <f>SUM(C150+C151+C154)</f>
        <v>23996</v>
      </c>
      <c r="D156" s="608">
        <f>SUM(D150+D151+D154)</f>
        <v>25692</v>
      </c>
      <c r="E156" s="609">
        <f t="shared" si="17"/>
        <v>1696</v>
      </c>
    </row>
    <row r="157" spans="1:5" s="421" customFormat="1" x14ac:dyDescent="0.2">
      <c r="A157" s="588"/>
      <c r="B157" s="592" t="s">
        <v>140</v>
      </c>
      <c r="C157" s="608">
        <f>SUM(C149+C156)</f>
        <v>42524</v>
      </c>
      <c r="D157" s="608">
        <f>SUM(D149+D156)</f>
        <v>45010</v>
      </c>
      <c r="E157" s="609">
        <f t="shared" si="17"/>
        <v>2486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7.1316397228637411</v>
      </c>
      <c r="D161" s="612">
        <f t="shared" si="18"/>
        <v>7.5786582973715184</v>
      </c>
      <c r="E161" s="613">
        <f t="shared" ref="E161:E169" si="19">D161-C161</f>
        <v>0.44701857450777727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5.1111111111111107</v>
      </c>
      <c r="D162" s="612">
        <f t="shared" si="18"/>
        <v>9.65</v>
      </c>
      <c r="E162" s="613">
        <f t="shared" si="19"/>
        <v>4.5388888888888896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7.5524896923564855</v>
      </c>
      <c r="D163" s="612">
        <f t="shared" si="18"/>
        <v>7.3311953352769681</v>
      </c>
      <c r="E163" s="613">
        <f t="shared" si="19"/>
        <v>-0.22129435707951739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7.5524896923564855</v>
      </c>
      <c r="D164" s="612">
        <f t="shared" si="18"/>
        <v>7.3311953352769681</v>
      </c>
      <c r="E164" s="613">
        <f t="shared" si="19"/>
        <v>-0.22129435707951739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3.1860465116279069</v>
      </c>
      <c r="D166" s="612">
        <f t="shared" si="18"/>
        <v>7.354166666666667</v>
      </c>
      <c r="E166" s="613">
        <f t="shared" si="19"/>
        <v>4.1681201550387605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5.2058823529411766</v>
      </c>
      <c r="D167" s="612">
        <f t="shared" si="18"/>
        <v>5.25</v>
      </c>
      <c r="E167" s="613">
        <f t="shared" si="19"/>
        <v>4.4117647058823373E-2</v>
      </c>
    </row>
    <row r="168" spans="1:5" s="421" customFormat="1" x14ac:dyDescent="0.2">
      <c r="A168" s="588"/>
      <c r="B168" s="592" t="s">
        <v>813</v>
      </c>
      <c r="C168" s="614">
        <f t="shared" si="18"/>
        <v>7.4870514820592824</v>
      </c>
      <c r="D168" s="614">
        <f t="shared" si="18"/>
        <v>7.3447684391080621</v>
      </c>
      <c r="E168" s="615">
        <f t="shared" si="19"/>
        <v>-0.1422830429512203</v>
      </c>
    </row>
    <row r="169" spans="1:5" s="421" customFormat="1" x14ac:dyDescent="0.2">
      <c r="A169" s="588"/>
      <c r="B169" s="592" t="s">
        <v>747</v>
      </c>
      <c r="C169" s="614">
        <f t="shared" si="18"/>
        <v>7.3279338273306909</v>
      </c>
      <c r="D169" s="614">
        <f t="shared" si="18"/>
        <v>7.443360343972218</v>
      </c>
      <c r="E169" s="615">
        <f t="shared" si="19"/>
        <v>0.11542651664152714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1.8827</v>
      </c>
      <c r="D173" s="617">
        <f t="shared" si="20"/>
        <v>1.8513000000000002</v>
      </c>
      <c r="E173" s="618">
        <f t="shared" ref="E173:E181" si="21">D173-C173</f>
        <v>-3.1399999999999872E-2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1.038</v>
      </c>
      <c r="D174" s="617">
        <f t="shared" si="20"/>
        <v>1.4275</v>
      </c>
      <c r="E174" s="618">
        <f t="shared" si="21"/>
        <v>0.38949999999999996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1.7053</v>
      </c>
      <c r="D175" s="617">
        <f t="shared" si="20"/>
        <v>1.6950000000000001</v>
      </c>
      <c r="E175" s="618">
        <f t="shared" si="21"/>
        <v>-1.0299999999999976E-2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1.7053</v>
      </c>
      <c r="D176" s="617">
        <f t="shared" si="20"/>
        <v>1.6950000000000001</v>
      </c>
      <c r="E176" s="618">
        <f t="shared" si="21"/>
        <v>-1.0299999999999976E-2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1.1034999999999999</v>
      </c>
      <c r="D178" s="617">
        <f t="shared" si="20"/>
        <v>1.6104000000000001</v>
      </c>
      <c r="E178" s="618">
        <f t="shared" si="21"/>
        <v>0.50690000000000013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1.0401</v>
      </c>
      <c r="D179" s="617">
        <f t="shared" si="20"/>
        <v>1.4956</v>
      </c>
      <c r="E179" s="618">
        <f t="shared" si="21"/>
        <v>0.45550000000000002</v>
      </c>
    </row>
    <row r="180" spans="1:5" s="421" customFormat="1" x14ac:dyDescent="0.2">
      <c r="A180" s="588"/>
      <c r="B180" s="592" t="s">
        <v>815</v>
      </c>
      <c r="C180" s="619">
        <f t="shared" si="20"/>
        <v>1.6953520748829953</v>
      </c>
      <c r="D180" s="619">
        <f t="shared" si="20"/>
        <v>1.6923096626643799</v>
      </c>
      <c r="E180" s="620">
        <f t="shared" si="21"/>
        <v>-3.0424122186154534E-3</v>
      </c>
    </row>
    <row r="181" spans="1:5" s="421" customFormat="1" x14ac:dyDescent="0.2">
      <c r="A181" s="588"/>
      <c r="B181" s="592" t="s">
        <v>726</v>
      </c>
      <c r="C181" s="619">
        <f t="shared" si="20"/>
        <v>1.7792276408754093</v>
      </c>
      <c r="D181" s="619">
        <f t="shared" si="20"/>
        <v>1.7593290722672401</v>
      </c>
      <c r="E181" s="620">
        <f t="shared" si="21"/>
        <v>-1.9898568608169187E-2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272351705</v>
      </c>
      <c r="D185" s="589">
        <v>303509876</v>
      </c>
      <c r="E185" s="590">
        <f>D185-C185</f>
        <v>31158171</v>
      </c>
    </row>
    <row r="186" spans="1:5" s="421" customFormat="1" ht="25.5" x14ac:dyDescent="0.2">
      <c r="A186" s="588">
        <v>2</v>
      </c>
      <c r="B186" s="587" t="s">
        <v>818</v>
      </c>
      <c r="C186" s="589">
        <v>155642304</v>
      </c>
      <c r="D186" s="589">
        <v>178437548</v>
      </c>
      <c r="E186" s="590">
        <f>D186-C186</f>
        <v>22795244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116709401</v>
      </c>
      <c r="D188" s="622">
        <f>+D185-D186</f>
        <v>125072328</v>
      </c>
      <c r="E188" s="590">
        <f t="shared" ref="E188:E197" si="22">D188-C188</f>
        <v>8362927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0.42852458368123675</v>
      </c>
      <c r="D189" s="623">
        <f>IF(D185=0,0,+D188/D185)</f>
        <v>0.41208651806770202</v>
      </c>
      <c r="E189" s="599">
        <f t="shared" si="22"/>
        <v>-1.6438065613534725E-2</v>
      </c>
    </row>
    <row r="190" spans="1:5" s="421" customFormat="1" x14ac:dyDescent="0.2">
      <c r="A190" s="588">
        <v>5</v>
      </c>
      <c r="B190" s="587" t="s">
        <v>765</v>
      </c>
      <c r="C190" s="589">
        <v>0</v>
      </c>
      <c r="D190" s="589">
        <v>920780</v>
      </c>
      <c r="E190" s="622">
        <f t="shared" si="22"/>
        <v>920780</v>
      </c>
    </row>
    <row r="191" spans="1:5" s="421" customFormat="1" x14ac:dyDescent="0.2">
      <c r="A191" s="588">
        <v>6</v>
      </c>
      <c r="B191" s="587" t="s">
        <v>751</v>
      </c>
      <c r="C191" s="589">
        <v>0</v>
      </c>
      <c r="D191" s="589">
        <v>523675</v>
      </c>
      <c r="E191" s="622">
        <f t="shared" si="22"/>
        <v>523675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1302183</v>
      </c>
      <c r="D193" s="589">
        <v>1893788</v>
      </c>
      <c r="E193" s="622">
        <f t="shared" si="22"/>
        <v>591605</v>
      </c>
    </row>
    <row r="194" spans="1:5" s="421" customFormat="1" x14ac:dyDescent="0.2">
      <c r="A194" s="588">
        <v>9</v>
      </c>
      <c r="B194" s="587" t="s">
        <v>821</v>
      </c>
      <c r="C194" s="589">
        <v>3419884</v>
      </c>
      <c r="D194" s="589">
        <v>852481</v>
      </c>
      <c r="E194" s="622">
        <f t="shared" si="22"/>
        <v>-2567403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4722067</v>
      </c>
      <c r="D195" s="589">
        <f>+D193+D194</f>
        <v>2746269</v>
      </c>
      <c r="E195" s="625">
        <f t="shared" si="22"/>
        <v>-1975798</v>
      </c>
    </row>
    <row r="196" spans="1:5" s="421" customFormat="1" x14ac:dyDescent="0.2">
      <c r="A196" s="588">
        <v>11</v>
      </c>
      <c r="B196" s="587" t="s">
        <v>823</v>
      </c>
      <c r="C196" s="589">
        <v>31932692</v>
      </c>
      <c r="D196" s="589">
        <v>44142342</v>
      </c>
      <c r="E196" s="622">
        <f t="shared" si="22"/>
        <v>12209650</v>
      </c>
    </row>
    <row r="197" spans="1:5" s="421" customFormat="1" x14ac:dyDescent="0.2">
      <c r="A197" s="588">
        <v>12</v>
      </c>
      <c r="B197" s="587" t="s">
        <v>713</v>
      </c>
      <c r="C197" s="589">
        <v>280099480</v>
      </c>
      <c r="D197" s="589">
        <v>288197545</v>
      </c>
      <c r="E197" s="622">
        <f t="shared" si="22"/>
        <v>8098065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4891.2546000000002</v>
      </c>
      <c r="D203" s="629">
        <v>4718.9637000000002</v>
      </c>
      <c r="E203" s="630">
        <f t="shared" ref="E203:E211" si="23">D203-C203</f>
        <v>-172.29089999999997</v>
      </c>
    </row>
    <row r="204" spans="1:5" s="421" customFormat="1" x14ac:dyDescent="0.2">
      <c r="A204" s="588">
        <v>2</v>
      </c>
      <c r="B204" s="587" t="s">
        <v>638</v>
      </c>
      <c r="C204" s="629">
        <v>9.3420000000000005</v>
      </c>
      <c r="D204" s="629">
        <v>28.55</v>
      </c>
      <c r="E204" s="630">
        <f t="shared" si="23"/>
        <v>19.207999999999998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5376.8109000000004</v>
      </c>
      <c r="D205" s="629">
        <f>D206+D207</f>
        <v>5813.85</v>
      </c>
      <c r="E205" s="630">
        <f t="shared" si="23"/>
        <v>437.03909999999996</v>
      </c>
    </row>
    <row r="206" spans="1:5" s="421" customFormat="1" x14ac:dyDescent="0.2">
      <c r="A206" s="588">
        <v>4</v>
      </c>
      <c r="B206" s="587" t="s">
        <v>115</v>
      </c>
      <c r="C206" s="629">
        <v>5376.8109000000004</v>
      </c>
      <c r="D206" s="629">
        <v>5813.85</v>
      </c>
      <c r="E206" s="630">
        <f t="shared" si="23"/>
        <v>437.03909999999996</v>
      </c>
    </row>
    <row r="207" spans="1:5" s="421" customFormat="1" x14ac:dyDescent="0.2">
      <c r="A207" s="588">
        <v>5</v>
      </c>
      <c r="B207" s="587" t="s">
        <v>746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47.450499999999998</v>
      </c>
      <c r="D208" s="629">
        <v>77.299199999999999</v>
      </c>
      <c r="E208" s="630">
        <f t="shared" si="23"/>
        <v>29.848700000000001</v>
      </c>
    </row>
    <row r="209" spans="1:5" s="421" customFormat="1" x14ac:dyDescent="0.2">
      <c r="A209" s="588">
        <v>7</v>
      </c>
      <c r="B209" s="587" t="s">
        <v>761</v>
      </c>
      <c r="C209" s="629">
        <v>35.363399999999999</v>
      </c>
      <c r="D209" s="629">
        <v>29.911999999999999</v>
      </c>
      <c r="E209" s="630">
        <f t="shared" si="23"/>
        <v>-5.4513999999999996</v>
      </c>
    </row>
    <row r="210" spans="1:5" s="421" customFormat="1" x14ac:dyDescent="0.2">
      <c r="A210" s="588"/>
      <c r="B210" s="592" t="s">
        <v>826</v>
      </c>
      <c r="C210" s="631">
        <f>C204+C205+C208</f>
        <v>5433.6034</v>
      </c>
      <c r="D210" s="631">
        <f>D204+D205+D208</f>
        <v>5919.6992000000009</v>
      </c>
      <c r="E210" s="632">
        <f t="shared" si="23"/>
        <v>486.09580000000096</v>
      </c>
    </row>
    <row r="211" spans="1:5" s="421" customFormat="1" x14ac:dyDescent="0.2">
      <c r="A211" s="588"/>
      <c r="B211" s="592" t="s">
        <v>727</v>
      </c>
      <c r="C211" s="631">
        <f>C210+C203</f>
        <v>10324.858</v>
      </c>
      <c r="D211" s="631">
        <f>D210+D203</f>
        <v>10638.662900000001</v>
      </c>
      <c r="E211" s="632">
        <f t="shared" si="23"/>
        <v>313.804900000001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2180.2875588557795</v>
      </c>
      <c r="D215" s="633">
        <f>IF(D14*D137=0,0,D25/D14*D137)</f>
        <v>2078.5469849309757</v>
      </c>
      <c r="E215" s="633">
        <f t="shared" ref="E215:E223" si="24">D215-C215</f>
        <v>-101.74057392480381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9.5275939535369716</v>
      </c>
      <c r="D216" s="633">
        <f>IF(D15*D138=0,0,D26/D15*D138)</f>
        <v>5.0290552694876975</v>
      </c>
      <c r="E216" s="633">
        <f t="shared" si="24"/>
        <v>-4.498538684049274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2304.6839148182953</v>
      </c>
      <c r="D217" s="633">
        <f>D218+D219</f>
        <v>2199.0691658835308</v>
      </c>
      <c r="E217" s="633">
        <f t="shared" si="24"/>
        <v>-105.61474893476452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2304.6839148182953</v>
      </c>
      <c r="D218" s="633">
        <f t="shared" si="25"/>
        <v>2199.0691658835308</v>
      </c>
      <c r="E218" s="633">
        <f t="shared" si="24"/>
        <v>-105.61474893476452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68.944941752541467</v>
      </c>
      <c r="D220" s="633">
        <f t="shared" si="25"/>
        <v>27.12123700924402</v>
      </c>
      <c r="E220" s="633">
        <f t="shared" si="24"/>
        <v>-41.823704743297448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48.527289290488888</v>
      </c>
      <c r="D221" s="633">
        <f t="shared" si="25"/>
        <v>54.855869288701804</v>
      </c>
      <c r="E221" s="633">
        <f t="shared" si="24"/>
        <v>6.3285799982129163</v>
      </c>
    </row>
    <row r="222" spans="1:5" s="421" customFormat="1" x14ac:dyDescent="0.2">
      <c r="A222" s="588"/>
      <c r="B222" s="592" t="s">
        <v>828</v>
      </c>
      <c r="C222" s="634">
        <f>C216+C218+C219+C220</f>
        <v>2383.1564505243737</v>
      </c>
      <c r="D222" s="634">
        <f>D216+D218+D219+D220</f>
        <v>2231.2194581622625</v>
      </c>
      <c r="E222" s="634">
        <f t="shared" si="24"/>
        <v>-151.93699236211114</v>
      </c>
    </row>
    <row r="223" spans="1:5" s="421" customFormat="1" x14ac:dyDescent="0.2">
      <c r="A223" s="588"/>
      <c r="B223" s="592" t="s">
        <v>829</v>
      </c>
      <c r="C223" s="634">
        <f>C215+C222</f>
        <v>4563.4440093801531</v>
      </c>
      <c r="D223" s="634">
        <f>D215+D222</f>
        <v>4309.7664430932382</v>
      </c>
      <c r="E223" s="634">
        <f t="shared" si="24"/>
        <v>-253.67756628691495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18715.01720642389</v>
      </c>
      <c r="D227" s="636">
        <f t="shared" si="26"/>
        <v>21975.892503686773</v>
      </c>
      <c r="E227" s="636">
        <f t="shared" ref="E227:E235" si="27">D227-C227</f>
        <v>3260.8752972628827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150144.82980089917</v>
      </c>
      <c r="D228" s="636">
        <f t="shared" si="26"/>
        <v>85232.644483362514</v>
      </c>
      <c r="E228" s="636">
        <f t="shared" si="27"/>
        <v>-64912.185317536656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9551.1828396271103</v>
      </c>
      <c r="D229" s="636">
        <f t="shared" si="26"/>
        <v>9917.986532160272</v>
      </c>
      <c r="E229" s="636">
        <f t="shared" si="27"/>
        <v>366.80369253316167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9551.1828396271103</v>
      </c>
      <c r="D230" s="636">
        <f t="shared" si="26"/>
        <v>9917.986532160272</v>
      </c>
      <c r="E230" s="636">
        <f t="shared" si="27"/>
        <v>366.80369253316167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8071.8011401355097</v>
      </c>
      <c r="D232" s="636">
        <f t="shared" si="26"/>
        <v>9661.7170682232154</v>
      </c>
      <c r="E232" s="636">
        <f t="shared" si="27"/>
        <v>1589.9159280877057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10240.502892821392</v>
      </c>
      <c r="D233" s="636">
        <f t="shared" si="26"/>
        <v>3423.7764108050283</v>
      </c>
      <c r="E233" s="636">
        <f t="shared" si="27"/>
        <v>-6816.7264820163637</v>
      </c>
    </row>
    <row r="234" spans="1:5" x14ac:dyDescent="0.2">
      <c r="A234" s="588"/>
      <c r="B234" s="592" t="s">
        <v>831</v>
      </c>
      <c r="C234" s="637">
        <f t="shared" si="26"/>
        <v>9779.9865187069045</v>
      </c>
      <c r="D234" s="637">
        <f t="shared" si="26"/>
        <v>10277.873747368783</v>
      </c>
      <c r="E234" s="637">
        <f t="shared" si="27"/>
        <v>497.88722866187891</v>
      </c>
    </row>
    <row r="235" spans="1:5" s="421" customFormat="1" x14ac:dyDescent="0.2">
      <c r="A235" s="588"/>
      <c r="B235" s="592" t="s">
        <v>832</v>
      </c>
      <c r="C235" s="637">
        <f t="shared" si="26"/>
        <v>14012.830200667166</v>
      </c>
      <c r="D235" s="637">
        <f t="shared" si="26"/>
        <v>15466.73313617259</v>
      </c>
      <c r="E235" s="637">
        <f t="shared" si="27"/>
        <v>1453.9029355054245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29400.887850610448</v>
      </c>
      <c r="D239" s="636">
        <f t="shared" si="28"/>
        <v>35954.976982385495</v>
      </c>
      <c r="E239" s="638">
        <f t="shared" ref="E239:E247" si="29">D239-C239</f>
        <v>6554.0891317750466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144411.90574554441</v>
      </c>
      <c r="D240" s="636">
        <f t="shared" si="28"/>
        <v>133207.9215880725</v>
      </c>
      <c r="E240" s="638">
        <f t="shared" si="29"/>
        <v>-11203.984157471918</v>
      </c>
    </row>
    <row r="241" spans="1:5" x14ac:dyDescent="0.2">
      <c r="A241" s="588">
        <v>3</v>
      </c>
      <c r="B241" s="587" t="s">
        <v>780</v>
      </c>
      <c r="C241" s="636">
        <f t="shared" si="28"/>
        <v>12915.857922472145</v>
      </c>
      <c r="D241" s="636">
        <f t="shared" si="28"/>
        <v>13282.912812914703</v>
      </c>
      <c r="E241" s="638">
        <f t="shared" si="29"/>
        <v>367.05489044255773</v>
      </c>
    </row>
    <row r="242" spans="1:5" x14ac:dyDescent="0.2">
      <c r="A242" s="588">
        <v>4</v>
      </c>
      <c r="B242" s="587" t="s">
        <v>115</v>
      </c>
      <c r="C242" s="636">
        <f t="shared" si="28"/>
        <v>12915.857922472145</v>
      </c>
      <c r="D242" s="636">
        <f t="shared" si="28"/>
        <v>13282.912812914703</v>
      </c>
      <c r="E242" s="638">
        <f t="shared" si="29"/>
        <v>367.05489044255773</v>
      </c>
    </row>
    <row r="243" spans="1:5" x14ac:dyDescent="0.2">
      <c r="A243" s="588">
        <v>5</v>
      </c>
      <c r="B243" s="587" t="s">
        <v>746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11928.184709354475</v>
      </c>
      <c r="D244" s="636">
        <f t="shared" si="28"/>
        <v>33613.842896962</v>
      </c>
      <c r="E244" s="638">
        <f t="shared" si="29"/>
        <v>21685.658187607525</v>
      </c>
    </row>
    <row r="245" spans="1:5" x14ac:dyDescent="0.2">
      <c r="A245" s="588">
        <v>7</v>
      </c>
      <c r="B245" s="587" t="s">
        <v>761</v>
      </c>
      <c r="C245" s="636">
        <f t="shared" si="28"/>
        <v>22571.341115784897</v>
      </c>
      <c r="D245" s="636">
        <f t="shared" si="28"/>
        <v>7069.9818456778703</v>
      </c>
      <c r="E245" s="638">
        <f t="shared" si="29"/>
        <v>-15501.359270107027</v>
      </c>
    </row>
    <row r="246" spans="1:5" ht="25.5" x14ac:dyDescent="0.2">
      <c r="A246" s="588"/>
      <c r="B246" s="592" t="s">
        <v>834</v>
      </c>
      <c r="C246" s="637">
        <f t="shared" si="28"/>
        <v>13412.990990569075</v>
      </c>
      <c r="D246" s="637">
        <f t="shared" si="28"/>
        <v>13800.347109450819</v>
      </c>
      <c r="E246" s="639">
        <f t="shared" si="29"/>
        <v>387.3561188817439</v>
      </c>
    </row>
    <row r="247" spans="1:5" x14ac:dyDescent="0.2">
      <c r="A247" s="588"/>
      <c r="B247" s="592" t="s">
        <v>835</v>
      </c>
      <c r="C247" s="637">
        <f t="shared" si="28"/>
        <v>21051.566712012482</v>
      </c>
      <c r="D247" s="637">
        <f t="shared" si="28"/>
        <v>24485.250742325909</v>
      </c>
      <c r="E247" s="639">
        <f t="shared" si="29"/>
        <v>3433.6840303134268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303056826.28001195</v>
      </c>
      <c r="D251" s="622">
        <f>((IF((IF(D15=0,0,D26/D15)*D138)=0,0,D59/(IF(D15=0,0,D26/D15)*D138)))-(IF((IF(D17=0,0,D28/D17)*D140)=0,0,D61/(IF(D17=0,0,D28/D17)*D140))))*(IF(D17=0,0,D28/D17)*D140)</f>
        <v>263723389.01576138</v>
      </c>
      <c r="E251" s="622">
        <f>D251-C251</f>
        <v>-39333437.264250576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10860085.001285966</v>
      </c>
      <c r="D253" s="622">
        <f>IF(D233=0,0,(D228-D233)*D209+IF(D221=0,0,(D240-D245)*D221))</f>
        <v>9366473.1966412831</v>
      </c>
      <c r="E253" s="622">
        <f>D253-C253</f>
        <v>-1493611.8046446834</v>
      </c>
    </row>
    <row r="254" spans="1:5" ht="15" customHeight="1" x14ac:dyDescent="0.2">
      <c r="A254" s="588"/>
      <c r="B254" s="592" t="s">
        <v>762</v>
      </c>
      <c r="C254" s="640">
        <f>+C251+C252+C253</f>
        <v>313916911.28129792</v>
      </c>
      <c r="D254" s="640">
        <f>+D251+D252+D253</f>
        <v>273089862.21240264</v>
      </c>
      <c r="E254" s="640">
        <f>D254-C254</f>
        <v>-40827049.06889528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596675246</v>
      </c>
      <c r="D258" s="625">
        <f>+D44</f>
        <v>668252697</v>
      </c>
      <c r="E258" s="622">
        <f t="shared" ref="E258:E271" si="30">D258-C258</f>
        <v>71577451</v>
      </c>
    </row>
    <row r="259" spans="1:5" x14ac:dyDescent="0.2">
      <c r="A259" s="588">
        <v>2</v>
      </c>
      <c r="B259" s="587" t="s">
        <v>745</v>
      </c>
      <c r="C259" s="622">
        <f>+(C43-C76)</f>
        <v>239217717</v>
      </c>
      <c r="D259" s="625">
        <f>+(D43-D76)</f>
        <v>273109297</v>
      </c>
      <c r="E259" s="622">
        <f t="shared" si="30"/>
        <v>33891580</v>
      </c>
    </row>
    <row r="260" spans="1:5" x14ac:dyDescent="0.2">
      <c r="A260" s="588">
        <v>3</v>
      </c>
      <c r="B260" s="587" t="s">
        <v>749</v>
      </c>
      <c r="C260" s="622">
        <f>C195</f>
        <v>4722067</v>
      </c>
      <c r="D260" s="622">
        <f>D195</f>
        <v>2746269</v>
      </c>
      <c r="E260" s="622">
        <f t="shared" si="30"/>
        <v>-1975798</v>
      </c>
    </row>
    <row r="261" spans="1:5" x14ac:dyDescent="0.2">
      <c r="A261" s="588">
        <v>4</v>
      </c>
      <c r="B261" s="587" t="s">
        <v>750</v>
      </c>
      <c r="C261" s="622">
        <f>C188</f>
        <v>116709401</v>
      </c>
      <c r="D261" s="622">
        <f>D188</f>
        <v>125072328</v>
      </c>
      <c r="E261" s="622">
        <f t="shared" si="30"/>
        <v>8362927</v>
      </c>
    </row>
    <row r="262" spans="1:5" x14ac:dyDescent="0.2">
      <c r="A262" s="588">
        <v>5</v>
      </c>
      <c r="B262" s="587" t="s">
        <v>751</v>
      </c>
      <c r="C262" s="622">
        <f>C191</f>
        <v>0</v>
      </c>
      <c r="D262" s="622">
        <f>D191</f>
        <v>523675</v>
      </c>
      <c r="E262" s="622">
        <f t="shared" si="30"/>
        <v>523675</v>
      </c>
    </row>
    <row r="263" spans="1:5" x14ac:dyDescent="0.2">
      <c r="A263" s="588">
        <v>6</v>
      </c>
      <c r="B263" s="587" t="s">
        <v>752</v>
      </c>
      <c r="C263" s="622">
        <f>+C259+C260+C261+C262</f>
        <v>360649185</v>
      </c>
      <c r="D263" s="622">
        <f>+D259+D260+D261+D262</f>
        <v>401451569</v>
      </c>
      <c r="E263" s="622">
        <f t="shared" si="30"/>
        <v>40802384</v>
      </c>
    </row>
    <row r="264" spans="1:5" x14ac:dyDescent="0.2">
      <c r="A264" s="588">
        <v>7</v>
      </c>
      <c r="B264" s="587" t="s">
        <v>657</v>
      </c>
      <c r="C264" s="622">
        <f>+C258-C263</f>
        <v>236026061</v>
      </c>
      <c r="D264" s="622">
        <f>+D258-D263</f>
        <v>266801128</v>
      </c>
      <c r="E264" s="622">
        <f t="shared" si="30"/>
        <v>30775067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236026061</v>
      </c>
      <c r="D266" s="622">
        <f>+D264+D265</f>
        <v>266801128</v>
      </c>
      <c r="E266" s="641">
        <f t="shared" si="30"/>
        <v>30775067</v>
      </c>
    </row>
    <row r="267" spans="1:5" x14ac:dyDescent="0.2">
      <c r="A267" s="588">
        <v>10</v>
      </c>
      <c r="B267" s="587" t="s">
        <v>840</v>
      </c>
      <c r="C267" s="642">
        <f>IF(C258=0,0,C266/C258)</f>
        <v>0.39556871611865058</v>
      </c>
      <c r="D267" s="642">
        <f>IF(D258=0,0,D266/D258)</f>
        <v>0.39925185367414984</v>
      </c>
      <c r="E267" s="643">
        <f t="shared" si="30"/>
        <v>3.6831375554992607E-3</v>
      </c>
    </row>
    <row r="268" spans="1:5" x14ac:dyDescent="0.2">
      <c r="A268" s="588">
        <v>11</v>
      </c>
      <c r="B268" s="587" t="s">
        <v>719</v>
      </c>
      <c r="C268" s="622">
        <f>+C260*C267</f>
        <v>1867901.980616248</v>
      </c>
      <c r="D268" s="644">
        <f>+D260*D267</f>
        <v>1096452.9889378538</v>
      </c>
      <c r="E268" s="622">
        <f t="shared" si="30"/>
        <v>-771448.99167839414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45734780.273848757</v>
      </c>
      <c r="D269" s="644">
        <f>((D17+D18+D28+D29)*D267)-(D50+D51+D61+D62)</f>
        <v>55996666.307032377</v>
      </c>
      <c r="E269" s="622">
        <f t="shared" si="30"/>
        <v>10261886.033183619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47602682.254465006</v>
      </c>
      <c r="D271" s="622">
        <f>+D268+D269+D270</f>
        <v>57093119.295970231</v>
      </c>
      <c r="E271" s="625">
        <f t="shared" si="30"/>
        <v>9490437.041505225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0.61817798856146799</v>
      </c>
      <c r="D276" s="623">
        <f t="shared" si="31"/>
        <v>0.62029935970301364</v>
      </c>
      <c r="E276" s="650">
        <f t="shared" ref="E276:E284" si="32">D276-C276</f>
        <v>2.1213711415456471E-3</v>
      </c>
    </row>
    <row r="277" spans="1:5" x14ac:dyDescent="0.2">
      <c r="A277" s="588">
        <v>2</v>
      </c>
      <c r="B277" s="587" t="s">
        <v>638</v>
      </c>
      <c r="C277" s="623">
        <f t="shared" si="31"/>
        <v>4.0711835185120684</v>
      </c>
      <c r="D277" s="623">
        <f t="shared" si="31"/>
        <v>1.4328272434736784</v>
      </c>
      <c r="E277" s="650">
        <f t="shared" si="32"/>
        <v>-2.6383562750383902</v>
      </c>
    </row>
    <row r="278" spans="1:5" x14ac:dyDescent="0.2">
      <c r="A278" s="588">
        <v>3</v>
      </c>
      <c r="B278" s="587" t="s">
        <v>780</v>
      </c>
      <c r="C278" s="623">
        <f t="shared" si="31"/>
        <v>0.2771883767741668</v>
      </c>
      <c r="D278" s="623">
        <f t="shared" si="31"/>
        <v>0.26444817432148748</v>
      </c>
      <c r="E278" s="650">
        <f t="shared" si="32"/>
        <v>-1.2740202452679317E-2</v>
      </c>
    </row>
    <row r="279" spans="1:5" x14ac:dyDescent="0.2">
      <c r="A279" s="588">
        <v>4</v>
      </c>
      <c r="B279" s="587" t="s">
        <v>115</v>
      </c>
      <c r="C279" s="623">
        <f t="shared" si="31"/>
        <v>0.2771883767741668</v>
      </c>
      <c r="D279" s="623">
        <f t="shared" si="31"/>
        <v>0.26444817432148748</v>
      </c>
      <c r="E279" s="650">
        <f t="shared" si="32"/>
        <v>-1.2740202452679317E-2</v>
      </c>
    </row>
    <row r="280" spans="1:5" x14ac:dyDescent="0.2">
      <c r="A280" s="588">
        <v>5</v>
      </c>
      <c r="B280" s="587" t="s">
        <v>746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0.34148809640565125</v>
      </c>
      <c r="D281" s="623">
        <f t="shared" si="31"/>
        <v>0.24466929776943769</v>
      </c>
      <c r="E281" s="650">
        <f t="shared" si="32"/>
        <v>-9.6818798636213566E-2</v>
      </c>
    </row>
    <row r="282" spans="1:5" x14ac:dyDescent="0.2">
      <c r="A282" s="588">
        <v>7</v>
      </c>
      <c r="B282" s="587" t="s">
        <v>761</v>
      </c>
      <c r="C282" s="623">
        <f t="shared" si="31"/>
        <v>0.25202464439540434</v>
      </c>
      <c r="D282" s="623">
        <f t="shared" si="31"/>
        <v>0.11446851031772466</v>
      </c>
      <c r="E282" s="650">
        <f t="shared" si="32"/>
        <v>-0.13755613407767969</v>
      </c>
    </row>
    <row r="283" spans="1:5" ht="29.25" customHeight="1" x14ac:dyDescent="0.2">
      <c r="A283" s="588"/>
      <c r="B283" s="592" t="s">
        <v>847</v>
      </c>
      <c r="C283" s="651">
        <f t="shared" si="31"/>
        <v>0.28457454920960024</v>
      </c>
      <c r="D283" s="651">
        <f t="shared" si="31"/>
        <v>0.27308343125284007</v>
      </c>
      <c r="E283" s="652">
        <f t="shared" si="32"/>
        <v>-1.1491117956760166E-2</v>
      </c>
    </row>
    <row r="284" spans="1:5" x14ac:dyDescent="0.2">
      <c r="A284" s="588"/>
      <c r="B284" s="592" t="s">
        <v>848</v>
      </c>
      <c r="C284" s="651">
        <f t="shared" si="31"/>
        <v>0.43211797739617147</v>
      </c>
      <c r="D284" s="651">
        <f t="shared" si="31"/>
        <v>0.42193392064362034</v>
      </c>
      <c r="E284" s="652">
        <f t="shared" si="32"/>
        <v>-1.0184056752551129E-2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0.51582528787872262</v>
      </c>
      <c r="D287" s="623">
        <f t="shared" si="33"/>
        <v>0.54819746731437702</v>
      </c>
      <c r="E287" s="650">
        <f t="shared" ref="E287:E295" si="34">D287-C287</f>
        <v>3.2372179435654402E-2</v>
      </c>
    </row>
    <row r="288" spans="1:5" x14ac:dyDescent="0.2">
      <c r="A288" s="588">
        <v>2</v>
      </c>
      <c r="B288" s="587" t="s">
        <v>638</v>
      </c>
      <c r="C288" s="623">
        <f t="shared" si="33"/>
        <v>3.7723844278902967</v>
      </c>
      <c r="D288" s="623">
        <f t="shared" si="33"/>
        <v>1.5687068840359117</v>
      </c>
      <c r="E288" s="650">
        <f t="shared" si="34"/>
        <v>-2.203677543854385</v>
      </c>
    </row>
    <row r="289" spans="1:5" x14ac:dyDescent="0.2">
      <c r="A289" s="588">
        <v>3</v>
      </c>
      <c r="B289" s="587" t="s">
        <v>780</v>
      </c>
      <c r="C289" s="623">
        <f t="shared" si="33"/>
        <v>0.21980639487575226</v>
      </c>
      <c r="D289" s="623">
        <f t="shared" si="33"/>
        <v>0.20894918347775127</v>
      </c>
      <c r="E289" s="650">
        <f t="shared" si="34"/>
        <v>-1.0857211398000999E-2</v>
      </c>
    </row>
    <row r="290" spans="1:5" x14ac:dyDescent="0.2">
      <c r="A290" s="588">
        <v>4</v>
      </c>
      <c r="B290" s="587" t="s">
        <v>115</v>
      </c>
      <c r="C290" s="623">
        <f t="shared" si="33"/>
        <v>0.21980639487575226</v>
      </c>
      <c r="D290" s="623">
        <f t="shared" si="33"/>
        <v>0.20894918347775127</v>
      </c>
      <c r="E290" s="650">
        <f t="shared" si="34"/>
        <v>-1.0857211398000999E-2</v>
      </c>
    </row>
    <row r="291" spans="1:5" x14ac:dyDescent="0.2">
      <c r="A291" s="588">
        <v>5</v>
      </c>
      <c r="B291" s="587" t="s">
        <v>746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0.4573062467365574</v>
      </c>
      <c r="D292" s="623">
        <f t="shared" si="33"/>
        <v>0.52857858502085553</v>
      </c>
      <c r="E292" s="650">
        <f t="shared" si="34"/>
        <v>7.1272338284298131E-2</v>
      </c>
    </row>
    <row r="293" spans="1:5" x14ac:dyDescent="0.2">
      <c r="A293" s="588">
        <v>7</v>
      </c>
      <c r="B293" s="587" t="s">
        <v>761</v>
      </c>
      <c r="C293" s="623">
        <f t="shared" si="33"/>
        <v>0.53407714557096575</v>
      </c>
      <c r="D293" s="623">
        <f t="shared" si="33"/>
        <v>0.15804598872165437</v>
      </c>
      <c r="E293" s="650">
        <f t="shared" si="34"/>
        <v>-0.37603115684931138</v>
      </c>
    </row>
    <row r="294" spans="1:5" ht="29.25" customHeight="1" x14ac:dyDescent="0.2">
      <c r="A294" s="588"/>
      <c r="B294" s="592" t="s">
        <v>850</v>
      </c>
      <c r="C294" s="651">
        <f t="shared" si="33"/>
        <v>0.2323281885389385</v>
      </c>
      <c r="D294" s="651">
        <f t="shared" si="33"/>
        <v>0.21692365156985299</v>
      </c>
      <c r="E294" s="652">
        <f t="shared" si="34"/>
        <v>-1.5404536969085503E-2</v>
      </c>
    </row>
    <row r="295" spans="1:5" x14ac:dyDescent="0.2">
      <c r="A295" s="588"/>
      <c r="B295" s="592" t="s">
        <v>851</v>
      </c>
      <c r="C295" s="651">
        <f t="shared" si="33"/>
        <v>0.36686901794467663</v>
      </c>
      <c r="D295" s="651">
        <f t="shared" si="33"/>
        <v>0.37921551894173317</v>
      </c>
      <c r="E295" s="652">
        <f t="shared" si="34"/>
        <v>1.2346500997056531E-2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240748128</v>
      </c>
      <c r="D301" s="590">
        <f>+D48+D47+D50+D51+D52+D59+D58+D61+D62+D63</f>
        <v>270071072</v>
      </c>
      <c r="E301" s="590">
        <f>D301-C301</f>
        <v>29322944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240748128</v>
      </c>
      <c r="D303" s="593">
        <f>+D301+D302</f>
        <v>270071072</v>
      </c>
      <c r="E303" s="593">
        <f>D303-C303</f>
        <v>29322944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12209849</v>
      </c>
      <c r="D305" s="654">
        <v>22963836</v>
      </c>
      <c r="E305" s="655">
        <f>D305-C305</f>
        <v>10753987</v>
      </c>
    </row>
    <row r="306" spans="1:5" x14ac:dyDescent="0.2">
      <c r="A306" s="588">
        <v>4</v>
      </c>
      <c r="B306" s="592" t="s">
        <v>858</v>
      </c>
      <c r="C306" s="593">
        <f>+C303+C305+C194+C190-C191</f>
        <v>256377861</v>
      </c>
      <c r="D306" s="593">
        <f>+D303+D305</f>
        <v>293034908</v>
      </c>
      <c r="E306" s="656">
        <f>D306-C306</f>
        <v>36657047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252957977</v>
      </c>
      <c r="D308" s="589">
        <v>293034805</v>
      </c>
      <c r="E308" s="590">
        <f>D308-C308</f>
        <v>40076828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3419884</v>
      </c>
      <c r="D310" s="658">
        <f>D306-D308</f>
        <v>103</v>
      </c>
      <c r="E310" s="656">
        <f>D310-C310</f>
        <v>-3419781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596675246</v>
      </c>
      <c r="D314" s="590">
        <f>+D14+D15+D16+D19+D25+D26+D27+D30</f>
        <v>668252697</v>
      </c>
      <c r="E314" s="590">
        <f>D314-C314</f>
        <v>71577451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596675246</v>
      </c>
      <c r="D316" s="657">
        <f>D314+D315</f>
        <v>668252697</v>
      </c>
      <c r="E316" s="593">
        <f>D316-C316</f>
        <v>71577451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596674847</v>
      </c>
      <c r="D318" s="589">
        <v>668252697</v>
      </c>
      <c r="E318" s="590">
        <f>D318-C318</f>
        <v>71577850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399</v>
      </c>
      <c r="D320" s="657">
        <f>D316-D318</f>
        <v>0</v>
      </c>
      <c r="E320" s="593">
        <f>D320-C320</f>
        <v>-399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4722067</v>
      </c>
      <c r="D324" s="589">
        <f>+D193+D194</f>
        <v>2746269</v>
      </c>
      <c r="E324" s="590">
        <f>D324-C324</f>
        <v>-1975798</v>
      </c>
    </row>
    <row r="325" spans="1:5" x14ac:dyDescent="0.2">
      <c r="A325" s="588">
        <v>2</v>
      </c>
      <c r="B325" s="587" t="s">
        <v>868</v>
      </c>
      <c r="C325" s="589">
        <v>1622972</v>
      </c>
      <c r="D325" s="589">
        <v>2031854</v>
      </c>
      <c r="E325" s="590">
        <f>D325-C325</f>
        <v>408882</v>
      </c>
    </row>
    <row r="326" spans="1:5" x14ac:dyDescent="0.2">
      <c r="A326" s="588"/>
      <c r="B326" s="592" t="s">
        <v>869</v>
      </c>
      <c r="C326" s="657">
        <f>C324+C325</f>
        <v>6345039</v>
      </c>
      <c r="D326" s="657">
        <f>D324+D325</f>
        <v>4778123</v>
      </c>
      <c r="E326" s="593">
        <f>D326-C326</f>
        <v>-1566916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6345039</v>
      </c>
      <c r="D328" s="589">
        <v>4778123</v>
      </c>
      <c r="E328" s="590">
        <f>D328-C328</f>
        <v>-1566916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FILING&amp;RCT CHILDREN`S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167182889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1698315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218045317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218045317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3052459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894674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222796091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389978980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136326987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427046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139794966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139794966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1724718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2453906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141946730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278273717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303509876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364742821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668252697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103703439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2433392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57661686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57661686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746843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102412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60841921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164545360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74734109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669910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29210044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29210044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911649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387830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30791603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105525712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178437548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91633524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270071072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2549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20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3430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3430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20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3498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6047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1.8512999999999999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1.4275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1.6950000000000001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1.6950000000000001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1.6104000000000001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1.4956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1.6923096626643799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1.7593290722672401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303509876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178437548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125072328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0.41208651806770202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920780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523675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1893788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852481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2746269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44142342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288197545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270071072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270071072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22963836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293034908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293034805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103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668252697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668252697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668252697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2746269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2031854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4778123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4778123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FILING&amp;RCT CHILDREN`S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885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450</v>
      </c>
      <c r="D12" s="185">
        <v>792</v>
      </c>
      <c r="E12" s="185">
        <f>+D12-C12</f>
        <v>342</v>
      </c>
      <c r="F12" s="77">
        <f>IF(C12=0,0,+E12/C12)</f>
        <v>0.76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419</v>
      </c>
      <c r="D13" s="185">
        <v>760</v>
      </c>
      <c r="E13" s="185">
        <f>+D13-C13</f>
        <v>341</v>
      </c>
      <c r="F13" s="77">
        <f>IF(C13=0,0,+E13/C13)</f>
        <v>0.81384248210023868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1302183</v>
      </c>
      <c r="D15" s="76">
        <v>1893788</v>
      </c>
      <c r="E15" s="76">
        <f>+D15-C15</f>
        <v>591605</v>
      </c>
      <c r="F15" s="77">
        <f>IF(C15=0,0,+E15/C15)</f>
        <v>0.45431786469336494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3107.8353221957041</v>
      </c>
      <c r="D16" s="79">
        <f>IF(D13=0,0,+D15/+D13)</f>
        <v>2491.8263157894735</v>
      </c>
      <c r="E16" s="79">
        <f>+D16-C16</f>
        <v>-616.00900640623058</v>
      </c>
      <c r="F16" s="80">
        <f>IF(C16=0,0,+E16/C16)</f>
        <v>-0.19821159828089494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0.44380799999999998</v>
      </c>
      <c r="D18" s="704">
        <v>0.44558700000000001</v>
      </c>
      <c r="E18" s="704">
        <f>+D18-C18</f>
        <v>1.7790000000000306E-3</v>
      </c>
      <c r="F18" s="77">
        <f>IF(C18=0,0,+E18/C18)</f>
        <v>4.0084901579061907E-3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577919.23286400002</v>
      </c>
      <c r="D19" s="79">
        <f>+D15*D18</f>
        <v>843847.31355600001</v>
      </c>
      <c r="E19" s="79">
        <f>+D19-C19</f>
        <v>265928.08069199999</v>
      </c>
      <c r="F19" s="80">
        <f>IF(C19=0,0,+E19/C19)</f>
        <v>0.46014748354045526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1379.282178673031</v>
      </c>
      <c r="D20" s="79">
        <f>IF(D13=0,0,+D19/D13)</f>
        <v>1110.3254125736842</v>
      </c>
      <c r="E20" s="79">
        <f>+D20-C20</f>
        <v>-268.95676609934685</v>
      </c>
      <c r="F20" s="80">
        <f>IF(C20=0,0,+E20/C20)</f>
        <v>-0.19499763736388059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892532</v>
      </c>
      <c r="D22" s="76">
        <v>911805</v>
      </c>
      <c r="E22" s="76">
        <f>+D22-C22</f>
        <v>19273</v>
      </c>
      <c r="F22" s="77">
        <f>IF(C22=0,0,+E22/C22)</f>
        <v>2.1593623533946123E-2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53800</v>
      </c>
      <c r="D23" s="185">
        <v>247338</v>
      </c>
      <c r="E23" s="185">
        <f>+D23-C23</f>
        <v>193538</v>
      </c>
      <c r="F23" s="77">
        <f>IF(C23=0,0,+E23/C23)</f>
        <v>3.5973605947955392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355851</v>
      </c>
      <c r="D24" s="185">
        <v>734645</v>
      </c>
      <c r="E24" s="185">
        <f>+D24-C24</f>
        <v>378794</v>
      </c>
      <c r="F24" s="77">
        <f>IF(C24=0,0,+E24/C24)</f>
        <v>1.0644736139564031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1302183</v>
      </c>
      <c r="D25" s="79">
        <f>+D22+D23+D24</f>
        <v>1893788</v>
      </c>
      <c r="E25" s="79">
        <f>+E22+E23+E24</f>
        <v>591605</v>
      </c>
      <c r="F25" s="80">
        <f>IF(C25=0,0,+E25/C25)</f>
        <v>0.45431786469336494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499</v>
      </c>
      <c r="D27" s="185">
        <v>743</v>
      </c>
      <c r="E27" s="185">
        <f>+D27-C27</f>
        <v>244</v>
      </c>
      <c r="F27" s="77">
        <f>IF(C27=0,0,+E27/C27)</f>
        <v>0.48897795591182364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68</v>
      </c>
      <c r="D28" s="185">
        <v>167</v>
      </c>
      <c r="E28" s="185">
        <f>+D28-C28</f>
        <v>99</v>
      </c>
      <c r="F28" s="77">
        <f>IF(C28=0,0,+E28/C28)</f>
        <v>1.4558823529411764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94</v>
      </c>
      <c r="D29" s="185">
        <v>365</v>
      </c>
      <c r="E29" s="185">
        <f>+D29-C29</f>
        <v>271</v>
      </c>
      <c r="F29" s="77">
        <f>IF(C29=0,0,+E29/C29)</f>
        <v>2.8829787234042552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258</v>
      </c>
      <c r="D30" s="185">
        <v>935</v>
      </c>
      <c r="E30" s="185">
        <f>+D30-C30</f>
        <v>677</v>
      </c>
      <c r="F30" s="77">
        <f>IF(C30=0,0,+E30/C30)</f>
        <v>2.6240310077519382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813932</v>
      </c>
      <c r="D33" s="76">
        <v>202890</v>
      </c>
      <c r="E33" s="76">
        <f>+D33-C33</f>
        <v>-611042</v>
      </c>
      <c r="F33" s="77">
        <f>IF(C33=0,0,+E33/C33)</f>
        <v>-0.75072856209118211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1128562</v>
      </c>
      <c r="D34" s="185">
        <v>281319</v>
      </c>
      <c r="E34" s="185">
        <f>+D34-C34</f>
        <v>-847243</v>
      </c>
      <c r="F34" s="77">
        <f>IF(C34=0,0,+E34/C34)</f>
        <v>-0.7507279174737409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1477390</v>
      </c>
      <c r="D35" s="185">
        <v>368272</v>
      </c>
      <c r="E35" s="185">
        <f>+D35-C35</f>
        <v>-1109118</v>
      </c>
      <c r="F35" s="77">
        <f>IF(C35=0,0,+E35/C35)</f>
        <v>-0.75072797297937577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3419884</v>
      </c>
      <c r="D36" s="79">
        <f>+D33+D34+D35</f>
        <v>852481</v>
      </c>
      <c r="E36" s="79">
        <f>+E33+E34+E35</f>
        <v>-2567403</v>
      </c>
      <c r="F36" s="80">
        <f>IF(C36=0,0,+E36/C36)</f>
        <v>-0.75072809487105407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1302183</v>
      </c>
      <c r="D39" s="76">
        <f>+D25</f>
        <v>1893788</v>
      </c>
      <c r="E39" s="76">
        <f>+D39-C39</f>
        <v>591605</v>
      </c>
      <c r="F39" s="77">
        <f>IF(C39=0,0,+E39/C39)</f>
        <v>0.45431786469336494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3419884</v>
      </c>
      <c r="D40" s="185">
        <f>+D36</f>
        <v>852481</v>
      </c>
      <c r="E40" s="185">
        <f>+D40-C40</f>
        <v>-2567403</v>
      </c>
      <c r="F40" s="77">
        <f>IF(C40=0,0,+E40/C40)</f>
        <v>-0.75072809487105407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4722067</v>
      </c>
      <c r="D41" s="79">
        <f>+D39+D40</f>
        <v>2746269</v>
      </c>
      <c r="E41" s="79">
        <f>+E39+E40</f>
        <v>-1975798</v>
      </c>
      <c r="F41" s="80">
        <f>IF(C41=0,0,+E41/C41)</f>
        <v>-0.41841803599991273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1706464</v>
      </c>
      <c r="D43" s="76">
        <f t="shared" si="0"/>
        <v>1114695</v>
      </c>
      <c r="E43" s="76">
        <f>+D43-C43</f>
        <v>-591769</v>
      </c>
      <c r="F43" s="77">
        <f>IF(C43=0,0,+E43/C43)</f>
        <v>-0.34678082866090348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1182362</v>
      </c>
      <c r="D44" s="185">
        <f t="shared" si="0"/>
        <v>528657</v>
      </c>
      <c r="E44" s="185">
        <f>+D44-C44</f>
        <v>-653705</v>
      </c>
      <c r="F44" s="77">
        <f>IF(C44=0,0,+E44/C44)</f>
        <v>-0.55288058987010746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1833241</v>
      </c>
      <c r="D45" s="185">
        <f t="shared" si="0"/>
        <v>1102917</v>
      </c>
      <c r="E45" s="185">
        <f>+D45-C45</f>
        <v>-730324</v>
      </c>
      <c r="F45" s="77">
        <f>IF(C45=0,0,+E45/C45)</f>
        <v>-0.39837860924995677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4722067</v>
      </c>
      <c r="D46" s="79">
        <f>+D43+D44+D45</f>
        <v>2746269</v>
      </c>
      <c r="E46" s="79">
        <f>+E43+E44+E45</f>
        <v>-1975798</v>
      </c>
      <c r="F46" s="80">
        <f>IF(C46=0,0,+E46/C46)</f>
        <v>-0.41841803599991273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914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FILING&amp;RCT CHILDREN`S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915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916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272351705</v>
      </c>
      <c r="D15" s="76">
        <v>303509876</v>
      </c>
      <c r="E15" s="76">
        <f>+D15-C15</f>
        <v>31158171</v>
      </c>
      <c r="F15" s="77">
        <f>IF(C15=0,0,E15/C15)</f>
        <v>0.11440417088631775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116709401</v>
      </c>
      <c r="D17" s="76">
        <v>125072328</v>
      </c>
      <c r="E17" s="76">
        <f>+D17-C17</f>
        <v>8362927</v>
      </c>
      <c r="F17" s="77">
        <f>IF(C17=0,0,E17/C17)</f>
        <v>7.1655984251003058E-2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155642304</v>
      </c>
      <c r="D19" s="79">
        <f>+D15-D17</f>
        <v>178437548</v>
      </c>
      <c r="E19" s="79">
        <f>+D19-C19</f>
        <v>22795244</v>
      </c>
      <c r="F19" s="80">
        <f>IF(C19=0,0,E19/C19)</f>
        <v>0.14645917860480914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0.42852458368123675</v>
      </c>
      <c r="D21" s="720">
        <f>IF(D15=0,0,D17/D15)</f>
        <v>0.41208651806770202</v>
      </c>
      <c r="E21" s="720">
        <f>+D21-C21</f>
        <v>-1.6438065613534725E-2</v>
      </c>
      <c r="F21" s="80">
        <f>IF(C21=0,0,E21/C21)</f>
        <v>-3.8359679326501327E-2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FILING&amp;R&amp;12CT CHILDREN`S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346236656</v>
      </c>
      <c r="D10" s="744">
        <v>334817086</v>
      </c>
      <c r="E10" s="744">
        <v>389978980</v>
      </c>
    </row>
    <row r="11" spans="1:6" ht="26.1" customHeight="1" x14ac:dyDescent="0.25">
      <c r="A11" s="742">
        <v>2</v>
      </c>
      <c r="B11" s="743" t="s">
        <v>935</v>
      </c>
      <c r="C11" s="744">
        <v>228576783</v>
      </c>
      <c r="D11" s="744">
        <v>261858160</v>
      </c>
      <c r="E11" s="744">
        <v>278273717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574813439</v>
      </c>
      <c r="D12" s="744">
        <f>+D11+D10</f>
        <v>596675246</v>
      </c>
      <c r="E12" s="744">
        <f>+E11+E10</f>
        <v>668252697</v>
      </c>
    </row>
    <row r="13" spans="1:6" ht="26.1" customHeight="1" x14ac:dyDescent="0.25">
      <c r="A13" s="742">
        <v>4</v>
      </c>
      <c r="B13" s="743" t="s">
        <v>507</v>
      </c>
      <c r="C13" s="744">
        <v>239314874</v>
      </c>
      <c r="D13" s="744">
        <v>252957977</v>
      </c>
      <c r="E13" s="744">
        <v>293034805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267793841</v>
      </c>
      <c r="D16" s="744">
        <v>280099480</v>
      </c>
      <c r="E16" s="744">
        <v>288197545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46107</v>
      </c>
      <c r="D19" s="747">
        <v>42524</v>
      </c>
      <c r="E19" s="747">
        <v>45010</v>
      </c>
    </row>
    <row r="20" spans="1:5" ht="26.1" customHeight="1" x14ac:dyDescent="0.25">
      <c r="A20" s="742">
        <v>2</v>
      </c>
      <c r="B20" s="743" t="s">
        <v>381</v>
      </c>
      <c r="C20" s="748">
        <v>6422</v>
      </c>
      <c r="D20" s="748">
        <v>5803</v>
      </c>
      <c r="E20" s="748">
        <v>6047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7.1795390843973843</v>
      </c>
      <c r="D21" s="749">
        <f>IF(D20=0,0,+D19/D20)</f>
        <v>7.3279338273306909</v>
      </c>
      <c r="E21" s="749">
        <f>IF(E20=0,0,+E19/E20)</f>
        <v>7.443360343972218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76545.688541923184</v>
      </c>
      <c r="D22" s="748">
        <f>IF(D10=0,0,D19*(D12/D10))</f>
        <v>75781.730448797942</v>
      </c>
      <c r="E22" s="748">
        <f>IF(E10=0,0,E19*(E12/E10))</f>
        <v>77127.37207520775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10661.643824500199</v>
      </c>
      <c r="D23" s="748">
        <f>IF(D10=0,0,D20*(D12/D10))</f>
        <v>10341.486732065998</v>
      </c>
      <c r="E23" s="748">
        <f>IF(E10=0,0,E20*(E12/E10))</f>
        <v>10361.902220368391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1.6228650264715041</v>
      </c>
      <c r="D26" s="750">
        <v>1.7792276408754095</v>
      </c>
      <c r="E26" s="750">
        <v>1.7593290722672401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74825.437775521641</v>
      </c>
      <c r="D27" s="748">
        <f>D19*D26</f>
        <v>75659.876200585917</v>
      </c>
      <c r="E27" s="748">
        <f>E19*E26</f>
        <v>79187.401542748485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10422.039199999999</v>
      </c>
      <c r="D28" s="748">
        <f>D20*D26</f>
        <v>10324.858000000002</v>
      </c>
      <c r="E28" s="748">
        <f>E20*E26</f>
        <v>10638.662900000001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124223.32086186767</v>
      </c>
      <c r="D29" s="748">
        <f>D22*D26</f>
        <v>134832.94948787094</v>
      </c>
      <c r="E29" s="748">
        <f>E22*E26</f>
        <v>135692.4279594855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17302.408887477264</v>
      </c>
      <c r="D30" s="748">
        <f>D23*D26</f>
        <v>18399.859041438132</v>
      </c>
      <c r="E30" s="748">
        <f>E23*E26</f>
        <v>18229.995820284577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12466.945127637886</v>
      </c>
      <c r="D33" s="744">
        <f>IF(D19=0,0,D12/D19)</f>
        <v>14031.493885805663</v>
      </c>
      <c r="E33" s="744">
        <f>IF(E19=0,0,E12/E19)</f>
        <v>14846.760653188181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89506.919806913735</v>
      </c>
      <c r="D34" s="744">
        <f>IF(D20=0,0,D12/D20)</f>
        <v>102821.85869377908</v>
      </c>
      <c r="E34" s="744">
        <f>IF(E20=0,0,E12/E20)</f>
        <v>110509.78948238796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7509.4162708482445</v>
      </c>
      <c r="D35" s="744">
        <f>IF(D22=0,0,D12/D22)</f>
        <v>7873.6028125293951</v>
      </c>
      <c r="E35" s="744">
        <f>IF(E22=0,0,E12/E22)</f>
        <v>8664.2741612974896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53914.147617564624</v>
      </c>
      <c r="D36" s="744">
        <f>IF(D23=0,0,D12/D23)</f>
        <v>57697.240392900225</v>
      </c>
      <c r="E36" s="744">
        <f>IF(E23=0,0,E12/E23)</f>
        <v>64491.314701504874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4627.2586742321437</v>
      </c>
      <c r="D37" s="744">
        <f>IF(D29=0,0,D12/D29)</f>
        <v>4425.2925435979923</v>
      </c>
      <c r="E37" s="744">
        <f>IF(E29=0,0,E12/E29)</f>
        <v>4924.7604088823891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33221.584505266495</v>
      </c>
      <c r="D38" s="744">
        <f>IF(D30=0,0,D12/D30)</f>
        <v>32428.250926066001</v>
      </c>
      <c r="E38" s="744">
        <f>IF(E30=0,0,E12/E30)</f>
        <v>36656.76633103958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4523.2679017626215</v>
      </c>
      <c r="D39" s="744">
        <f>IF(D22=0,0,D10/D22)</f>
        <v>4418.1768351967066</v>
      </c>
      <c r="E39" s="744">
        <f>IF(E22=0,0,E10/E22)</f>
        <v>5056.2980367038463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32474.978689904885</v>
      </c>
      <c r="D40" s="744">
        <f>IF(D23=0,0,D10/D23)</f>
        <v>32376.107485766799</v>
      </c>
      <c r="E40" s="744">
        <f>IF(E23=0,0,E10/E23)</f>
        <v>37635.848293705989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5190.4238835751621</v>
      </c>
      <c r="D43" s="744">
        <f>IF(D19=0,0,D13/D19)</f>
        <v>5948.5931944313797</v>
      </c>
      <c r="E43" s="744">
        <f>IF(E19=0,0,E13/E19)</f>
        <v>6510.4377916018666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37264.851136717531</v>
      </c>
      <c r="D44" s="744">
        <f>IF(D20=0,0,D13/D20)</f>
        <v>43590.897294502844</v>
      </c>
      <c r="E44" s="744">
        <f>IF(E20=0,0,E13/E20)</f>
        <v>48459.534479907394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3126.4317894133255</v>
      </c>
      <c r="D45" s="744">
        <f>IF(D22=0,0,D13/D22)</f>
        <v>3337.9810081126543</v>
      </c>
      <c r="E45" s="744">
        <f>IF(E22=0,0,E13/E22)</f>
        <v>3799.3619789645954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22446.339226795422</v>
      </c>
      <c r="D46" s="744">
        <f>IF(D23=0,0,D13/D23)</f>
        <v>24460.50394433612</v>
      </c>
      <c r="E46" s="744">
        <f>IF(E23=0,0,E13/E23)</f>
        <v>28280.020286620878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1926.4891031701723</v>
      </c>
      <c r="D47" s="744">
        <f>IF(D29=0,0,D13/D29)</f>
        <v>1876.0842802949671</v>
      </c>
      <c r="E47" s="744">
        <f>IF(E29=0,0,E13/E29)</f>
        <v>2159.5516375275793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13831.303811875916</v>
      </c>
      <c r="D48" s="744">
        <f>IF(D30=0,0,D13/D30)</f>
        <v>13747.821460496842</v>
      </c>
      <c r="E48" s="744">
        <f>IF(E30=0,0,E13/E30)</f>
        <v>16074.321019533048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5808.0951048647712</v>
      </c>
      <c r="D51" s="744">
        <f>IF(D19=0,0,D16/D19)</f>
        <v>6586.8563634653374</v>
      </c>
      <c r="E51" s="744">
        <f>IF(E19=0,0,E16/E19)</f>
        <v>6402.9670073317038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41699.445811273748</v>
      </c>
      <c r="D52" s="744">
        <f>IF(D20=0,0,D16/D20)</f>
        <v>48268.047561606065</v>
      </c>
      <c r="E52" s="744">
        <f>IF(E20=0,0,E16/E20)</f>
        <v>47659.590706135277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3498.4836651293876</v>
      </c>
      <c r="D53" s="744">
        <f>IF(D22=0,0,D16/D22)</f>
        <v>3696.1346533152828</v>
      </c>
      <c r="E53" s="744">
        <f>IF(E22=0,0,E16/E22)</f>
        <v>3736.6441672481128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25117.500209922247</v>
      </c>
      <c r="D54" s="744">
        <f>IF(D23=0,0,D16/D23)</f>
        <v>27085.030156398258</v>
      </c>
      <c r="E54" s="744">
        <f>IF(E23=0,0,E16/E23)</f>
        <v>27813.189014029693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2155.745307258193</v>
      </c>
      <c r="D55" s="744">
        <f>IF(D29=0,0,D16/D29)</f>
        <v>2077.3815381469253</v>
      </c>
      <c r="E55" s="744">
        <f>IF(E29=0,0,E16/E29)</f>
        <v>2123.9029276272427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15477.257689466442</v>
      </c>
      <c r="D56" s="744">
        <f>IF(D30=0,0,D16/D30)</f>
        <v>15222.914445659113</v>
      </c>
      <c r="E56" s="744">
        <f>IF(E30=0,0,E16/E30)</f>
        <v>15808.974825947114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29967685</v>
      </c>
      <c r="D59" s="752">
        <v>29168523</v>
      </c>
      <c r="E59" s="752">
        <v>29796100</v>
      </c>
    </row>
    <row r="60" spans="1:6" ht="26.1" customHeight="1" x14ac:dyDescent="0.25">
      <c r="A60" s="742">
        <v>2</v>
      </c>
      <c r="B60" s="743" t="s">
        <v>971</v>
      </c>
      <c r="C60" s="752">
        <v>8711626</v>
      </c>
      <c r="D60" s="752">
        <v>8007981</v>
      </c>
      <c r="E60" s="752">
        <v>7444234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38679311</v>
      </c>
      <c r="D61" s="755">
        <f>D59+D60</f>
        <v>37176504</v>
      </c>
      <c r="E61" s="755">
        <f>E59+E60</f>
        <v>37240334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77662593</v>
      </c>
      <c r="D69" s="752">
        <v>80702121</v>
      </c>
      <c r="E69" s="752">
        <v>87302564</v>
      </c>
    </row>
    <row r="70" spans="1:6" ht="26.1" customHeight="1" x14ac:dyDescent="0.25">
      <c r="A70" s="742">
        <v>2</v>
      </c>
      <c r="B70" s="743" t="s">
        <v>979</v>
      </c>
      <c r="C70" s="752">
        <v>22576569</v>
      </c>
      <c r="D70" s="752">
        <v>22156113</v>
      </c>
      <c r="E70" s="752">
        <v>21811602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100239162</v>
      </c>
      <c r="D71" s="755">
        <f>D69+D70</f>
        <v>102858234</v>
      </c>
      <c r="E71" s="755">
        <f>E69+E70</f>
        <v>109114166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107630278</v>
      </c>
      <c r="D75" s="744">
        <f t="shared" si="0"/>
        <v>109870644</v>
      </c>
      <c r="E75" s="744">
        <f t="shared" si="0"/>
        <v>117098664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31288195</v>
      </c>
      <c r="D76" s="744">
        <f t="shared" si="0"/>
        <v>30164094</v>
      </c>
      <c r="E76" s="744">
        <f t="shared" si="0"/>
        <v>29255836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138918473</v>
      </c>
      <c r="D77" s="757">
        <f>D75+D76</f>
        <v>140034738</v>
      </c>
      <c r="E77" s="757">
        <f>E75+E76</f>
        <v>146354500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329.6</v>
      </c>
      <c r="D80" s="749">
        <v>327.3</v>
      </c>
      <c r="E80" s="749">
        <v>329.9</v>
      </c>
    </row>
    <row r="81" spans="1:5" ht="26.1" customHeight="1" x14ac:dyDescent="0.25">
      <c r="A81" s="742">
        <v>2</v>
      </c>
      <c r="B81" s="743" t="s">
        <v>617</v>
      </c>
      <c r="C81" s="749">
        <v>43.6</v>
      </c>
      <c r="D81" s="749">
        <v>44.4</v>
      </c>
      <c r="E81" s="749">
        <v>50</v>
      </c>
    </row>
    <row r="82" spans="1:5" ht="26.1" customHeight="1" x14ac:dyDescent="0.25">
      <c r="A82" s="742">
        <v>3</v>
      </c>
      <c r="B82" s="743" t="s">
        <v>985</v>
      </c>
      <c r="C82" s="749">
        <v>1056.5</v>
      </c>
      <c r="D82" s="749">
        <v>1082.7</v>
      </c>
      <c r="E82" s="749">
        <v>1067.8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1429.7</v>
      </c>
      <c r="D83" s="759">
        <f>D80+D81+D82</f>
        <v>1454.4</v>
      </c>
      <c r="E83" s="759">
        <f>E80+E81+E82</f>
        <v>1447.6999999999998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90921.374393203878</v>
      </c>
      <c r="D86" s="752">
        <f>IF(D80=0,0,D59/D80)</f>
        <v>89118.615948670937</v>
      </c>
      <c r="E86" s="752">
        <f>IF(E80=0,0,E59/E80)</f>
        <v>90318.581388299484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26430.904126213591</v>
      </c>
      <c r="D87" s="752">
        <f>IF(D80=0,0,D60/D80)</f>
        <v>24466.791934005498</v>
      </c>
      <c r="E87" s="752">
        <f>IF(E80=0,0,E60/E80)</f>
        <v>22565.122764474083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117352.27851941746</v>
      </c>
      <c r="D88" s="755">
        <f>+D86+D87</f>
        <v>113585.40788267643</v>
      </c>
      <c r="E88" s="755">
        <f>+E86+E87</f>
        <v>112883.70415277357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73509.316611452916</v>
      </c>
      <c r="D96" s="752">
        <f>IF(D82=0,0,D69/D82)</f>
        <v>74537.841507342746</v>
      </c>
      <c r="E96" s="752">
        <f>IF(E82=0,0,E69/E82)</f>
        <v>81759.284510207901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21369.208707998107</v>
      </c>
      <c r="D97" s="752">
        <f>IF(D82=0,0,D70/D82)</f>
        <v>20463.760044333609</v>
      </c>
      <c r="E97" s="752">
        <f>IF(E82=0,0,E70/E82)</f>
        <v>20426.673534369733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94878.52531945103</v>
      </c>
      <c r="D98" s="757">
        <f>+D96+D97</f>
        <v>95001.601551676358</v>
      </c>
      <c r="E98" s="757">
        <f>+E96+E97</f>
        <v>102185.95804457764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75281.722039588727</v>
      </c>
      <c r="D101" s="744">
        <f>IF(D83=0,0,D75/D83)</f>
        <v>75543.622112211218</v>
      </c>
      <c r="E101" s="744">
        <f>IF(E83=0,0,E75/E83)</f>
        <v>80886.001243351537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21884.447786248864</v>
      </c>
      <c r="D102" s="761">
        <f>IF(D83=0,0,D76/D83)</f>
        <v>20739.888613861385</v>
      </c>
      <c r="E102" s="761">
        <f>IF(E83=0,0,E76/E83)</f>
        <v>20208.493472404505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97166.169825837598</v>
      </c>
      <c r="D103" s="757">
        <f>+D101+D102</f>
        <v>96283.510726072607</v>
      </c>
      <c r="E103" s="757">
        <f>+E101+E102</f>
        <v>101094.49471575604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3012.9584011104603</v>
      </c>
      <c r="D108" s="744">
        <f>IF(D19=0,0,D77/D19)</f>
        <v>3293.0753927194055</v>
      </c>
      <c r="E108" s="744">
        <f>IF(E19=0,0,E77/E19)</f>
        <v>3251.5996445234391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21631.652600436002</v>
      </c>
      <c r="D109" s="744">
        <f>IF(D20=0,0,D77/D20)</f>
        <v>24131.438566258832</v>
      </c>
      <c r="E109" s="744">
        <f>IF(E20=0,0,E77/E20)</f>
        <v>24202.827848519926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1814.8438618318257</v>
      </c>
      <c r="D110" s="744">
        <f>IF(D22=0,0,D77/D22)</f>
        <v>1847.869363376635</v>
      </c>
      <c r="E110" s="744">
        <f>IF(E22=0,0,E77/E22)</f>
        <v>1897.5688664367835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13029.742438100278</v>
      </c>
      <c r="D111" s="744">
        <f>IF(D23=0,0,D77/D23)</f>
        <v>13541.06441637567</v>
      </c>
      <c r="E111" s="744">
        <f>IF(E23=0,0,E77/E23)</f>
        <v>14124.288850391868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1118.2962428968781</v>
      </c>
      <c r="D112" s="744">
        <f>IF(D29=0,0,D77/D29)</f>
        <v>1038.579505468706</v>
      </c>
      <c r="E112" s="744">
        <f>IF(E29=0,0,E77/E29)</f>
        <v>1078.5752911997265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8028.8515838128869</v>
      </c>
      <c r="D113" s="744">
        <f>IF(D30=0,0,D77/D30)</f>
        <v>7610.6418904965094</v>
      </c>
      <c r="E113" s="744">
        <f>IF(E30=0,0,E77/E30)</f>
        <v>8028.224550504332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FILING&amp;R&amp;"Arial,Bold"&amp;12CT CHILDREN`S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596674847</v>
      </c>
      <c r="D12" s="76">
        <v>668252698</v>
      </c>
      <c r="E12" s="76">
        <f t="shared" ref="E12:E21" si="0">D12-C12</f>
        <v>71577851</v>
      </c>
      <c r="F12" s="77">
        <f t="shared" ref="F12:F21" si="1">IF(C12=0,0,E12/C12)</f>
        <v>0.11996123409572852</v>
      </c>
    </row>
    <row r="13" spans="1:8" ht="23.1" customHeight="1" x14ac:dyDescent="0.2">
      <c r="A13" s="74">
        <v>2</v>
      </c>
      <c r="B13" s="75" t="s">
        <v>72</v>
      </c>
      <c r="C13" s="76">
        <v>334897306</v>
      </c>
      <c r="D13" s="76">
        <v>369005460</v>
      </c>
      <c r="E13" s="76">
        <f t="shared" si="0"/>
        <v>34108154</v>
      </c>
      <c r="F13" s="77">
        <f t="shared" si="1"/>
        <v>0.10184660607571444</v>
      </c>
    </row>
    <row r="14" spans="1:8" ht="23.1" customHeight="1" x14ac:dyDescent="0.2">
      <c r="A14" s="74">
        <v>3</v>
      </c>
      <c r="B14" s="75" t="s">
        <v>73</v>
      </c>
      <c r="C14" s="76">
        <v>1302183</v>
      </c>
      <c r="D14" s="76">
        <v>1893788</v>
      </c>
      <c r="E14" s="76">
        <f t="shared" si="0"/>
        <v>591605</v>
      </c>
      <c r="F14" s="77">
        <f t="shared" si="1"/>
        <v>0.45431786469336494</v>
      </c>
    </row>
    <row r="15" spans="1:8" ht="23.1" customHeight="1" x14ac:dyDescent="0.2">
      <c r="A15" s="74">
        <v>4</v>
      </c>
      <c r="B15" s="75" t="s">
        <v>74</v>
      </c>
      <c r="C15" s="76">
        <v>4097497</v>
      </c>
      <c r="D15" s="76">
        <v>3466164</v>
      </c>
      <c r="E15" s="76">
        <f t="shared" si="0"/>
        <v>-631333</v>
      </c>
      <c r="F15" s="77">
        <f t="shared" si="1"/>
        <v>-0.15407772110632417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256377861</v>
      </c>
      <c r="D16" s="79">
        <f>D12-D13-D14-D15</f>
        <v>293887286</v>
      </c>
      <c r="E16" s="79">
        <f t="shared" si="0"/>
        <v>37509425</v>
      </c>
      <c r="F16" s="80">
        <f t="shared" si="1"/>
        <v>0.14630524201151673</v>
      </c>
    </row>
    <row r="17" spans="1:7" ht="23.1" customHeight="1" x14ac:dyDescent="0.2">
      <c r="A17" s="74">
        <v>5</v>
      </c>
      <c r="B17" s="75" t="s">
        <v>76</v>
      </c>
      <c r="C17" s="76">
        <v>3419884</v>
      </c>
      <c r="D17" s="76">
        <v>852481</v>
      </c>
      <c r="E17" s="76">
        <f t="shared" si="0"/>
        <v>-2567403</v>
      </c>
      <c r="F17" s="77">
        <f t="shared" si="1"/>
        <v>-0.75072809487105407</v>
      </c>
      <c r="G17" s="65"/>
    </row>
    <row r="18" spans="1:7" ht="31.5" customHeight="1" x14ac:dyDescent="0.25">
      <c r="A18" s="71"/>
      <c r="B18" s="81" t="s">
        <v>77</v>
      </c>
      <c r="C18" s="79">
        <f>C16-C17</f>
        <v>252957977</v>
      </c>
      <c r="D18" s="79">
        <f>D16-D17</f>
        <v>293034805</v>
      </c>
      <c r="E18" s="79">
        <f t="shared" si="0"/>
        <v>40076828</v>
      </c>
      <c r="F18" s="80">
        <f t="shared" si="1"/>
        <v>0.15843275027456438</v>
      </c>
    </row>
    <row r="19" spans="1:7" ht="23.1" customHeight="1" x14ac:dyDescent="0.2">
      <c r="A19" s="74">
        <v>6</v>
      </c>
      <c r="B19" s="75" t="s">
        <v>78</v>
      </c>
      <c r="C19" s="76">
        <v>3092774</v>
      </c>
      <c r="D19" s="76">
        <v>3320641</v>
      </c>
      <c r="E19" s="76">
        <f t="shared" si="0"/>
        <v>227867</v>
      </c>
      <c r="F19" s="77">
        <f t="shared" si="1"/>
        <v>7.3677223101332331E-2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13260718</v>
      </c>
      <c r="D20" s="76">
        <v>15485926</v>
      </c>
      <c r="E20" s="76">
        <f t="shared" si="0"/>
        <v>2225208</v>
      </c>
      <c r="F20" s="77">
        <f t="shared" si="1"/>
        <v>0.16780448841457907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269311469</v>
      </c>
      <c r="D21" s="79">
        <f>SUM(D18:D20)</f>
        <v>311841372</v>
      </c>
      <c r="E21" s="79">
        <f t="shared" si="0"/>
        <v>42529903</v>
      </c>
      <c r="F21" s="80">
        <f t="shared" si="1"/>
        <v>0.15792087562375592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109870644</v>
      </c>
      <c r="D24" s="76">
        <v>117098664</v>
      </c>
      <c r="E24" s="76">
        <f t="shared" ref="E24:E33" si="2">D24-C24</f>
        <v>7228020</v>
      </c>
      <c r="F24" s="77">
        <f t="shared" ref="F24:F33" si="3">IF(C24=0,0,E24/C24)</f>
        <v>6.5786635418283335E-2</v>
      </c>
    </row>
    <row r="25" spans="1:7" ht="23.1" customHeight="1" x14ac:dyDescent="0.2">
      <c r="A25" s="74">
        <v>2</v>
      </c>
      <c r="B25" s="75" t="s">
        <v>83</v>
      </c>
      <c r="C25" s="76">
        <v>30164094</v>
      </c>
      <c r="D25" s="76">
        <v>29255836</v>
      </c>
      <c r="E25" s="76">
        <f t="shared" si="2"/>
        <v>-908258</v>
      </c>
      <c r="F25" s="77">
        <f t="shared" si="3"/>
        <v>-3.011056788246317E-2</v>
      </c>
    </row>
    <row r="26" spans="1:7" ht="23.1" customHeight="1" x14ac:dyDescent="0.2">
      <c r="A26" s="74">
        <v>3</v>
      </c>
      <c r="B26" s="75" t="s">
        <v>84</v>
      </c>
      <c r="C26" s="76">
        <v>11370358</v>
      </c>
      <c r="D26" s="76">
        <v>12947896</v>
      </c>
      <c r="E26" s="76">
        <f t="shared" si="2"/>
        <v>1577538</v>
      </c>
      <c r="F26" s="77">
        <f t="shared" si="3"/>
        <v>0.13874127797911023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22486989</v>
      </c>
      <c r="D27" s="76">
        <v>24748107</v>
      </c>
      <c r="E27" s="76">
        <f t="shared" si="2"/>
        <v>2261118</v>
      </c>
      <c r="F27" s="77">
        <f t="shared" si="3"/>
        <v>0.10055227936474732</v>
      </c>
    </row>
    <row r="28" spans="1:7" ht="23.1" customHeight="1" x14ac:dyDescent="0.2">
      <c r="A28" s="74">
        <v>5</v>
      </c>
      <c r="B28" s="75" t="s">
        <v>86</v>
      </c>
      <c r="C28" s="76">
        <v>14745956</v>
      </c>
      <c r="D28" s="76">
        <v>17239933</v>
      </c>
      <c r="E28" s="76">
        <f t="shared" si="2"/>
        <v>2493977</v>
      </c>
      <c r="F28" s="77">
        <f t="shared" si="3"/>
        <v>0.16912955660521434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1231379</v>
      </c>
      <c r="D30" s="76">
        <v>1230401</v>
      </c>
      <c r="E30" s="76">
        <f t="shared" si="2"/>
        <v>-978</v>
      </c>
      <c r="F30" s="77">
        <f t="shared" si="3"/>
        <v>-7.9423150792729132E-4</v>
      </c>
    </row>
    <row r="31" spans="1:7" ht="23.1" customHeight="1" x14ac:dyDescent="0.2">
      <c r="A31" s="74">
        <v>8</v>
      </c>
      <c r="B31" s="75" t="s">
        <v>89</v>
      </c>
      <c r="C31" s="76">
        <v>4328239</v>
      </c>
      <c r="D31" s="76">
        <v>3757011</v>
      </c>
      <c r="E31" s="76">
        <f t="shared" si="2"/>
        <v>-571228</v>
      </c>
      <c r="F31" s="77">
        <f t="shared" si="3"/>
        <v>-0.13197700034586815</v>
      </c>
    </row>
    <row r="32" spans="1:7" ht="23.1" customHeight="1" x14ac:dyDescent="0.2">
      <c r="A32" s="74">
        <v>9</v>
      </c>
      <c r="B32" s="75" t="s">
        <v>90</v>
      </c>
      <c r="C32" s="76">
        <v>85901821</v>
      </c>
      <c r="D32" s="76">
        <v>81919697</v>
      </c>
      <c r="E32" s="76">
        <f t="shared" si="2"/>
        <v>-3982124</v>
      </c>
      <c r="F32" s="77">
        <f t="shared" si="3"/>
        <v>-4.6356688992658261E-2</v>
      </c>
    </row>
    <row r="33" spans="1:6" ht="23.1" customHeight="1" x14ac:dyDescent="0.25">
      <c r="A33" s="71"/>
      <c r="B33" s="78" t="s">
        <v>91</v>
      </c>
      <c r="C33" s="79">
        <f>SUM(C24:C32)</f>
        <v>280099480</v>
      </c>
      <c r="D33" s="79">
        <f>SUM(D24:D32)</f>
        <v>288197545</v>
      </c>
      <c r="E33" s="79">
        <f t="shared" si="2"/>
        <v>8098065</v>
      </c>
      <c r="F33" s="80">
        <f t="shared" si="3"/>
        <v>2.891138891082554E-2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-10788011</v>
      </c>
      <c r="D35" s="79">
        <f>+D21-D33</f>
        <v>23643827</v>
      </c>
      <c r="E35" s="79">
        <f>D35-C35</f>
        <v>34431838</v>
      </c>
      <c r="F35" s="80">
        <f>IF(C35=0,0,E35/C35)</f>
        <v>-3.1916762042604518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9192566</v>
      </c>
      <c r="D38" s="76">
        <v>5156717</v>
      </c>
      <c r="E38" s="76">
        <f>D38-C38</f>
        <v>-4035849</v>
      </c>
      <c r="F38" s="77">
        <f>IF(C38=0,0,E38/C38)</f>
        <v>-0.4390339976890022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-655403</v>
      </c>
      <c r="E40" s="76">
        <f>D40-C40</f>
        <v>-655403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9192566</v>
      </c>
      <c r="D41" s="79">
        <f>SUM(D38:D40)</f>
        <v>4501314</v>
      </c>
      <c r="E41" s="79">
        <f>D41-C41</f>
        <v>-4691252</v>
      </c>
      <c r="F41" s="80">
        <f>IF(C41=0,0,E41/C41)</f>
        <v>-0.51033106534127681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-1595445</v>
      </c>
      <c r="D43" s="79">
        <f>D35+D41</f>
        <v>28145141</v>
      </c>
      <c r="E43" s="79">
        <f>D43-C43</f>
        <v>29740586</v>
      </c>
      <c r="F43" s="80">
        <f>IF(C43=0,0,E43/C43)</f>
        <v>-18.640934660862644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-1595445</v>
      </c>
      <c r="D50" s="79">
        <f>D43+D48</f>
        <v>28145141</v>
      </c>
      <c r="E50" s="79">
        <f>D50-C50</f>
        <v>29740586</v>
      </c>
      <c r="F50" s="80">
        <f>IF(C50=0,0,E50/C50)</f>
        <v>-18.640934660862644</v>
      </c>
    </row>
    <row r="51" spans="1:6" ht="23.1" customHeight="1" x14ac:dyDescent="0.2">
      <c r="A51" s="85"/>
      <c r="B51" s="75" t="s">
        <v>104</v>
      </c>
      <c r="C51" s="76">
        <v>6975651</v>
      </c>
      <c r="D51" s="76">
        <v>7853485</v>
      </c>
      <c r="E51" s="76">
        <f>D51-C51</f>
        <v>877834</v>
      </c>
      <c r="F51" s="77">
        <f>IF(C51=0,0,E51/C51)</f>
        <v>0.12584259160901254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FILING&amp;RCT CHILDREN`S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20" zoomScale="75" zoomScaleNormal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344532</v>
      </c>
      <c r="D14" s="113">
        <v>1698315</v>
      </c>
      <c r="E14" s="113">
        <f t="shared" ref="E14:E25" si="0">D14-C14</f>
        <v>1353783</v>
      </c>
      <c r="F14" s="114">
        <f t="shared" ref="F14:F25" si="1">IF(C14=0,0,E14/C14)</f>
        <v>3.9293389293302217</v>
      </c>
    </row>
    <row r="15" spans="1:6" x14ac:dyDescent="0.2">
      <c r="A15" s="115">
        <v>2</v>
      </c>
      <c r="B15" s="116" t="s">
        <v>114</v>
      </c>
      <c r="C15" s="113">
        <v>0</v>
      </c>
      <c r="D15" s="113">
        <v>0</v>
      </c>
      <c r="E15" s="113">
        <f t="shared" si="0"/>
        <v>0</v>
      </c>
      <c r="F15" s="114">
        <f t="shared" si="1"/>
        <v>0</v>
      </c>
    </row>
    <row r="16" spans="1:6" x14ac:dyDescent="0.2">
      <c r="A16" s="115">
        <v>3</v>
      </c>
      <c r="B16" s="116" t="s">
        <v>115</v>
      </c>
      <c r="C16" s="113">
        <v>185270770</v>
      </c>
      <c r="D16" s="113">
        <v>218045317</v>
      </c>
      <c r="E16" s="113">
        <f t="shared" si="0"/>
        <v>32774547</v>
      </c>
      <c r="F16" s="114">
        <f t="shared" si="1"/>
        <v>0.17690079768114528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1121594</v>
      </c>
      <c r="D18" s="113">
        <v>3052459</v>
      </c>
      <c r="E18" s="113">
        <f t="shared" si="0"/>
        <v>1930865</v>
      </c>
      <c r="F18" s="114">
        <f t="shared" si="1"/>
        <v>1.7215364918143286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146643271</v>
      </c>
      <c r="D20" s="113">
        <v>166288215</v>
      </c>
      <c r="E20" s="113">
        <f t="shared" si="0"/>
        <v>19644944</v>
      </c>
      <c r="F20" s="114">
        <f t="shared" si="1"/>
        <v>0.13396416941627004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1436919</v>
      </c>
      <c r="D22" s="113">
        <v>894674</v>
      </c>
      <c r="E22" s="113">
        <f t="shared" si="0"/>
        <v>-542245</v>
      </c>
      <c r="F22" s="114">
        <f t="shared" si="1"/>
        <v>-0.37736643471204712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334817086</v>
      </c>
      <c r="D25" s="119">
        <f>SUM(D14:D24)</f>
        <v>389978980</v>
      </c>
      <c r="E25" s="119">
        <f t="shared" si="0"/>
        <v>55161894</v>
      </c>
      <c r="F25" s="120">
        <f t="shared" si="1"/>
        <v>0.16475232688692595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364729</v>
      </c>
      <c r="D27" s="113">
        <v>427046</v>
      </c>
      <c r="E27" s="113">
        <f t="shared" ref="E27:E38" si="2">D27-C27</f>
        <v>62317</v>
      </c>
      <c r="F27" s="114">
        <f t="shared" ref="F27:F38" si="3">IF(C27=0,0,E27/C27)</f>
        <v>0.17085836333277585</v>
      </c>
    </row>
    <row r="28" spans="1:6" x14ac:dyDescent="0.2">
      <c r="A28" s="115">
        <v>2</v>
      </c>
      <c r="B28" s="116" t="s">
        <v>114</v>
      </c>
      <c r="C28" s="113">
        <v>0</v>
      </c>
      <c r="D28" s="113">
        <v>0</v>
      </c>
      <c r="E28" s="113">
        <f t="shared" si="2"/>
        <v>0</v>
      </c>
      <c r="F28" s="114">
        <f t="shared" si="3"/>
        <v>0</v>
      </c>
    </row>
    <row r="29" spans="1:6" x14ac:dyDescent="0.2">
      <c r="A29" s="115">
        <v>3</v>
      </c>
      <c r="B29" s="116" t="s">
        <v>115</v>
      </c>
      <c r="C29" s="113">
        <v>135423585</v>
      </c>
      <c r="D29" s="113">
        <v>139794966</v>
      </c>
      <c r="E29" s="113">
        <f t="shared" si="2"/>
        <v>4371381</v>
      </c>
      <c r="F29" s="114">
        <f t="shared" si="3"/>
        <v>3.2279318259075776E-2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1798331</v>
      </c>
      <c r="D31" s="113">
        <v>1724718</v>
      </c>
      <c r="E31" s="113">
        <f t="shared" si="2"/>
        <v>-73613</v>
      </c>
      <c r="F31" s="114">
        <f t="shared" si="3"/>
        <v>-4.0934066086832734E-2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122220639</v>
      </c>
      <c r="D33" s="113">
        <v>133873081</v>
      </c>
      <c r="E33" s="113">
        <f t="shared" si="2"/>
        <v>11652442</v>
      </c>
      <c r="F33" s="114">
        <f t="shared" si="3"/>
        <v>9.5339396810059221E-2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2050876</v>
      </c>
      <c r="D35" s="113">
        <v>2453906</v>
      </c>
      <c r="E35" s="113">
        <f t="shared" si="2"/>
        <v>403030</v>
      </c>
      <c r="F35" s="114">
        <f t="shared" si="3"/>
        <v>0.19651602534721749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261858160</v>
      </c>
      <c r="D38" s="119">
        <f>SUM(D27:D37)</f>
        <v>278273717</v>
      </c>
      <c r="E38" s="119">
        <f t="shared" si="2"/>
        <v>16415557</v>
      </c>
      <c r="F38" s="120">
        <f t="shared" si="3"/>
        <v>6.2688735764430639E-2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709261</v>
      </c>
      <c r="D41" s="119">
        <f t="shared" si="4"/>
        <v>2125361</v>
      </c>
      <c r="E41" s="123">
        <f t="shared" ref="E41:E52" si="5">D41-C41</f>
        <v>1416100</v>
      </c>
      <c r="F41" s="124">
        <f t="shared" ref="F41:F52" si="6">IF(C41=0,0,E41/C41)</f>
        <v>1.9965851780938189</v>
      </c>
    </row>
    <row r="42" spans="1:6" ht="15.75" x14ac:dyDescent="0.25">
      <c r="A42" s="121">
        <v>2</v>
      </c>
      <c r="B42" s="122" t="s">
        <v>114</v>
      </c>
      <c r="C42" s="119">
        <f t="shared" si="4"/>
        <v>0</v>
      </c>
      <c r="D42" s="119">
        <f t="shared" si="4"/>
        <v>0</v>
      </c>
      <c r="E42" s="123">
        <f t="shared" si="5"/>
        <v>0</v>
      </c>
      <c r="F42" s="124">
        <f t="shared" si="6"/>
        <v>0</v>
      </c>
    </row>
    <row r="43" spans="1:6" ht="15.75" x14ac:dyDescent="0.25">
      <c r="A43" s="121">
        <v>3</v>
      </c>
      <c r="B43" s="122" t="s">
        <v>115</v>
      </c>
      <c r="C43" s="119">
        <f t="shared" si="4"/>
        <v>320694355</v>
      </c>
      <c r="D43" s="119">
        <f t="shared" si="4"/>
        <v>357840283</v>
      </c>
      <c r="E43" s="123">
        <f t="shared" si="5"/>
        <v>37145928</v>
      </c>
      <c r="F43" s="124">
        <f t="shared" si="6"/>
        <v>0.11582969085938541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2919925</v>
      </c>
      <c r="D45" s="119">
        <f t="shared" si="4"/>
        <v>4777177</v>
      </c>
      <c r="E45" s="123">
        <f t="shared" si="5"/>
        <v>1857252</v>
      </c>
      <c r="F45" s="124">
        <f t="shared" si="6"/>
        <v>0.63606154267660986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268863910</v>
      </c>
      <c r="D47" s="119">
        <f t="shared" si="4"/>
        <v>300161296</v>
      </c>
      <c r="E47" s="123">
        <f t="shared" si="5"/>
        <v>31297386</v>
      </c>
      <c r="F47" s="124">
        <f t="shared" si="6"/>
        <v>0.1164060509274004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3487795</v>
      </c>
      <c r="D49" s="119">
        <f t="shared" si="4"/>
        <v>3348580</v>
      </c>
      <c r="E49" s="123">
        <f t="shared" si="5"/>
        <v>-139215</v>
      </c>
      <c r="F49" s="124">
        <f t="shared" si="6"/>
        <v>-3.9914903255495231E-2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596675246</v>
      </c>
      <c r="D52" s="128">
        <f>SUM(D41:D51)</f>
        <v>668252697</v>
      </c>
      <c r="E52" s="127">
        <f t="shared" si="5"/>
        <v>71577451</v>
      </c>
      <c r="F52" s="129">
        <f t="shared" si="6"/>
        <v>0.11996048349557306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1402653</v>
      </c>
      <c r="D57" s="113">
        <v>2433392</v>
      </c>
      <c r="E57" s="113">
        <f t="shared" ref="E57:E68" si="7">D57-C57</f>
        <v>1030739</v>
      </c>
      <c r="F57" s="114">
        <f t="shared" ref="F57:F68" si="8">IF(C57=0,0,E57/C57)</f>
        <v>0.73484960285972367</v>
      </c>
    </row>
    <row r="58" spans="1:6" x14ac:dyDescent="0.2">
      <c r="A58" s="115">
        <v>2</v>
      </c>
      <c r="B58" s="116" t="s">
        <v>114</v>
      </c>
      <c r="C58" s="113">
        <v>0</v>
      </c>
      <c r="D58" s="113">
        <v>0</v>
      </c>
      <c r="E58" s="113">
        <f t="shared" si="7"/>
        <v>0</v>
      </c>
      <c r="F58" s="114">
        <f t="shared" si="8"/>
        <v>0</v>
      </c>
    </row>
    <row r="59" spans="1:6" x14ac:dyDescent="0.2">
      <c r="A59" s="115">
        <v>3</v>
      </c>
      <c r="B59" s="116" t="s">
        <v>115</v>
      </c>
      <c r="C59" s="113">
        <v>51354904</v>
      </c>
      <c r="D59" s="113">
        <v>57661686</v>
      </c>
      <c r="E59" s="113">
        <f t="shared" si="7"/>
        <v>6306782</v>
      </c>
      <c r="F59" s="114">
        <f t="shared" si="8"/>
        <v>0.12280778482226352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383011</v>
      </c>
      <c r="D61" s="113">
        <v>746843</v>
      </c>
      <c r="E61" s="113">
        <f t="shared" si="7"/>
        <v>363832</v>
      </c>
      <c r="F61" s="114">
        <f t="shared" si="8"/>
        <v>0.94992572014902965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91177775</v>
      </c>
      <c r="D63" s="113">
        <v>103601027</v>
      </c>
      <c r="E63" s="113">
        <f t="shared" si="7"/>
        <v>12423252</v>
      </c>
      <c r="F63" s="114">
        <f t="shared" si="8"/>
        <v>0.13625307263749306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362139</v>
      </c>
      <c r="D65" s="113">
        <v>102412</v>
      </c>
      <c r="E65" s="113">
        <f t="shared" si="7"/>
        <v>-259727</v>
      </c>
      <c r="F65" s="114">
        <f t="shared" si="8"/>
        <v>-0.71720251063818041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144680482</v>
      </c>
      <c r="D68" s="119">
        <f>SUM(D57:D67)</f>
        <v>164545360</v>
      </c>
      <c r="E68" s="119">
        <f t="shared" si="7"/>
        <v>19864878</v>
      </c>
      <c r="F68" s="120">
        <f t="shared" si="8"/>
        <v>0.13730171288757526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1375898</v>
      </c>
      <c r="D70" s="113">
        <v>669910</v>
      </c>
      <c r="E70" s="113">
        <f t="shared" ref="E70:E81" si="9">D70-C70</f>
        <v>-705988</v>
      </c>
      <c r="F70" s="114">
        <f t="shared" ref="F70:F81" si="10">IF(C70=0,0,E70/C70)</f>
        <v>-0.51311071024160226</v>
      </c>
    </row>
    <row r="71" spans="1:6" x14ac:dyDescent="0.2">
      <c r="A71" s="115">
        <v>2</v>
      </c>
      <c r="B71" s="116" t="s">
        <v>114</v>
      </c>
      <c r="C71" s="113">
        <v>0</v>
      </c>
      <c r="D71" s="113">
        <v>0</v>
      </c>
      <c r="E71" s="113">
        <f t="shared" si="9"/>
        <v>0</v>
      </c>
      <c r="F71" s="114">
        <f t="shared" si="10"/>
        <v>0</v>
      </c>
    </row>
    <row r="72" spans="1:6" x14ac:dyDescent="0.2">
      <c r="A72" s="115">
        <v>3</v>
      </c>
      <c r="B72" s="116" t="s">
        <v>115</v>
      </c>
      <c r="C72" s="113">
        <v>29766970</v>
      </c>
      <c r="D72" s="113">
        <v>29210044</v>
      </c>
      <c r="E72" s="113">
        <f t="shared" si="9"/>
        <v>-556926</v>
      </c>
      <c r="F72" s="114">
        <f t="shared" si="10"/>
        <v>-1.8709529387774437E-2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822388</v>
      </c>
      <c r="D74" s="113">
        <v>911649</v>
      </c>
      <c r="E74" s="113">
        <f t="shared" si="9"/>
        <v>89261</v>
      </c>
      <c r="F74" s="114">
        <f t="shared" si="10"/>
        <v>0.10853879190844225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63007064</v>
      </c>
      <c r="D76" s="113">
        <v>74346279</v>
      </c>
      <c r="E76" s="113">
        <f t="shared" si="9"/>
        <v>11339215</v>
      </c>
      <c r="F76" s="114">
        <f t="shared" si="10"/>
        <v>0.17996736048516718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1095326</v>
      </c>
      <c r="D78" s="113">
        <v>387830</v>
      </c>
      <c r="E78" s="113">
        <f t="shared" si="9"/>
        <v>-707496</v>
      </c>
      <c r="F78" s="114">
        <f t="shared" si="10"/>
        <v>-0.64592276637275114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96067646</v>
      </c>
      <c r="D81" s="119">
        <f>SUM(D70:D80)</f>
        <v>105525712</v>
      </c>
      <c r="E81" s="119">
        <f t="shared" si="9"/>
        <v>9458066</v>
      </c>
      <c r="F81" s="120">
        <f t="shared" si="10"/>
        <v>9.8452146938210597E-2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2778551</v>
      </c>
      <c r="D84" s="119">
        <f t="shared" si="11"/>
        <v>3103302</v>
      </c>
      <c r="E84" s="119">
        <f t="shared" ref="E84:E95" si="12">D84-C84</f>
        <v>324751</v>
      </c>
      <c r="F84" s="120">
        <f t="shared" ref="F84:F95" si="13">IF(C84=0,0,E84/C84)</f>
        <v>0.1168778258883857</v>
      </c>
    </row>
    <row r="85" spans="1:6" ht="15.75" x14ac:dyDescent="0.25">
      <c r="A85" s="130">
        <v>2</v>
      </c>
      <c r="B85" s="122" t="s">
        <v>114</v>
      </c>
      <c r="C85" s="119">
        <f t="shared" si="11"/>
        <v>0</v>
      </c>
      <c r="D85" s="119">
        <f t="shared" si="11"/>
        <v>0</v>
      </c>
      <c r="E85" s="119">
        <f t="shared" si="12"/>
        <v>0</v>
      </c>
      <c r="F85" s="120">
        <f t="shared" si="13"/>
        <v>0</v>
      </c>
    </row>
    <row r="86" spans="1:6" ht="15.75" x14ac:dyDescent="0.25">
      <c r="A86" s="130">
        <v>3</v>
      </c>
      <c r="B86" s="122" t="s">
        <v>115</v>
      </c>
      <c r="C86" s="119">
        <f t="shared" si="11"/>
        <v>81121874</v>
      </c>
      <c r="D86" s="119">
        <f t="shared" si="11"/>
        <v>86871730</v>
      </c>
      <c r="E86" s="119">
        <f t="shared" si="12"/>
        <v>5749856</v>
      </c>
      <c r="F86" s="120">
        <f t="shared" si="13"/>
        <v>7.0879230428034734E-2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1205399</v>
      </c>
      <c r="D88" s="119">
        <f t="shared" si="11"/>
        <v>1658492</v>
      </c>
      <c r="E88" s="119">
        <f t="shared" si="12"/>
        <v>453093</v>
      </c>
      <c r="F88" s="120">
        <f t="shared" si="13"/>
        <v>0.37588632477710698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154184839</v>
      </c>
      <c r="D90" s="119">
        <f t="shared" si="11"/>
        <v>177947306</v>
      </c>
      <c r="E90" s="119">
        <f t="shared" si="12"/>
        <v>23762467</v>
      </c>
      <c r="F90" s="120">
        <f t="shared" si="13"/>
        <v>0.15411675463110872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1457465</v>
      </c>
      <c r="D92" s="119">
        <f t="shared" si="11"/>
        <v>490242</v>
      </c>
      <c r="E92" s="119">
        <f t="shared" si="12"/>
        <v>-967223</v>
      </c>
      <c r="F92" s="120">
        <f t="shared" si="13"/>
        <v>-0.66363377508207744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240748128</v>
      </c>
      <c r="D95" s="128">
        <f>SUM(D84:D94)</f>
        <v>270071072</v>
      </c>
      <c r="E95" s="128">
        <f t="shared" si="12"/>
        <v>29322944</v>
      </c>
      <c r="F95" s="129">
        <f t="shared" si="13"/>
        <v>0.12179926067794804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9</v>
      </c>
      <c r="D100" s="133">
        <v>20</v>
      </c>
      <c r="E100" s="133">
        <f t="shared" ref="E100:E111" si="14">D100-C100</f>
        <v>11</v>
      </c>
      <c r="F100" s="114">
        <f t="shared" ref="F100:F111" si="15">IF(C100=0,0,E100/C100)</f>
        <v>1.2222222222222223</v>
      </c>
    </row>
    <row r="101" spans="1:6" x14ac:dyDescent="0.2">
      <c r="A101" s="115">
        <v>2</v>
      </c>
      <c r="B101" s="116" t="s">
        <v>114</v>
      </c>
      <c r="C101" s="133">
        <v>0</v>
      </c>
      <c r="D101" s="133">
        <v>0</v>
      </c>
      <c r="E101" s="133">
        <f t="shared" si="14"/>
        <v>0</v>
      </c>
      <c r="F101" s="114">
        <f t="shared" si="15"/>
        <v>0</v>
      </c>
    </row>
    <row r="102" spans="1:6" x14ac:dyDescent="0.2">
      <c r="A102" s="115">
        <v>3</v>
      </c>
      <c r="B102" s="116" t="s">
        <v>115</v>
      </c>
      <c r="C102" s="133">
        <v>3153</v>
      </c>
      <c r="D102" s="133">
        <v>3430</v>
      </c>
      <c r="E102" s="133">
        <f t="shared" si="14"/>
        <v>277</v>
      </c>
      <c r="F102" s="114">
        <f t="shared" si="15"/>
        <v>8.7852838566444658E-2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43</v>
      </c>
      <c r="D104" s="133">
        <v>48</v>
      </c>
      <c r="E104" s="133">
        <f t="shared" si="14"/>
        <v>5</v>
      </c>
      <c r="F104" s="114">
        <f t="shared" si="15"/>
        <v>0.11627906976744186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2564</v>
      </c>
      <c r="D106" s="133">
        <v>2529</v>
      </c>
      <c r="E106" s="133">
        <f t="shared" si="14"/>
        <v>-35</v>
      </c>
      <c r="F106" s="114">
        <f t="shared" si="15"/>
        <v>-1.3650546021840874E-2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34</v>
      </c>
      <c r="D108" s="133">
        <v>20</v>
      </c>
      <c r="E108" s="133">
        <f t="shared" si="14"/>
        <v>-14</v>
      </c>
      <c r="F108" s="114">
        <f t="shared" si="15"/>
        <v>-0.41176470588235292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5803</v>
      </c>
      <c r="D111" s="134">
        <f>SUM(D100:D110)</f>
        <v>6047</v>
      </c>
      <c r="E111" s="134">
        <f t="shared" si="14"/>
        <v>244</v>
      </c>
      <c r="F111" s="120">
        <f t="shared" si="15"/>
        <v>4.2047216956746514E-2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46</v>
      </c>
      <c r="D113" s="133">
        <v>193</v>
      </c>
      <c r="E113" s="133">
        <f t="shared" ref="E113:E124" si="16">D113-C113</f>
        <v>147</v>
      </c>
      <c r="F113" s="114">
        <f t="shared" ref="F113:F124" si="17">IF(C113=0,0,E113/C113)</f>
        <v>3.1956521739130435</v>
      </c>
    </row>
    <row r="114" spans="1:6" x14ac:dyDescent="0.2">
      <c r="A114" s="115">
        <v>2</v>
      </c>
      <c r="B114" s="116" t="s">
        <v>114</v>
      </c>
      <c r="C114" s="133">
        <v>0</v>
      </c>
      <c r="D114" s="133">
        <v>0</v>
      </c>
      <c r="E114" s="133">
        <f t="shared" si="16"/>
        <v>0</v>
      </c>
      <c r="F114" s="114">
        <f t="shared" si="17"/>
        <v>0</v>
      </c>
    </row>
    <row r="115" spans="1:6" x14ac:dyDescent="0.2">
      <c r="A115" s="115">
        <v>3</v>
      </c>
      <c r="B115" s="116" t="s">
        <v>115</v>
      </c>
      <c r="C115" s="133">
        <v>23813</v>
      </c>
      <c r="D115" s="133">
        <v>25146</v>
      </c>
      <c r="E115" s="133">
        <f t="shared" si="16"/>
        <v>1333</v>
      </c>
      <c r="F115" s="114">
        <f t="shared" si="17"/>
        <v>5.5977827237223367E-2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137</v>
      </c>
      <c r="D117" s="133">
        <v>353</v>
      </c>
      <c r="E117" s="133">
        <f t="shared" si="16"/>
        <v>216</v>
      </c>
      <c r="F117" s="114">
        <f t="shared" si="17"/>
        <v>1.5766423357664234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18351</v>
      </c>
      <c r="D119" s="133">
        <v>19213</v>
      </c>
      <c r="E119" s="133">
        <f t="shared" si="16"/>
        <v>862</v>
      </c>
      <c r="F119" s="114">
        <f t="shared" si="17"/>
        <v>4.697291700724756E-2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177</v>
      </c>
      <c r="D121" s="133">
        <v>105</v>
      </c>
      <c r="E121" s="133">
        <f t="shared" si="16"/>
        <v>-72</v>
      </c>
      <c r="F121" s="114">
        <f t="shared" si="17"/>
        <v>-0.40677966101694918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42524</v>
      </c>
      <c r="D124" s="134">
        <f>SUM(D113:D123)</f>
        <v>45010</v>
      </c>
      <c r="E124" s="134">
        <f t="shared" si="16"/>
        <v>2486</v>
      </c>
      <c r="F124" s="120">
        <f t="shared" si="17"/>
        <v>5.8461104317561845E-2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249</v>
      </c>
      <c r="D126" s="133">
        <v>421</v>
      </c>
      <c r="E126" s="133">
        <f t="shared" ref="E126:E137" si="18">D126-C126</f>
        <v>172</v>
      </c>
      <c r="F126" s="114">
        <f t="shared" ref="F126:F137" si="19">IF(C126=0,0,E126/C126)</f>
        <v>0.69076305220883538</v>
      </c>
    </row>
    <row r="127" spans="1:6" x14ac:dyDescent="0.2">
      <c r="A127" s="115">
        <v>2</v>
      </c>
      <c r="B127" s="116" t="s">
        <v>114</v>
      </c>
      <c r="C127" s="133">
        <v>0</v>
      </c>
      <c r="D127" s="133">
        <v>0</v>
      </c>
      <c r="E127" s="133">
        <f t="shared" si="18"/>
        <v>0</v>
      </c>
      <c r="F127" s="114">
        <f t="shared" si="19"/>
        <v>0</v>
      </c>
    </row>
    <row r="128" spans="1:6" x14ac:dyDescent="0.2">
      <c r="A128" s="115">
        <v>3</v>
      </c>
      <c r="B128" s="116" t="s">
        <v>115</v>
      </c>
      <c r="C128" s="133">
        <v>97994</v>
      </c>
      <c r="D128" s="133">
        <v>120094</v>
      </c>
      <c r="E128" s="133">
        <f t="shared" si="18"/>
        <v>22100</v>
      </c>
      <c r="F128" s="114">
        <f t="shared" si="19"/>
        <v>0.22552401167418412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1146</v>
      </c>
      <c r="D130" s="133">
        <v>1602</v>
      </c>
      <c r="E130" s="133">
        <f t="shared" si="18"/>
        <v>456</v>
      </c>
      <c r="F130" s="114">
        <f t="shared" si="19"/>
        <v>0.39790575916230364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90821</v>
      </c>
      <c r="D132" s="133">
        <v>113790</v>
      </c>
      <c r="E132" s="133">
        <f t="shared" si="18"/>
        <v>22969</v>
      </c>
      <c r="F132" s="114">
        <f t="shared" si="19"/>
        <v>0.25290406403805288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1528</v>
      </c>
      <c r="D134" s="133">
        <v>2363</v>
      </c>
      <c r="E134" s="133">
        <f t="shared" si="18"/>
        <v>835</v>
      </c>
      <c r="F134" s="114">
        <f t="shared" si="19"/>
        <v>0.54646596858638741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191738</v>
      </c>
      <c r="D137" s="134">
        <f>SUM(D126:D136)</f>
        <v>238270</v>
      </c>
      <c r="E137" s="134">
        <f t="shared" si="18"/>
        <v>46532</v>
      </c>
      <c r="F137" s="120">
        <f t="shared" si="19"/>
        <v>0.24268533102462736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102388</v>
      </c>
      <c r="D142" s="113">
        <v>18312</v>
      </c>
      <c r="E142" s="113">
        <f t="shared" ref="E142:E153" si="20">D142-C142</f>
        <v>-84076</v>
      </c>
      <c r="F142" s="114">
        <f t="shared" ref="F142:F153" si="21">IF(C142=0,0,E142/C142)</f>
        <v>-0.82115091612298319</v>
      </c>
    </row>
    <row r="143" spans="1:6" x14ac:dyDescent="0.2">
      <c r="A143" s="115">
        <v>2</v>
      </c>
      <c r="B143" s="116" t="s">
        <v>114</v>
      </c>
      <c r="C143" s="113">
        <v>0</v>
      </c>
      <c r="D143" s="113">
        <v>0</v>
      </c>
      <c r="E143" s="113">
        <f t="shared" si="20"/>
        <v>0</v>
      </c>
      <c r="F143" s="114">
        <f t="shared" si="21"/>
        <v>0</v>
      </c>
    </row>
    <row r="144" spans="1:6" x14ac:dyDescent="0.2">
      <c r="A144" s="115">
        <v>3</v>
      </c>
      <c r="B144" s="116" t="s">
        <v>115</v>
      </c>
      <c r="C144" s="113">
        <v>59549055</v>
      </c>
      <c r="D144" s="113">
        <v>59417609</v>
      </c>
      <c r="E144" s="113">
        <f t="shared" si="20"/>
        <v>-131446</v>
      </c>
      <c r="F144" s="114">
        <f t="shared" si="21"/>
        <v>-2.2073566070863761E-3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631820</v>
      </c>
      <c r="D146" s="113">
        <v>483736</v>
      </c>
      <c r="E146" s="113">
        <f t="shared" si="20"/>
        <v>-148084</v>
      </c>
      <c r="F146" s="114">
        <f t="shared" si="21"/>
        <v>-0.23437687949099428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30836344</v>
      </c>
      <c r="D148" s="113">
        <v>36243553</v>
      </c>
      <c r="E148" s="113">
        <f t="shared" si="20"/>
        <v>5407209</v>
      </c>
      <c r="F148" s="114">
        <f t="shared" si="21"/>
        <v>0.17535181862026186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1083777</v>
      </c>
      <c r="D150" s="113">
        <v>1285170</v>
      </c>
      <c r="E150" s="113">
        <f t="shared" si="20"/>
        <v>201393</v>
      </c>
      <c r="F150" s="114">
        <f t="shared" si="21"/>
        <v>0.1858251282320994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92203384</v>
      </c>
      <c r="D153" s="119">
        <f>SUM(D142:D152)</f>
        <v>97448380</v>
      </c>
      <c r="E153" s="119">
        <f t="shared" si="20"/>
        <v>5244996</v>
      </c>
      <c r="F153" s="120">
        <f t="shared" si="21"/>
        <v>5.6885070508908869E-2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42333</v>
      </c>
      <c r="D155" s="113">
        <v>6877</v>
      </c>
      <c r="E155" s="113">
        <f t="shared" ref="E155:E166" si="22">D155-C155</f>
        <v>-35456</v>
      </c>
      <c r="F155" s="114">
        <f t="shared" ref="F155:F166" si="23">IF(C155=0,0,E155/C155)</f>
        <v>-0.83754990196773205</v>
      </c>
    </row>
    <row r="156" spans="1:6" x14ac:dyDescent="0.2">
      <c r="A156" s="115">
        <v>2</v>
      </c>
      <c r="B156" s="116" t="s">
        <v>114</v>
      </c>
      <c r="C156" s="113">
        <v>0</v>
      </c>
      <c r="D156" s="113">
        <v>0</v>
      </c>
      <c r="E156" s="113">
        <f t="shared" si="22"/>
        <v>0</v>
      </c>
      <c r="F156" s="114">
        <f t="shared" si="23"/>
        <v>0</v>
      </c>
    </row>
    <row r="157" spans="1:6" x14ac:dyDescent="0.2">
      <c r="A157" s="115">
        <v>3</v>
      </c>
      <c r="B157" s="116" t="s">
        <v>115</v>
      </c>
      <c r="C157" s="113">
        <v>10839741</v>
      </c>
      <c r="D157" s="113">
        <v>10529026</v>
      </c>
      <c r="E157" s="113">
        <f t="shared" si="22"/>
        <v>-310715</v>
      </c>
      <c r="F157" s="114">
        <f t="shared" si="23"/>
        <v>-2.8664430266368911E-2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417001</v>
      </c>
      <c r="D159" s="113">
        <v>319266</v>
      </c>
      <c r="E159" s="113">
        <f t="shared" si="22"/>
        <v>-97735</v>
      </c>
      <c r="F159" s="114">
        <f t="shared" si="23"/>
        <v>-0.23437593674835311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21646469</v>
      </c>
      <c r="D161" s="113">
        <v>22651462</v>
      </c>
      <c r="E161" s="113">
        <f t="shared" si="22"/>
        <v>1004993</v>
      </c>
      <c r="F161" s="114">
        <f t="shared" si="23"/>
        <v>4.6427572090394977E-2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601354</v>
      </c>
      <c r="D163" s="113">
        <v>705539</v>
      </c>
      <c r="E163" s="113">
        <f t="shared" si="22"/>
        <v>104185</v>
      </c>
      <c r="F163" s="114">
        <f t="shared" si="23"/>
        <v>0.17325069759243308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33546898</v>
      </c>
      <c r="D166" s="119">
        <f>SUM(D155:D165)</f>
        <v>34212170</v>
      </c>
      <c r="E166" s="119">
        <f t="shared" si="22"/>
        <v>665272</v>
      </c>
      <c r="F166" s="120">
        <f t="shared" si="23"/>
        <v>1.9831103310952922E-2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16</v>
      </c>
      <c r="D168" s="133">
        <v>10</v>
      </c>
      <c r="E168" s="133">
        <f t="shared" ref="E168:E179" si="24">D168-C168</f>
        <v>-6</v>
      </c>
      <c r="F168" s="114">
        <f t="shared" ref="F168:F179" si="25">IF(C168=0,0,E168/C168)</f>
        <v>-0.375</v>
      </c>
    </row>
    <row r="169" spans="1:6" x14ac:dyDescent="0.2">
      <c r="A169" s="115">
        <v>2</v>
      </c>
      <c r="B169" s="116" t="s">
        <v>114</v>
      </c>
      <c r="C169" s="133">
        <v>0</v>
      </c>
      <c r="D169" s="133">
        <v>0</v>
      </c>
      <c r="E169" s="133">
        <f t="shared" si="24"/>
        <v>0</v>
      </c>
      <c r="F169" s="114">
        <f t="shared" si="25"/>
        <v>0</v>
      </c>
    </row>
    <row r="170" spans="1:6" x14ac:dyDescent="0.2">
      <c r="A170" s="115">
        <v>3</v>
      </c>
      <c r="B170" s="116" t="s">
        <v>115</v>
      </c>
      <c r="C170" s="133">
        <v>35042</v>
      </c>
      <c r="D170" s="133">
        <v>36781</v>
      </c>
      <c r="E170" s="133">
        <f t="shared" si="24"/>
        <v>1739</v>
      </c>
      <c r="F170" s="114">
        <f t="shared" si="25"/>
        <v>4.9626162890245989E-2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252</v>
      </c>
      <c r="D172" s="133">
        <v>247</v>
      </c>
      <c r="E172" s="133">
        <f t="shared" si="24"/>
        <v>-5</v>
      </c>
      <c r="F172" s="114">
        <f t="shared" si="25"/>
        <v>-1.984126984126984E-2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15355</v>
      </c>
      <c r="D174" s="133">
        <v>15669</v>
      </c>
      <c r="E174" s="133">
        <f t="shared" si="24"/>
        <v>314</v>
      </c>
      <c r="F174" s="114">
        <f t="shared" si="25"/>
        <v>2.044936502767828E-2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773</v>
      </c>
      <c r="D176" s="133">
        <v>1033</v>
      </c>
      <c r="E176" s="133">
        <f t="shared" si="24"/>
        <v>260</v>
      </c>
      <c r="F176" s="114">
        <f t="shared" si="25"/>
        <v>0.33635187580853815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51438</v>
      </c>
      <c r="D179" s="134">
        <f>SUM(D168:D178)</f>
        <v>53740</v>
      </c>
      <c r="E179" s="134">
        <f t="shared" si="24"/>
        <v>2302</v>
      </c>
      <c r="F179" s="120">
        <f t="shared" si="25"/>
        <v>4.4752906411602317E-2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FILING&amp;RCT CHILDREN`S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29168523</v>
      </c>
      <c r="D15" s="157">
        <v>29796100</v>
      </c>
      <c r="E15" s="157">
        <f>+D15-C15</f>
        <v>627577</v>
      </c>
      <c r="F15" s="161">
        <f>IF(C15=0,0,E15/C15)</f>
        <v>2.1515556341334115E-2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80702121</v>
      </c>
      <c r="D17" s="157">
        <v>87302564</v>
      </c>
      <c r="E17" s="157">
        <f>+D17-C17</f>
        <v>6600443</v>
      </c>
      <c r="F17" s="161">
        <f>IF(C17=0,0,E17/C17)</f>
        <v>8.1787726496060739E-2</v>
      </c>
    </row>
    <row r="18" spans="1:6" ht="15.75" customHeight="1" x14ac:dyDescent="0.25">
      <c r="A18" s="147"/>
      <c r="B18" s="162" t="s">
        <v>159</v>
      </c>
      <c r="C18" s="158">
        <f>SUM(C15:C17)</f>
        <v>109870644</v>
      </c>
      <c r="D18" s="158">
        <f>SUM(D15:D17)</f>
        <v>117098664</v>
      </c>
      <c r="E18" s="158">
        <f>+D18-C18</f>
        <v>7228020</v>
      </c>
      <c r="F18" s="159">
        <f>IF(C18=0,0,E18/C18)</f>
        <v>6.5786635418283335E-2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8007981</v>
      </c>
      <c r="D21" s="157">
        <v>7444234</v>
      </c>
      <c r="E21" s="157">
        <f>+D21-C21</f>
        <v>-563747</v>
      </c>
      <c r="F21" s="161">
        <f>IF(C21=0,0,E21/C21)</f>
        <v>-7.0398144051540587E-2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22156113</v>
      </c>
      <c r="D23" s="157">
        <v>21811602</v>
      </c>
      <c r="E23" s="157">
        <f>+D23-C23</f>
        <v>-344511</v>
      </c>
      <c r="F23" s="161">
        <f>IF(C23=0,0,E23/C23)</f>
        <v>-1.5549252705111226E-2</v>
      </c>
    </row>
    <row r="24" spans="1:6" ht="15.75" customHeight="1" x14ac:dyDescent="0.25">
      <c r="A24" s="147"/>
      <c r="B24" s="162" t="s">
        <v>164</v>
      </c>
      <c r="C24" s="158">
        <f>SUM(C21:C23)</f>
        <v>30164094</v>
      </c>
      <c r="D24" s="158">
        <f>SUM(D21:D23)</f>
        <v>29255836</v>
      </c>
      <c r="E24" s="158">
        <f>+D24-C24</f>
        <v>-908258</v>
      </c>
      <c r="F24" s="159">
        <f>IF(C24=0,0,E24/C24)</f>
        <v>-3.011056788246317E-2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11370358</v>
      </c>
      <c r="D28" s="157">
        <v>12947896</v>
      </c>
      <c r="E28" s="157">
        <f>+D28-C28</f>
        <v>1577538</v>
      </c>
      <c r="F28" s="161">
        <f>IF(C28=0,0,E28/C28)</f>
        <v>0.13874127797911023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11370358</v>
      </c>
      <c r="D30" s="158">
        <f>SUM(D27:D29)</f>
        <v>12947896</v>
      </c>
      <c r="E30" s="158">
        <f>+D30-C30</f>
        <v>1577538</v>
      </c>
      <c r="F30" s="159">
        <f>IF(C30=0,0,E30/C30)</f>
        <v>0.13874127797911023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13998634</v>
      </c>
      <c r="D33" s="157">
        <v>13690743</v>
      </c>
      <c r="E33" s="157">
        <f>+D33-C33</f>
        <v>-307891</v>
      </c>
      <c r="F33" s="161">
        <f>IF(C33=0,0,E33/C33)</f>
        <v>-2.199436030686994E-2</v>
      </c>
    </row>
    <row r="34" spans="1:6" ht="15" customHeight="1" x14ac:dyDescent="0.2">
      <c r="A34" s="147">
        <v>2</v>
      </c>
      <c r="B34" s="160" t="s">
        <v>173</v>
      </c>
      <c r="C34" s="157">
        <v>8488355</v>
      </c>
      <c r="D34" s="157">
        <v>11057364</v>
      </c>
      <c r="E34" s="157">
        <f>+D34-C34</f>
        <v>2569009</v>
      </c>
      <c r="F34" s="161">
        <f>IF(C34=0,0,E34/C34)</f>
        <v>0.30265098479033925</v>
      </c>
    </row>
    <row r="35" spans="1:6" ht="15.75" customHeight="1" x14ac:dyDescent="0.25">
      <c r="A35" s="147"/>
      <c r="B35" s="162" t="s">
        <v>174</v>
      </c>
      <c r="C35" s="158">
        <f>SUM(C33:C34)</f>
        <v>22486989</v>
      </c>
      <c r="D35" s="158">
        <f>SUM(D33:D34)</f>
        <v>24748107</v>
      </c>
      <c r="E35" s="158">
        <f>+D35-C35</f>
        <v>2261118</v>
      </c>
      <c r="F35" s="159">
        <f>IF(C35=0,0,E35/C35)</f>
        <v>0.10055227936474732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4935636</v>
      </c>
      <c r="D38" s="157">
        <v>5451539</v>
      </c>
      <c r="E38" s="157">
        <f>+D38-C38</f>
        <v>515903</v>
      </c>
      <c r="F38" s="161">
        <f>IF(C38=0,0,E38/C38)</f>
        <v>0.10452614414839344</v>
      </c>
    </row>
    <row r="39" spans="1:6" ht="15" customHeight="1" x14ac:dyDescent="0.2">
      <c r="A39" s="147">
        <v>2</v>
      </c>
      <c r="B39" s="160" t="s">
        <v>178</v>
      </c>
      <c r="C39" s="157">
        <v>9585531</v>
      </c>
      <c r="D39" s="157">
        <v>11625705</v>
      </c>
      <c r="E39" s="157">
        <f>+D39-C39</f>
        <v>2040174</v>
      </c>
      <c r="F39" s="161">
        <f>IF(C39=0,0,E39/C39)</f>
        <v>0.21283891314941239</v>
      </c>
    </row>
    <row r="40" spans="1:6" ht="15" customHeight="1" x14ac:dyDescent="0.2">
      <c r="A40" s="147">
        <v>3</v>
      </c>
      <c r="B40" s="160" t="s">
        <v>179</v>
      </c>
      <c r="C40" s="157">
        <v>224789</v>
      </c>
      <c r="D40" s="157">
        <v>162689</v>
      </c>
      <c r="E40" s="157">
        <f>+D40-C40</f>
        <v>-62100</v>
      </c>
      <c r="F40" s="161">
        <f>IF(C40=0,0,E40/C40)</f>
        <v>-0.27625906961639585</v>
      </c>
    </row>
    <row r="41" spans="1:6" ht="15.75" customHeight="1" x14ac:dyDescent="0.25">
      <c r="A41" s="147"/>
      <c r="B41" s="162" t="s">
        <v>180</v>
      </c>
      <c r="C41" s="158">
        <f>SUM(C38:C40)</f>
        <v>14745956</v>
      </c>
      <c r="D41" s="158">
        <f>SUM(D38:D40)</f>
        <v>17239933</v>
      </c>
      <c r="E41" s="158">
        <f>+D41-C41</f>
        <v>2493977</v>
      </c>
      <c r="F41" s="159">
        <f>IF(C41=0,0,E41/C41)</f>
        <v>0.16912955660521434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1231379</v>
      </c>
      <c r="D47" s="157">
        <v>1230401</v>
      </c>
      <c r="E47" s="157">
        <f>+D47-C47</f>
        <v>-978</v>
      </c>
      <c r="F47" s="161">
        <f>IF(C47=0,0,E47/C47)</f>
        <v>-7.9423150792729132E-4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4328239</v>
      </c>
      <c r="D50" s="157">
        <v>3757011</v>
      </c>
      <c r="E50" s="157">
        <f>+D50-C50</f>
        <v>-571228</v>
      </c>
      <c r="F50" s="161">
        <f>IF(C50=0,0,E50/C50)</f>
        <v>-0.13197700034586815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147197</v>
      </c>
      <c r="D53" s="157">
        <v>168773</v>
      </c>
      <c r="E53" s="157">
        <f t="shared" ref="E53:E59" si="0">+D53-C53</f>
        <v>21576</v>
      </c>
      <c r="F53" s="161">
        <f t="shared" ref="F53:F59" si="1">IF(C53=0,0,E53/C53)</f>
        <v>0.14657907430178604</v>
      </c>
    </row>
    <row r="54" spans="1:6" ht="15" customHeight="1" x14ac:dyDescent="0.2">
      <c r="A54" s="147">
        <v>2</v>
      </c>
      <c r="B54" s="160" t="s">
        <v>189</v>
      </c>
      <c r="C54" s="157">
        <v>467979</v>
      </c>
      <c r="D54" s="157">
        <v>506911</v>
      </c>
      <c r="E54" s="157">
        <f t="shared" si="0"/>
        <v>38932</v>
      </c>
      <c r="F54" s="161">
        <f t="shared" si="1"/>
        <v>8.3191767151944845E-2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1509213</v>
      </c>
      <c r="D56" s="157">
        <v>1619340</v>
      </c>
      <c r="E56" s="157">
        <f t="shared" si="0"/>
        <v>110127</v>
      </c>
      <c r="F56" s="161">
        <f t="shared" si="1"/>
        <v>7.2969819369432948E-2</v>
      </c>
    </row>
    <row r="57" spans="1:6" ht="15" customHeight="1" x14ac:dyDescent="0.2">
      <c r="A57" s="147">
        <v>5</v>
      </c>
      <c r="B57" s="160" t="s">
        <v>192</v>
      </c>
      <c r="C57" s="157">
        <v>324006</v>
      </c>
      <c r="D57" s="157">
        <v>325686</v>
      </c>
      <c r="E57" s="157">
        <f t="shared" si="0"/>
        <v>1680</v>
      </c>
      <c r="F57" s="161">
        <f t="shared" si="1"/>
        <v>5.1850891650154626E-3</v>
      </c>
    </row>
    <row r="58" spans="1:6" ht="15" customHeight="1" x14ac:dyDescent="0.2">
      <c r="A58" s="147">
        <v>6</v>
      </c>
      <c r="B58" s="160" t="s">
        <v>193</v>
      </c>
      <c r="C58" s="157">
        <v>53901</v>
      </c>
      <c r="D58" s="157">
        <v>43638</v>
      </c>
      <c r="E58" s="157">
        <f t="shared" si="0"/>
        <v>-10263</v>
      </c>
      <c r="F58" s="161">
        <f t="shared" si="1"/>
        <v>-0.19040463071186065</v>
      </c>
    </row>
    <row r="59" spans="1:6" ht="15.75" customHeight="1" x14ac:dyDescent="0.25">
      <c r="A59" s="147"/>
      <c r="B59" s="162" t="s">
        <v>194</v>
      </c>
      <c r="C59" s="158">
        <f>SUM(C53:C58)</f>
        <v>2502296</v>
      </c>
      <c r="D59" s="158">
        <f>SUM(D53:D58)</f>
        <v>2664348</v>
      </c>
      <c r="E59" s="158">
        <f t="shared" si="0"/>
        <v>162052</v>
      </c>
      <c r="F59" s="159">
        <f t="shared" si="1"/>
        <v>6.4761323200772408E-2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340809</v>
      </c>
      <c r="D62" s="157">
        <v>476211</v>
      </c>
      <c r="E62" s="157">
        <f t="shared" ref="E62:E90" si="2">+D62-C62</f>
        <v>135402</v>
      </c>
      <c r="F62" s="161">
        <f t="shared" ref="F62:F90" si="3">IF(C62=0,0,E62/C62)</f>
        <v>0.39729584606040336</v>
      </c>
    </row>
    <row r="63" spans="1:6" ht="15" customHeight="1" x14ac:dyDescent="0.2">
      <c r="A63" s="147">
        <v>2</v>
      </c>
      <c r="B63" s="160" t="s">
        <v>198</v>
      </c>
      <c r="C63" s="157">
        <v>477936</v>
      </c>
      <c r="D63" s="157">
        <v>316360</v>
      </c>
      <c r="E63" s="157">
        <f t="shared" si="2"/>
        <v>-161576</v>
      </c>
      <c r="F63" s="161">
        <f t="shared" si="3"/>
        <v>-0.33807036925446082</v>
      </c>
    </row>
    <row r="64" spans="1:6" ht="15" customHeight="1" x14ac:dyDescent="0.2">
      <c r="A64" s="147">
        <v>3</v>
      </c>
      <c r="B64" s="160" t="s">
        <v>199</v>
      </c>
      <c r="C64" s="157">
        <v>8798522</v>
      </c>
      <c r="D64" s="157">
        <v>4022869</v>
      </c>
      <c r="E64" s="157">
        <f t="shared" si="2"/>
        <v>-4775653</v>
      </c>
      <c r="F64" s="161">
        <f t="shared" si="3"/>
        <v>-0.54277900310984051</v>
      </c>
    </row>
    <row r="65" spans="1:6" ht="15" customHeight="1" x14ac:dyDescent="0.2">
      <c r="A65" s="147">
        <v>4</v>
      </c>
      <c r="B65" s="160" t="s">
        <v>200</v>
      </c>
      <c r="C65" s="157">
        <v>966259</v>
      </c>
      <c r="D65" s="157">
        <v>1118194</v>
      </c>
      <c r="E65" s="157">
        <f t="shared" si="2"/>
        <v>151935</v>
      </c>
      <c r="F65" s="161">
        <f t="shared" si="3"/>
        <v>0.15724045002426887</v>
      </c>
    </row>
    <row r="66" spans="1:6" ht="15" customHeight="1" x14ac:dyDescent="0.2">
      <c r="A66" s="147">
        <v>5</v>
      </c>
      <c r="B66" s="160" t="s">
        <v>201</v>
      </c>
      <c r="C66" s="157">
        <v>689507</v>
      </c>
      <c r="D66" s="157">
        <v>694263</v>
      </c>
      <c r="E66" s="157">
        <f t="shared" si="2"/>
        <v>4756</v>
      </c>
      <c r="F66" s="161">
        <f t="shared" si="3"/>
        <v>6.8976819669706035E-3</v>
      </c>
    </row>
    <row r="67" spans="1:6" ht="15" customHeight="1" x14ac:dyDescent="0.2">
      <c r="A67" s="147">
        <v>6</v>
      </c>
      <c r="B67" s="160" t="s">
        <v>202</v>
      </c>
      <c r="C67" s="157">
        <v>9658370</v>
      </c>
      <c r="D67" s="157">
        <v>9416617</v>
      </c>
      <c r="E67" s="157">
        <f t="shared" si="2"/>
        <v>-241753</v>
      </c>
      <c r="F67" s="161">
        <f t="shared" si="3"/>
        <v>-2.5030414034666305E-2</v>
      </c>
    </row>
    <row r="68" spans="1:6" ht="15" customHeight="1" x14ac:dyDescent="0.2">
      <c r="A68" s="147">
        <v>7</v>
      </c>
      <c r="B68" s="160" t="s">
        <v>203</v>
      </c>
      <c r="C68" s="157">
        <v>2343178</v>
      </c>
      <c r="D68" s="157">
        <v>2608197</v>
      </c>
      <c r="E68" s="157">
        <f t="shared" si="2"/>
        <v>265019</v>
      </c>
      <c r="F68" s="161">
        <f t="shared" si="3"/>
        <v>0.11310237634528832</v>
      </c>
    </row>
    <row r="69" spans="1:6" ht="15" customHeight="1" x14ac:dyDescent="0.2">
      <c r="A69" s="147">
        <v>8</v>
      </c>
      <c r="B69" s="160" t="s">
        <v>204</v>
      </c>
      <c r="C69" s="157">
        <v>361089</v>
      </c>
      <c r="D69" s="157">
        <v>424824</v>
      </c>
      <c r="E69" s="157">
        <f t="shared" si="2"/>
        <v>63735</v>
      </c>
      <c r="F69" s="161">
        <f t="shared" si="3"/>
        <v>0.17650773078105397</v>
      </c>
    </row>
    <row r="70" spans="1:6" ht="15" customHeight="1" x14ac:dyDescent="0.2">
      <c r="A70" s="147">
        <v>9</v>
      </c>
      <c r="B70" s="160" t="s">
        <v>205</v>
      </c>
      <c r="C70" s="157">
        <v>202428</v>
      </c>
      <c r="D70" s="157">
        <v>286403</v>
      </c>
      <c r="E70" s="157">
        <f t="shared" si="2"/>
        <v>83975</v>
      </c>
      <c r="F70" s="161">
        <f t="shared" si="3"/>
        <v>0.41483885628470368</v>
      </c>
    </row>
    <row r="71" spans="1:6" ht="15" customHeight="1" x14ac:dyDescent="0.2">
      <c r="A71" s="147">
        <v>10</v>
      </c>
      <c r="B71" s="160" t="s">
        <v>206</v>
      </c>
      <c r="C71" s="157">
        <v>584129</v>
      </c>
      <c r="D71" s="157">
        <v>732166</v>
      </c>
      <c r="E71" s="157">
        <f t="shared" si="2"/>
        <v>148037</v>
      </c>
      <c r="F71" s="161">
        <f t="shared" si="3"/>
        <v>0.25343203299271222</v>
      </c>
    </row>
    <row r="72" spans="1:6" ht="15" customHeight="1" x14ac:dyDescent="0.2">
      <c r="A72" s="147">
        <v>11</v>
      </c>
      <c r="B72" s="160" t="s">
        <v>207</v>
      </c>
      <c r="C72" s="157">
        <v>113059</v>
      </c>
      <c r="D72" s="157">
        <v>72358</v>
      </c>
      <c r="E72" s="157">
        <f t="shared" si="2"/>
        <v>-40701</v>
      </c>
      <c r="F72" s="161">
        <f t="shared" si="3"/>
        <v>-0.35999787721455168</v>
      </c>
    </row>
    <row r="73" spans="1:6" ht="15" customHeight="1" x14ac:dyDescent="0.2">
      <c r="A73" s="147">
        <v>12</v>
      </c>
      <c r="B73" s="160" t="s">
        <v>208</v>
      </c>
      <c r="C73" s="157">
        <v>2292824</v>
      </c>
      <c r="D73" s="157">
        <v>2215746</v>
      </c>
      <c r="E73" s="157">
        <f t="shared" si="2"/>
        <v>-77078</v>
      </c>
      <c r="F73" s="161">
        <f t="shared" si="3"/>
        <v>-3.3617059137552641E-2</v>
      </c>
    </row>
    <row r="74" spans="1:6" ht="15" customHeight="1" x14ac:dyDescent="0.2">
      <c r="A74" s="147">
        <v>13</v>
      </c>
      <c r="B74" s="160" t="s">
        <v>209</v>
      </c>
      <c r="C74" s="157">
        <v>107229</v>
      </c>
      <c r="D74" s="157">
        <v>88135</v>
      </c>
      <c r="E74" s="157">
        <f t="shared" si="2"/>
        <v>-19094</v>
      </c>
      <c r="F74" s="161">
        <f t="shared" si="3"/>
        <v>-0.178067500396348</v>
      </c>
    </row>
    <row r="75" spans="1:6" ht="15" customHeight="1" x14ac:dyDescent="0.2">
      <c r="A75" s="147">
        <v>14</v>
      </c>
      <c r="B75" s="160" t="s">
        <v>210</v>
      </c>
      <c r="C75" s="157">
        <v>159825</v>
      </c>
      <c r="D75" s="157">
        <v>159825</v>
      </c>
      <c r="E75" s="157">
        <f t="shared" si="2"/>
        <v>0</v>
      </c>
      <c r="F75" s="161">
        <f t="shared" si="3"/>
        <v>0</v>
      </c>
    </row>
    <row r="76" spans="1:6" ht="15" customHeight="1" x14ac:dyDescent="0.2">
      <c r="A76" s="147">
        <v>15</v>
      </c>
      <c r="B76" s="160" t="s">
        <v>211</v>
      </c>
      <c r="C76" s="157">
        <v>895504</v>
      </c>
      <c r="D76" s="157">
        <v>940831</v>
      </c>
      <c r="E76" s="157">
        <f t="shared" si="2"/>
        <v>45327</v>
      </c>
      <c r="F76" s="161">
        <f t="shared" si="3"/>
        <v>5.0616189319087353E-2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27990668</v>
      </c>
      <c r="D90" s="158">
        <f>SUM(D62:D89)</f>
        <v>23572999</v>
      </c>
      <c r="E90" s="158">
        <f t="shared" si="2"/>
        <v>-4417669</v>
      </c>
      <c r="F90" s="159">
        <f t="shared" si="3"/>
        <v>-0.1578264941729865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55408857</v>
      </c>
      <c r="D93" s="157">
        <v>55682350</v>
      </c>
      <c r="E93" s="157">
        <f>+D93-C93</f>
        <v>273493</v>
      </c>
      <c r="F93" s="161">
        <f>IF(C93=0,0,E93/C93)</f>
        <v>4.9359076293524701E-3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280099480</v>
      </c>
      <c r="D95" s="158">
        <f>+D93+D90+D59+D50+D47+D44+D41+D35+D30+D24+D18</f>
        <v>288197545</v>
      </c>
      <c r="E95" s="158">
        <f>+D95-C95</f>
        <v>8098065</v>
      </c>
      <c r="F95" s="159">
        <f>IF(C95=0,0,E95/C95)</f>
        <v>2.891138891082554E-2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33739789</v>
      </c>
      <c r="D103" s="157">
        <v>30305199</v>
      </c>
      <c r="E103" s="157">
        <f t="shared" ref="E103:E121" si="4">D103-C103</f>
        <v>-3434590</v>
      </c>
      <c r="F103" s="161">
        <f t="shared" ref="F103:F121" si="5">IF(C103=0,0,E103/C103)</f>
        <v>-0.10179642795039412</v>
      </c>
    </row>
    <row r="104" spans="1:6" ht="15" customHeight="1" x14ac:dyDescent="0.2">
      <c r="A104" s="147">
        <v>2</v>
      </c>
      <c r="B104" s="169" t="s">
        <v>234</v>
      </c>
      <c r="C104" s="157">
        <v>2357721</v>
      </c>
      <c r="D104" s="157">
        <v>2467164</v>
      </c>
      <c r="E104" s="157">
        <f t="shared" si="4"/>
        <v>109443</v>
      </c>
      <c r="F104" s="161">
        <f t="shared" si="5"/>
        <v>4.6418978326952173E-2</v>
      </c>
    </row>
    <row r="105" spans="1:6" ht="15" customHeight="1" x14ac:dyDescent="0.2">
      <c r="A105" s="147">
        <v>3</v>
      </c>
      <c r="B105" s="169" t="s">
        <v>235</v>
      </c>
      <c r="C105" s="157">
        <v>2935478</v>
      </c>
      <c r="D105" s="157">
        <v>1531264</v>
      </c>
      <c r="E105" s="157">
        <f t="shared" si="4"/>
        <v>-1404214</v>
      </c>
      <c r="F105" s="161">
        <f t="shared" si="5"/>
        <v>-0.47835957210375957</v>
      </c>
    </row>
    <row r="106" spans="1:6" ht="15" customHeight="1" x14ac:dyDescent="0.2">
      <c r="A106" s="147">
        <v>4</v>
      </c>
      <c r="B106" s="169" t="s">
        <v>236</v>
      </c>
      <c r="C106" s="157">
        <v>2359924</v>
      </c>
      <c r="D106" s="157">
        <v>3445050</v>
      </c>
      <c r="E106" s="157">
        <f t="shared" si="4"/>
        <v>1085126</v>
      </c>
      <c r="F106" s="161">
        <f t="shared" si="5"/>
        <v>0.45981396011057984</v>
      </c>
    </row>
    <row r="107" spans="1:6" ht="15" customHeight="1" x14ac:dyDescent="0.2">
      <c r="A107" s="147">
        <v>5</v>
      </c>
      <c r="B107" s="169" t="s">
        <v>237</v>
      </c>
      <c r="C107" s="157">
        <v>10703485</v>
      </c>
      <c r="D107" s="157">
        <v>13041485</v>
      </c>
      <c r="E107" s="157">
        <f t="shared" si="4"/>
        <v>2338000</v>
      </c>
      <c r="F107" s="161">
        <f t="shared" si="5"/>
        <v>0.21843352889269244</v>
      </c>
    </row>
    <row r="108" spans="1:6" ht="15" customHeight="1" x14ac:dyDescent="0.2">
      <c r="A108" s="147">
        <v>6</v>
      </c>
      <c r="B108" s="169" t="s">
        <v>238</v>
      </c>
      <c r="C108" s="157">
        <v>482090</v>
      </c>
      <c r="D108" s="157">
        <v>489934</v>
      </c>
      <c r="E108" s="157">
        <f t="shared" si="4"/>
        <v>7844</v>
      </c>
      <c r="F108" s="161">
        <f t="shared" si="5"/>
        <v>1.627082080109523E-2</v>
      </c>
    </row>
    <row r="109" spans="1:6" ht="15" customHeight="1" x14ac:dyDescent="0.2">
      <c r="A109" s="147">
        <v>7</v>
      </c>
      <c r="B109" s="169" t="s">
        <v>239</v>
      </c>
      <c r="C109" s="157">
        <v>2615925</v>
      </c>
      <c r="D109" s="157">
        <v>2709450</v>
      </c>
      <c r="E109" s="157">
        <f t="shared" si="4"/>
        <v>93525</v>
      </c>
      <c r="F109" s="161">
        <f t="shared" si="5"/>
        <v>3.5752171793916113E-2</v>
      </c>
    </row>
    <row r="110" spans="1:6" ht="15" customHeight="1" x14ac:dyDescent="0.2">
      <c r="A110" s="147">
        <v>8</v>
      </c>
      <c r="B110" s="169" t="s">
        <v>240</v>
      </c>
      <c r="C110" s="157">
        <v>1401803</v>
      </c>
      <c r="D110" s="157">
        <v>1614203</v>
      </c>
      <c r="E110" s="157">
        <f t="shared" si="4"/>
        <v>212400</v>
      </c>
      <c r="F110" s="161">
        <f t="shared" si="5"/>
        <v>0.15151915069378508</v>
      </c>
    </row>
    <row r="111" spans="1:6" ht="15" customHeight="1" x14ac:dyDescent="0.2">
      <c r="A111" s="147">
        <v>9</v>
      </c>
      <c r="B111" s="169" t="s">
        <v>241</v>
      </c>
      <c r="C111" s="157">
        <v>1385602</v>
      </c>
      <c r="D111" s="157">
        <v>1162100</v>
      </c>
      <c r="E111" s="157">
        <f t="shared" si="4"/>
        <v>-223502</v>
      </c>
      <c r="F111" s="161">
        <f t="shared" si="5"/>
        <v>-0.16130317363860619</v>
      </c>
    </row>
    <row r="112" spans="1:6" ht="15" customHeight="1" x14ac:dyDescent="0.2">
      <c r="A112" s="147">
        <v>10</v>
      </c>
      <c r="B112" s="169" t="s">
        <v>242</v>
      </c>
      <c r="C112" s="157">
        <v>3093160</v>
      </c>
      <c r="D112" s="157">
        <v>3062190</v>
      </c>
      <c r="E112" s="157">
        <f t="shared" si="4"/>
        <v>-30970</v>
      </c>
      <c r="F112" s="161">
        <f t="shared" si="5"/>
        <v>-1.0012414488742905E-2</v>
      </c>
    </row>
    <row r="113" spans="1:6" ht="15" customHeight="1" x14ac:dyDescent="0.2">
      <c r="A113" s="147">
        <v>11</v>
      </c>
      <c r="B113" s="169" t="s">
        <v>243</v>
      </c>
      <c r="C113" s="157">
        <v>2633100</v>
      </c>
      <c r="D113" s="157">
        <v>2882823</v>
      </c>
      <c r="E113" s="157">
        <f t="shared" si="4"/>
        <v>249723</v>
      </c>
      <c r="F113" s="161">
        <f t="shared" si="5"/>
        <v>9.483992252478067E-2</v>
      </c>
    </row>
    <row r="114" spans="1:6" ht="15" customHeight="1" x14ac:dyDescent="0.2">
      <c r="A114" s="147">
        <v>12</v>
      </c>
      <c r="B114" s="169" t="s">
        <v>244</v>
      </c>
      <c r="C114" s="157">
        <v>3191</v>
      </c>
      <c r="D114" s="157">
        <v>41906</v>
      </c>
      <c r="E114" s="157">
        <f t="shared" si="4"/>
        <v>38715</v>
      </c>
      <c r="F114" s="161">
        <f t="shared" si="5"/>
        <v>12.132560325916641</v>
      </c>
    </row>
    <row r="115" spans="1:6" ht="15" customHeight="1" x14ac:dyDescent="0.2">
      <c r="A115" s="147">
        <v>13</v>
      </c>
      <c r="B115" s="169" t="s">
        <v>245</v>
      </c>
      <c r="C115" s="157">
        <v>6135441</v>
      </c>
      <c r="D115" s="157">
        <v>5995758</v>
      </c>
      <c r="E115" s="157">
        <f t="shared" si="4"/>
        <v>-139683</v>
      </c>
      <c r="F115" s="161">
        <f t="shared" si="5"/>
        <v>-2.2766578637134643E-2</v>
      </c>
    </row>
    <row r="116" spans="1:6" ht="15" customHeight="1" x14ac:dyDescent="0.2">
      <c r="A116" s="147">
        <v>14</v>
      </c>
      <c r="B116" s="169" t="s">
        <v>246</v>
      </c>
      <c r="C116" s="157">
        <v>3800890</v>
      </c>
      <c r="D116" s="157">
        <v>2986255</v>
      </c>
      <c r="E116" s="157">
        <f t="shared" si="4"/>
        <v>-814635</v>
      </c>
      <c r="F116" s="161">
        <f t="shared" si="5"/>
        <v>-0.21432743383786429</v>
      </c>
    </row>
    <row r="117" spans="1:6" ht="15" customHeight="1" x14ac:dyDescent="0.2">
      <c r="A117" s="147">
        <v>15</v>
      </c>
      <c r="B117" s="169" t="s">
        <v>203</v>
      </c>
      <c r="C117" s="157">
        <v>480157</v>
      </c>
      <c r="D117" s="157">
        <v>537036</v>
      </c>
      <c r="E117" s="157">
        <f t="shared" si="4"/>
        <v>56879</v>
      </c>
      <c r="F117" s="161">
        <f t="shared" si="5"/>
        <v>0.11845917064626778</v>
      </c>
    </row>
    <row r="118" spans="1:6" ht="15" customHeight="1" x14ac:dyDescent="0.2">
      <c r="A118" s="147">
        <v>16</v>
      </c>
      <c r="B118" s="169" t="s">
        <v>247</v>
      </c>
      <c r="C118" s="157">
        <v>688316</v>
      </c>
      <c r="D118" s="157">
        <v>570693</v>
      </c>
      <c r="E118" s="157">
        <f t="shared" si="4"/>
        <v>-117623</v>
      </c>
      <c r="F118" s="161">
        <f t="shared" si="5"/>
        <v>-0.17088517483248972</v>
      </c>
    </row>
    <row r="119" spans="1:6" ht="15" customHeight="1" x14ac:dyDescent="0.2">
      <c r="A119" s="147">
        <v>17</v>
      </c>
      <c r="B119" s="169" t="s">
        <v>248</v>
      </c>
      <c r="C119" s="157">
        <v>10356291</v>
      </c>
      <c r="D119" s="157">
        <v>13659684</v>
      </c>
      <c r="E119" s="157">
        <f t="shared" si="4"/>
        <v>3303393</v>
      </c>
      <c r="F119" s="161">
        <f t="shared" si="5"/>
        <v>0.31897452475987781</v>
      </c>
    </row>
    <row r="120" spans="1:6" ht="15" customHeight="1" x14ac:dyDescent="0.2">
      <c r="A120" s="147">
        <v>18</v>
      </c>
      <c r="B120" s="169" t="s">
        <v>249</v>
      </c>
      <c r="C120" s="157">
        <v>5180532</v>
      </c>
      <c r="D120" s="157">
        <v>5469582</v>
      </c>
      <c r="E120" s="157">
        <f t="shared" si="4"/>
        <v>289050</v>
      </c>
      <c r="F120" s="161">
        <f t="shared" si="5"/>
        <v>5.5795427959908363E-2</v>
      </c>
    </row>
    <row r="121" spans="1:6" ht="15.75" customHeight="1" x14ac:dyDescent="0.25">
      <c r="A121" s="147"/>
      <c r="B121" s="165" t="s">
        <v>250</v>
      </c>
      <c r="C121" s="158">
        <f>SUM(C103:C120)</f>
        <v>90352895</v>
      </c>
      <c r="D121" s="158">
        <f>SUM(D103:D120)</f>
        <v>91971776</v>
      </c>
      <c r="E121" s="158">
        <f t="shared" si="4"/>
        <v>1618881</v>
      </c>
      <c r="F121" s="159">
        <f t="shared" si="5"/>
        <v>1.7917311891334529E-2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4469460</v>
      </c>
      <c r="D124" s="157">
        <v>5889332</v>
      </c>
      <c r="E124" s="157">
        <f t="shared" ref="E124:E130" si="6">D124-C124</f>
        <v>1419872</v>
      </c>
      <c r="F124" s="161">
        <f t="shared" ref="F124:F130" si="7">IF(C124=0,0,E124/C124)</f>
        <v>0.31768312055595083</v>
      </c>
    </row>
    <row r="125" spans="1:6" ht="15" customHeight="1" x14ac:dyDescent="0.2">
      <c r="A125" s="147">
        <v>2</v>
      </c>
      <c r="B125" s="169" t="s">
        <v>253</v>
      </c>
      <c r="C125" s="157">
        <v>10404110</v>
      </c>
      <c r="D125" s="157">
        <v>10511345</v>
      </c>
      <c r="E125" s="157">
        <f t="shared" si="6"/>
        <v>107235</v>
      </c>
      <c r="F125" s="161">
        <f t="shared" si="7"/>
        <v>1.030698445133702E-2</v>
      </c>
    </row>
    <row r="126" spans="1:6" ht="15" customHeight="1" x14ac:dyDescent="0.2">
      <c r="A126" s="147">
        <v>3</v>
      </c>
      <c r="B126" s="169" t="s">
        <v>254</v>
      </c>
      <c r="C126" s="157">
        <v>1709557</v>
      </c>
      <c r="D126" s="157">
        <v>1215712</v>
      </c>
      <c r="E126" s="157">
        <f t="shared" si="6"/>
        <v>-493845</v>
      </c>
      <c r="F126" s="161">
        <f t="shared" si="7"/>
        <v>-0.28887308232483622</v>
      </c>
    </row>
    <row r="127" spans="1:6" ht="15" customHeight="1" x14ac:dyDescent="0.2">
      <c r="A127" s="147">
        <v>4</v>
      </c>
      <c r="B127" s="169" t="s">
        <v>255</v>
      </c>
      <c r="C127" s="157">
        <v>2378641</v>
      </c>
      <c r="D127" s="157">
        <v>2071466</v>
      </c>
      <c r="E127" s="157">
        <f t="shared" si="6"/>
        <v>-307175</v>
      </c>
      <c r="F127" s="161">
        <f t="shared" si="7"/>
        <v>-0.12913886542777997</v>
      </c>
    </row>
    <row r="128" spans="1:6" ht="15" customHeight="1" x14ac:dyDescent="0.2">
      <c r="A128" s="147">
        <v>5</v>
      </c>
      <c r="B128" s="169" t="s">
        <v>256</v>
      </c>
      <c r="C128" s="157">
        <v>1916675</v>
      </c>
      <c r="D128" s="157">
        <v>1975788</v>
      </c>
      <c r="E128" s="157">
        <f t="shared" si="6"/>
        <v>59113</v>
      </c>
      <c r="F128" s="161">
        <f t="shared" si="7"/>
        <v>3.0841431124212504E-2</v>
      </c>
    </row>
    <row r="129" spans="1:6" ht="15" customHeight="1" x14ac:dyDescent="0.2">
      <c r="A129" s="147">
        <v>6</v>
      </c>
      <c r="B129" s="169" t="s">
        <v>257</v>
      </c>
      <c r="C129" s="157">
        <v>1459600</v>
      </c>
      <c r="D129" s="157">
        <v>1268406</v>
      </c>
      <c r="E129" s="157">
        <f t="shared" si="6"/>
        <v>-191194</v>
      </c>
      <c r="F129" s="161">
        <f t="shared" si="7"/>
        <v>-0.1309906823787339</v>
      </c>
    </row>
    <row r="130" spans="1:6" ht="15.75" customHeight="1" x14ac:dyDescent="0.25">
      <c r="A130" s="147"/>
      <c r="B130" s="165" t="s">
        <v>258</v>
      </c>
      <c r="C130" s="158">
        <f>SUM(C124:C129)</f>
        <v>22338043</v>
      </c>
      <c r="D130" s="158">
        <f>SUM(D124:D129)</f>
        <v>22932049</v>
      </c>
      <c r="E130" s="158">
        <f t="shared" si="6"/>
        <v>594006</v>
      </c>
      <c r="F130" s="159">
        <f t="shared" si="7"/>
        <v>2.6591675913597266E-2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11150711</v>
      </c>
      <c r="D133" s="157">
        <v>9844803</v>
      </c>
      <c r="E133" s="157">
        <f t="shared" ref="E133:E167" si="8">D133-C133</f>
        <v>-1305908</v>
      </c>
      <c r="F133" s="161">
        <f t="shared" ref="F133:F167" si="9">IF(C133=0,0,E133/C133)</f>
        <v>-0.1171143257142975</v>
      </c>
    </row>
    <row r="134" spans="1:6" ht="15" customHeight="1" x14ac:dyDescent="0.2">
      <c r="A134" s="147">
        <v>2</v>
      </c>
      <c r="B134" s="169" t="s">
        <v>261</v>
      </c>
      <c r="C134" s="157">
        <v>2796168</v>
      </c>
      <c r="D134" s="157">
        <v>2578504</v>
      </c>
      <c r="E134" s="157">
        <f t="shared" si="8"/>
        <v>-217664</v>
      </c>
      <c r="F134" s="161">
        <f t="shared" si="9"/>
        <v>-7.7843677490050667E-2</v>
      </c>
    </row>
    <row r="135" spans="1:6" ht="15" customHeight="1" x14ac:dyDescent="0.2">
      <c r="A135" s="147">
        <v>3</v>
      </c>
      <c r="B135" s="169" t="s">
        <v>262</v>
      </c>
      <c r="C135" s="157">
        <v>820664</v>
      </c>
      <c r="D135" s="157">
        <v>740517</v>
      </c>
      <c r="E135" s="157">
        <f t="shared" si="8"/>
        <v>-80147</v>
      </c>
      <c r="F135" s="161">
        <f t="shared" si="9"/>
        <v>-9.7661162180868177E-2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2495150</v>
      </c>
      <c r="D137" s="157">
        <v>2394381</v>
      </c>
      <c r="E137" s="157">
        <f t="shared" si="8"/>
        <v>-100769</v>
      </c>
      <c r="F137" s="161">
        <f t="shared" si="9"/>
        <v>-4.0385948740556683E-2</v>
      </c>
    </row>
    <row r="138" spans="1:6" ht="15" customHeight="1" x14ac:dyDescent="0.2">
      <c r="A138" s="147">
        <v>6</v>
      </c>
      <c r="B138" s="169" t="s">
        <v>265</v>
      </c>
      <c r="C138" s="157">
        <v>707610</v>
      </c>
      <c r="D138" s="157">
        <v>741004</v>
      </c>
      <c r="E138" s="157">
        <f t="shared" si="8"/>
        <v>33394</v>
      </c>
      <c r="F138" s="161">
        <f t="shared" si="9"/>
        <v>4.7192662624892245E-2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736703</v>
      </c>
      <c r="D141" s="157">
        <v>627557</v>
      </c>
      <c r="E141" s="157">
        <f t="shared" si="8"/>
        <v>-109146</v>
      </c>
      <c r="F141" s="161">
        <f t="shared" si="9"/>
        <v>-0.14815468377351523</v>
      </c>
    </row>
    <row r="142" spans="1:6" ht="15" customHeight="1" x14ac:dyDescent="0.2">
      <c r="A142" s="147">
        <v>10</v>
      </c>
      <c r="B142" s="169" t="s">
        <v>269</v>
      </c>
      <c r="C142" s="157">
        <v>5153004</v>
      </c>
      <c r="D142" s="157">
        <v>4725432</v>
      </c>
      <c r="E142" s="157">
        <f t="shared" si="8"/>
        <v>-427572</v>
      </c>
      <c r="F142" s="161">
        <f t="shared" si="9"/>
        <v>-8.2975289753316708E-2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506821</v>
      </c>
      <c r="D144" s="157">
        <v>652867</v>
      </c>
      <c r="E144" s="157">
        <f t="shared" si="8"/>
        <v>146046</v>
      </c>
      <c r="F144" s="161">
        <f t="shared" si="9"/>
        <v>0.28816090888104479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383396</v>
      </c>
      <c r="D146" s="157">
        <v>437159</v>
      </c>
      <c r="E146" s="157">
        <f t="shared" si="8"/>
        <v>53763</v>
      </c>
      <c r="F146" s="161">
        <f t="shared" si="9"/>
        <v>0.14022838005612995</v>
      </c>
    </row>
    <row r="147" spans="1:6" ht="15" customHeight="1" x14ac:dyDescent="0.2">
      <c r="A147" s="147">
        <v>15</v>
      </c>
      <c r="B147" s="169" t="s">
        <v>274</v>
      </c>
      <c r="C147" s="157">
        <v>1038773</v>
      </c>
      <c r="D147" s="157">
        <v>912289</v>
      </c>
      <c r="E147" s="157">
        <f t="shared" si="8"/>
        <v>-126484</v>
      </c>
      <c r="F147" s="161">
        <f t="shared" si="9"/>
        <v>-0.12176288756061238</v>
      </c>
    </row>
    <row r="148" spans="1:6" ht="15" customHeight="1" x14ac:dyDescent="0.2">
      <c r="A148" s="147">
        <v>16</v>
      </c>
      <c r="B148" s="169" t="s">
        <v>275</v>
      </c>
      <c r="C148" s="157">
        <v>1073967</v>
      </c>
      <c r="D148" s="157">
        <v>834130</v>
      </c>
      <c r="E148" s="157">
        <f t="shared" si="8"/>
        <v>-239837</v>
      </c>
      <c r="F148" s="161">
        <f t="shared" si="9"/>
        <v>-0.22331877981353246</v>
      </c>
    </row>
    <row r="149" spans="1:6" ht="15" customHeight="1" x14ac:dyDescent="0.2">
      <c r="A149" s="147">
        <v>17</v>
      </c>
      <c r="B149" s="169" t="s">
        <v>276</v>
      </c>
      <c r="C149" s="157">
        <v>1277849</v>
      </c>
      <c r="D149" s="157">
        <v>1041901</v>
      </c>
      <c r="E149" s="157">
        <f t="shared" si="8"/>
        <v>-235948</v>
      </c>
      <c r="F149" s="161">
        <f t="shared" si="9"/>
        <v>-0.18464466458869552</v>
      </c>
    </row>
    <row r="150" spans="1:6" ht="15" customHeight="1" x14ac:dyDescent="0.2">
      <c r="A150" s="147">
        <v>18</v>
      </c>
      <c r="B150" s="169" t="s">
        <v>277</v>
      </c>
      <c r="C150" s="157">
        <v>3116107</v>
      </c>
      <c r="D150" s="157">
        <v>3158306</v>
      </c>
      <c r="E150" s="157">
        <f t="shared" si="8"/>
        <v>42199</v>
      </c>
      <c r="F150" s="161">
        <f t="shared" si="9"/>
        <v>1.3542217902016844E-2</v>
      </c>
    </row>
    <row r="151" spans="1:6" ht="15" customHeight="1" x14ac:dyDescent="0.2">
      <c r="A151" s="147">
        <v>19</v>
      </c>
      <c r="B151" s="169" t="s">
        <v>278</v>
      </c>
      <c r="C151" s="157">
        <v>378310</v>
      </c>
      <c r="D151" s="157">
        <v>419970</v>
      </c>
      <c r="E151" s="157">
        <f t="shared" si="8"/>
        <v>41660</v>
      </c>
      <c r="F151" s="161">
        <f t="shared" si="9"/>
        <v>0.11012132906875313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1698012</v>
      </c>
      <c r="D154" s="157">
        <v>1688335</v>
      </c>
      <c r="E154" s="157">
        <f t="shared" si="8"/>
        <v>-9677</v>
      </c>
      <c r="F154" s="161">
        <f t="shared" si="9"/>
        <v>-5.6990174392171555E-3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7778170</v>
      </c>
      <c r="D156" s="157">
        <v>8467824</v>
      </c>
      <c r="E156" s="157">
        <f t="shared" si="8"/>
        <v>689654</v>
      </c>
      <c r="F156" s="161">
        <f t="shared" si="9"/>
        <v>8.8665328734136697E-2</v>
      </c>
    </row>
    <row r="157" spans="1:6" ht="15" customHeight="1" x14ac:dyDescent="0.2">
      <c r="A157" s="147">
        <v>25</v>
      </c>
      <c r="B157" s="169" t="s">
        <v>284</v>
      </c>
      <c r="C157" s="157">
        <v>724132</v>
      </c>
      <c r="D157" s="157">
        <v>730862</v>
      </c>
      <c r="E157" s="157">
        <f t="shared" si="8"/>
        <v>6730</v>
      </c>
      <c r="F157" s="161">
        <f t="shared" si="9"/>
        <v>9.2938856451586175E-3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224329</v>
      </c>
      <c r="D160" s="157">
        <v>261202</v>
      </c>
      <c r="E160" s="157">
        <f t="shared" si="8"/>
        <v>36873</v>
      </c>
      <c r="F160" s="161">
        <f t="shared" si="9"/>
        <v>0.16437018842860263</v>
      </c>
    </row>
    <row r="161" spans="1:6" ht="15" customHeight="1" x14ac:dyDescent="0.2">
      <c r="A161" s="147">
        <v>29</v>
      </c>
      <c r="B161" s="169" t="s">
        <v>288</v>
      </c>
      <c r="C161" s="157">
        <v>428506</v>
      </c>
      <c r="D161" s="157">
        <v>797293</v>
      </c>
      <c r="E161" s="157">
        <f t="shared" si="8"/>
        <v>368787</v>
      </c>
      <c r="F161" s="161">
        <f t="shared" si="9"/>
        <v>0.86063439018356802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629439</v>
      </c>
      <c r="D163" s="157">
        <v>782635</v>
      </c>
      <c r="E163" s="157">
        <f t="shared" si="8"/>
        <v>153196</v>
      </c>
      <c r="F163" s="161">
        <f t="shared" si="9"/>
        <v>0.24338498250028995</v>
      </c>
    </row>
    <row r="164" spans="1:6" ht="15" customHeight="1" x14ac:dyDescent="0.2">
      <c r="A164" s="147">
        <v>32</v>
      </c>
      <c r="B164" s="169" t="s">
        <v>291</v>
      </c>
      <c r="C164" s="157">
        <v>2364101</v>
      </c>
      <c r="D164" s="157">
        <v>1896910</v>
      </c>
      <c r="E164" s="157">
        <f t="shared" si="8"/>
        <v>-467191</v>
      </c>
      <c r="F164" s="161">
        <f t="shared" si="9"/>
        <v>-0.19761888345717887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4438377</v>
      </c>
      <c r="D166" s="157">
        <v>3590381</v>
      </c>
      <c r="E166" s="157">
        <f t="shared" si="8"/>
        <v>-847996</v>
      </c>
      <c r="F166" s="161">
        <f t="shared" si="9"/>
        <v>-0.19105993024026577</v>
      </c>
    </row>
    <row r="167" spans="1:6" ht="15.75" customHeight="1" x14ac:dyDescent="0.25">
      <c r="A167" s="147"/>
      <c r="B167" s="165" t="s">
        <v>294</v>
      </c>
      <c r="C167" s="158">
        <f>SUM(C133:C166)</f>
        <v>49920299</v>
      </c>
      <c r="D167" s="158">
        <f>SUM(D133:D166)</f>
        <v>47324262</v>
      </c>
      <c r="E167" s="158">
        <f t="shared" si="8"/>
        <v>-2596037</v>
      </c>
      <c r="F167" s="159">
        <f t="shared" si="9"/>
        <v>-5.2003634833998093E-2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0</v>
      </c>
      <c r="D170" s="157">
        <v>0</v>
      </c>
      <c r="E170" s="157">
        <f t="shared" ref="E170:E183" si="10">D170-C170</f>
        <v>0</v>
      </c>
      <c r="F170" s="161">
        <f t="shared" ref="F170:F183" si="11">IF(C170=0,0,E170/C170)</f>
        <v>0</v>
      </c>
    </row>
    <row r="171" spans="1:6" ht="15" customHeight="1" x14ac:dyDescent="0.2">
      <c r="A171" s="147">
        <v>2</v>
      </c>
      <c r="B171" s="169" t="s">
        <v>297</v>
      </c>
      <c r="C171" s="157">
        <v>5588078</v>
      </c>
      <c r="D171" s="157">
        <v>5656447</v>
      </c>
      <c r="E171" s="157">
        <f t="shared" si="10"/>
        <v>68369</v>
      </c>
      <c r="F171" s="161">
        <f t="shared" si="11"/>
        <v>1.2234797008917914E-2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13819643</v>
      </c>
      <c r="D174" s="157">
        <v>14358623</v>
      </c>
      <c r="E174" s="157">
        <f t="shared" si="10"/>
        <v>538980</v>
      </c>
      <c r="F174" s="161">
        <f t="shared" si="11"/>
        <v>3.9001007478992038E-2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26232760</v>
      </c>
      <c r="D177" s="157">
        <v>28783992</v>
      </c>
      <c r="E177" s="157">
        <f t="shared" si="10"/>
        <v>2551232</v>
      </c>
      <c r="F177" s="161">
        <f t="shared" si="11"/>
        <v>9.7253662977132407E-2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2397590</v>
      </c>
      <c r="D179" s="157">
        <v>2531082</v>
      </c>
      <c r="E179" s="157">
        <f t="shared" si="10"/>
        <v>133492</v>
      </c>
      <c r="F179" s="161">
        <f t="shared" si="11"/>
        <v>5.5677576232800438E-2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51949</v>
      </c>
      <c r="D182" s="157">
        <v>172805</v>
      </c>
      <c r="E182" s="157">
        <f t="shared" si="10"/>
        <v>120856</v>
      </c>
      <c r="F182" s="161">
        <f t="shared" si="11"/>
        <v>2.3264355425513483</v>
      </c>
    </row>
    <row r="183" spans="1:6" ht="15.75" customHeight="1" x14ac:dyDescent="0.25">
      <c r="A183" s="147"/>
      <c r="B183" s="165" t="s">
        <v>309</v>
      </c>
      <c r="C183" s="158">
        <f>SUM(C170:C182)</f>
        <v>48090020</v>
      </c>
      <c r="D183" s="158">
        <f>SUM(D170:D182)</f>
        <v>51502949</v>
      </c>
      <c r="E183" s="158">
        <f t="shared" si="10"/>
        <v>3412929</v>
      </c>
      <c r="F183" s="159">
        <f t="shared" si="11"/>
        <v>7.0969589948184669E-2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69398223</v>
      </c>
      <c r="D186" s="157">
        <v>74466509</v>
      </c>
      <c r="E186" s="157">
        <f>D186-C186</f>
        <v>5068286</v>
      </c>
      <c r="F186" s="161">
        <f>IF(C186=0,0,E186/C186)</f>
        <v>7.3031927633074992E-2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280099480</v>
      </c>
      <c r="D188" s="158">
        <f>+D186+D183+D167+D130+D121</f>
        <v>288197545</v>
      </c>
      <c r="E188" s="158">
        <f>D188-C188</f>
        <v>8098065</v>
      </c>
      <c r="F188" s="159">
        <f>IF(C188=0,0,E188/C188)</f>
        <v>2.891138891082554E-2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FILING&amp;RCT CHILDREN`S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239314874</v>
      </c>
      <c r="D11" s="183">
        <v>252957977</v>
      </c>
      <c r="E11" s="76">
        <v>293034805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18007225</v>
      </c>
      <c r="D12" s="185">
        <v>16353492</v>
      </c>
      <c r="E12" s="185">
        <v>18806567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257322099</v>
      </c>
      <c r="D13" s="76">
        <f>+D11+D12</f>
        <v>269311469</v>
      </c>
      <c r="E13" s="76">
        <f>+E11+E12</f>
        <v>311841372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267793841</v>
      </c>
      <c r="D14" s="185">
        <v>280099480</v>
      </c>
      <c r="E14" s="185">
        <v>288197545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-10471742</v>
      </c>
      <c r="D15" s="76">
        <f>+D13-D14</f>
        <v>-10788011</v>
      </c>
      <c r="E15" s="76">
        <f>+E13-E14</f>
        <v>23643827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10804821</v>
      </c>
      <c r="D16" s="185">
        <v>9192566</v>
      </c>
      <c r="E16" s="185">
        <v>4501314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333079</v>
      </c>
      <c r="D17" s="76">
        <f>D15+D16</f>
        <v>-1595445</v>
      </c>
      <c r="E17" s="76">
        <f>E15+E16</f>
        <v>28145141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-3.9055168350869057E-2</v>
      </c>
      <c r="D20" s="189">
        <f>IF(+D27=0,0,+D24/+D27)</f>
        <v>-3.8735564459595709E-2</v>
      </c>
      <c r="E20" s="189">
        <f>IF(+E27=0,0,+E24/+E27)</f>
        <v>7.4741184311749823E-2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4.0297412136013795E-2</v>
      </c>
      <c r="D21" s="189">
        <f>IF(D27=0,0,+D26/D27)</f>
        <v>3.3006940096936117E-2</v>
      </c>
      <c r="E21" s="189">
        <f>IF(E27=0,0,+E26/E27)</f>
        <v>1.422923367351063E-2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1.2422437851447366E-3</v>
      </c>
      <c r="D22" s="189">
        <f>IF(D27=0,0,+D28/D27)</f>
        <v>-5.7286243626595932E-3</v>
      </c>
      <c r="E22" s="189">
        <f>IF(E27=0,0,+E28/E27)</f>
        <v>8.8970417985260453E-2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-10471742</v>
      </c>
      <c r="D24" s="76">
        <f>+D15</f>
        <v>-10788011</v>
      </c>
      <c r="E24" s="76">
        <f>+E15</f>
        <v>23643827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257322099</v>
      </c>
      <c r="D25" s="76">
        <f>+D13</f>
        <v>269311469</v>
      </c>
      <c r="E25" s="76">
        <f>+E13</f>
        <v>311841372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10804821</v>
      </c>
      <c r="D26" s="76">
        <f>+D16</f>
        <v>9192566</v>
      </c>
      <c r="E26" s="76">
        <f>+E16</f>
        <v>4501314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268126920</v>
      </c>
      <c r="D27" s="76">
        <f>+D25+D26</f>
        <v>278504035</v>
      </c>
      <c r="E27" s="76">
        <f>+E25+E26</f>
        <v>316342686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333079</v>
      </c>
      <c r="D28" s="76">
        <f>+D17</f>
        <v>-1595445</v>
      </c>
      <c r="E28" s="76">
        <f>+E17</f>
        <v>28145141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101387989</v>
      </c>
      <c r="D31" s="76">
        <v>74193342</v>
      </c>
      <c r="E31" s="76">
        <v>75698045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219132129</v>
      </c>
      <c r="D32" s="76">
        <v>200601965</v>
      </c>
      <c r="E32" s="76">
        <v>198249845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9794204</v>
      </c>
      <c r="D33" s="76">
        <f>+D32-C32</f>
        <v>-18530164</v>
      </c>
      <c r="E33" s="76">
        <f>+E32-D32</f>
        <v>-2352120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1.0467</v>
      </c>
      <c r="D34" s="193">
        <f>IF(C32=0,0,+D33/C32)</f>
        <v>-8.4561602557149437E-2</v>
      </c>
      <c r="E34" s="193">
        <f>IF(D32=0,0,+E33/D32)</f>
        <v>-1.172530887222366E-2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0.44380825548213915</v>
      </c>
      <c r="D38" s="195">
        <f>IF((D40+D41)=0,0,+D39/(D40+D41))</f>
        <v>0.44558692798435517</v>
      </c>
      <c r="E38" s="195">
        <f>IF((E40+E41)=0,0,+E39/(E40+E41))</f>
        <v>0.40454737782080485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267793841</v>
      </c>
      <c r="D39" s="76">
        <v>280099480</v>
      </c>
      <c r="E39" s="196">
        <v>288197545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574813439</v>
      </c>
      <c r="D40" s="76">
        <v>596675246</v>
      </c>
      <c r="E40" s="196">
        <v>668252697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28586425</v>
      </c>
      <c r="D41" s="76">
        <v>31932692</v>
      </c>
      <c r="E41" s="196">
        <v>44142342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1.2597059656344642</v>
      </c>
      <c r="D43" s="197">
        <f>IF(D38=0,0,IF((D46-D47)=0,0,((+D44-D45)/(D46-D47)/D38)))</f>
        <v>1.2869945856986076</v>
      </c>
      <c r="E43" s="197">
        <f>IF(E38=0,0,IF((E46-E47)=0,0,((+E44-E45)/(E46-E47)/E38)))</f>
        <v>1.4654376157999651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150223027</v>
      </c>
      <c r="D44" s="76">
        <v>155642304</v>
      </c>
      <c r="E44" s="196">
        <v>178437548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826408</v>
      </c>
      <c r="D45" s="76">
        <v>1457465</v>
      </c>
      <c r="E45" s="196">
        <v>490242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271599289</v>
      </c>
      <c r="D46" s="76">
        <v>272351705</v>
      </c>
      <c r="E46" s="196">
        <v>303509876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4374830</v>
      </c>
      <c r="D47" s="76">
        <v>3487795</v>
      </c>
      <c r="E47" s="76">
        <v>3348580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6.0250785482837559</v>
      </c>
      <c r="D49" s="198">
        <f>IF(D38=0,0,IF(D51=0,0,(D50/D51)/D38))</f>
        <v>8.7918415197366659</v>
      </c>
      <c r="E49" s="198">
        <f>IF(E38=0,0,IF(E51=0,0,(E50/E51)/E38))</f>
        <v>3.6092913750140143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2791378</v>
      </c>
      <c r="D50" s="199">
        <v>2778551</v>
      </c>
      <c r="E50" s="199">
        <v>3103302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1043904</v>
      </c>
      <c r="D51" s="199">
        <v>709261</v>
      </c>
      <c r="E51" s="199">
        <v>2125361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0.58178162307099135</v>
      </c>
      <c r="D53" s="198">
        <f>IF(D38=0,0,IF(D55=0,0,(D54/D55)/D38))</f>
        <v>0.56769388709446766</v>
      </c>
      <c r="E53" s="198">
        <f>IF(E38=0,0,IF(E55=0,0,(E54/E55)/E38))</f>
        <v>0.60009478297090357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76613744</v>
      </c>
      <c r="D54" s="199">
        <v>81121874</v>
      </c>
      <c r="E54" s="199">
        <v>86871730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296723068</v>
      </c>
      <c r="D55" s="199">
        <v>320694355</v>
      </c>
      <c r="E55" s="199">
        <v>357840283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2652568.7146545909</v>
      </c>
      <c r="D57" s="88">
        <f>+D60*D38</f>
        <v>2104091.3282663003</v>
      </c>
      <c r="E57" s="88">
        <f>+E60*E38</f>
        <v>1110995.922740564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1431441</v>
      </c>
      <c r="D58" s="199">
        <v>1302183</v>
      </c>
      <c r="E58" s="199">
        <v>1893788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4545394</v>
      </c>
      <c r="D59" s="199">
        <v>3419884</v>
      </c>
      <c r="E59" s="199">
        <v>852481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5976835</v>
      </c>
      <c r="D60" s="76">
        <v>4722067</v>
      </c>
      <c r="E60" s="201">
        <v>2746269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9.9052640820615091E-3</v>
      </c>
      <c r="D62" s="202">
        <f>IF(D63=0,0,+D57/D63)</f>
        <v>7.5119430006307056E-3</v>
      </c>
      <c r="E62" s="202">
        <f>IF(E63=0,0,+E57/E63)</f>
        <v>3.8549805229623449E-3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267793841</v>
      </c>
      <c r="D63" s="199">
        <v>280099480</v>
      </c>
      <c r="E63" s="199">
        <v>288197545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0.9408811421665495</v>
      </c>
      <c r="D67" s="203">
        <f>IF(D69=0,0,D68/D69)</f>
        <v>0.5256494319502133</v>
      </c>
      <c r="E67" s="203">
        <f>IF(E69=0,0,E68/E69)</f>
        <v>0.58543420247991118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58654314</v>
      </c>
      <c r="D68" s="204">
        <v>50491652</v>
      </c>
      <c r="E68" s="204">
        <v>49405996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62339770</v>
      </c>
      <c r="D69" s="204">
        <v>96055753</v>
      </c>
      <c r="E69" s="204">
        <v>84392056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2.540924237706943</v>
      </c>
      <c r="D71" s="203">
        <f>IF((D77/365)=0,0,+D74/(D77/365))</f>
        <v>5.2962976854982333</v>
      </c>
      <c r="E71" s="203">
        <f>IF((E77/365)=0,0,+E74/(E77/365))</f>
        <v>11.233968138160296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1782072</v>
      </c>
      <c r="D72" s="183">
        <v>3850387</v>
      </c>
      <c r="E72" s="183">
        <v>8339532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1782072</v>
      </c>
      <c r="D74" s="204">
        <f>+D72+D73</f>
        <v>3850387</v>
      </c>
      <c r="E74" s="204">
        <f>+E72+E73</f>
        <v>8339532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267793841</v>
      </c>
      <c r="D75" s="204">
        <f>+D14</f>
        <v>280099480</v>
      </c>
      <c r="E75" s="204">
        <f>+E14</f>
        <v>288197545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11801840</v>
      </c>
      <c r="D76" s="204">
        <v>14745956</v>
      </c>
      <c r="E76" s="204">
        <v>17239933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255992001</v>
      </c>
      <c r="D77" s="204">
        <f>+D75-D76</f>
        <v>265353524</v>
      </c>
      <c r="E77" s="204">
        <f>+E75-E76</f>
        <v>270957612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26.895524513031312</v>
      </c>
      <c r="D79" s="203">
        <f>IF((D84/365)=0,0,+D83/(D84/365))</f>
        <v>4.5462992258196309</v>
      </c>
      <c r="E79" s="203">
        <f>IF((E84/365)=0,0,+E83/(E84/365))</f>
        <v>23.814362904775084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27453944</v>
      </c>
      <c r="D80" s="212">
        <v>30704847</v>
      </c>
      <c r="E80" s="212">
        <v>31383650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9819700</v>
      </c>
      <c r="D82" s="212">
        <v>27554100</v>
      </c>
      <c r="E82" s="212">
        <v>12264644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17634244</v>
      </c>
      <c r="D83" s="212">
        <f>+D80+D81-D82</f>
        <v>3150747</v>
      </c>
      <c r="E83" s="212">
        <f>+E80+E81-E82</f>
        <v>19119006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239314874</v>
      </c>
      <c r="D84" s="204">
        <f>+D11</f>
        <v>252957977</v>
      </c>
      <c r="E84" s="204">
        <f>+E11</f>
        <v>293034805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88.885652524744316</v>
      </c>
      <c r="D86" s="203">
        <f>IF((D90/365)=0,0,+D87/(D90/365))</f>
        <v>132.12694264049043</v>
      </c>
      <c r="E86" s="203">
        <f>IF((E90/365)=0,0,+E87/(E90/365))</f>
        <v>113.68235870044501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62339770</v>
      </c>
      <c r="D87" s="76">
        <f>+D69</f>
        <v>96055753</v>
      </c>
      <c r="E87" s="76">
        <f>+E69</f>
        <v>84392056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267793841</v>
      </c>
      <c r="D88" s="76">
        <f t="shared" si="0"/>
        <v>280099480</v>
      </c>
      <c r="E88" s="76">
        <f t="shared" si="0"/>
        <v>288197545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11801840</v>
      </c>
      <c r="D89" s="201">
        <f t="shared" si="0"/>
        <v>14745956</v>
      </c>
      <c r="E89" s="201">
        <f t="shared" si="0"/>
        <v>17239933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255992001</v>
      </c>
      <c r="D90" s="76">
        <f>+D88-D89</f>
        <v>265353524</v>
      </c>
      <c r="E90" s="76">
        <f>+E88-E89</f>
        <v>270957612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58.174859861089566</v>
      </c>
      <c r="D94" s="214">
        <f>IF(D96=0,0,(D95/D96)*100)</f>
        <v>50.984154445218245</v>
      </c>
      <c r="E94" s="214">
        <f>IF(E96=0,0,(E95/E96)*100)</f>
        <v>52.154607845448183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219132129</v>
      </c>
      <c r="D95" s="76">
        <f>+D32</f>
        <v>200601965</v>
      </c>
      <c r="E95" s="76">
        <f>+E32</f>
        <v>198249845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376678396</v>
      </c>
      <c r="D96" s="76">
        <v>393459433</v>
      </c>
      <c r="E96" s="76">
        <v>380119520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9.6670900431598028</v>
      </c>
      <c r="D98" s="214">
        <f>IF(D104=0,0,(D101/D104)*100)</f>
        <v>8.4549264170307872</v>
      </c>
      <c r="E98" s="214">
        <f>IF(E104=0,0,(E101/E104)*100)</f>
        <v>33.240265624041918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333079</v>
      </c>
      <c r="D99" s="76">
        <f>+D28</f>
        <v>-1595445</v>
      </c>
      <c r="E99" s="76">
        <f>+E28</f>
        <v>28145141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11801840</v>
      </c>
      <c r="D100" s="201">
        <f>+D76</f>
        <v>14745956</v>
      </c>
      <c r="E100" s="201">
        <f>+E76</f>
        <v>17239933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12134919</v>
      </c>
      <c r="D101" s="76">
        <f>+D99+D100</f>
        <v>13150511</v>
      </c>
      <c r="E101" s="76">
        <f>+E99+E100</f>
        <v>45385074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62339770</v>
      </c>
      <c r="D102" s="204">
        <f>+D69</f>
        <v>96055753</v>
      </c>
      <c r="E102" s="204">
        <f>+E69</f>
        <v>84392056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63188377</v>
      </c>
      <c r="D103" s="216">
        <v>59480917</v>
      </c>
      <c r="E103" s="216">
        <v>52144380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125528147</v>
      </c>
      <c r="D104" s="204">
        <f>+D102+D103</f>
        <v>155536670</v>
      </c>
      <c r="E104" s="204">
        <f>+E102+E103</f>
        <v>136536436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22.38178795273199</v>
      </c>
      <c r="D106" s="214">
        <f>IF(D109=0,0,(D107/D109)*100)</f>
        <v>22.869985345671463</v>
      </c>
      <c r="E106" s="214">
        <f>IF(E109=0,0,(E107/E109)*100)</f>
        <v>20.824913194383775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63188377</v>
      </c>
      <c r="D107" s="204">
        <f>+D103</f>
        <v>59480917</v>
      </c>
      <c r="E107" s="204">
        <f>+E103</f>
        <v>52144380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219132129</v>
      </c>
      <c r="D108" s="204">
        <f>+D32</f>
        <v>200601965</v>
      </c>
      <c r="E108" s="204">
        <f>+E32</f>
        <v>198249845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282320506</v>
      </c>
      <c r="D109" s="204">
        <f>+D107+D108</f>
        <v>260082882</v>
      </c>
      <c r="E109" s="204">
        <f>+E107+E108</f>
        <v>250394225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2.3321863311775086</v>
      </c>
      <c r="D111" s="214">
        <f>IF((+D113+D115)=0,0,((+D112+D113+D114)/(+D113+D115)))</f>
        <v>1.7523866733763616</v>
      </c>
      <c r="E111" s="214">
        <f>IF((+E113+E115)=0,0,((+E112+E113+E114)/(+E113+E115)))</f>
        <v>5.1316666677675169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333079</v>
      </c>
      <c r="D112" s="76">
        <f>+D17</f>
        <v>-1595445</v>
      </c>
      <c r="E112" s="76">
        <f>+E17</f>
        <v>28145141</v>
      </c>
    </row>
    <row r="113" spans="1:8" ht="24" customHeight="1" x14ac:dyDescent="0.2">
      <c r="A113" s="85">
        <v>17</v>
      </c>
      <c r="B113" s="75" t="s">
        <v>88</v>
      </c>
      <c r="C113" s="218">
        <v>1294274</v>
      </c>
      <c r="D113" s="76">
        <v>1231379</v>
      </c>
      <c r="E113" s="76">
        <v>1230401</v>
      </c>
    </row>
    <row r="114" spans="1:8" ht="24" customHeight="1" x14ac:dyDescent="0.2">
      <c r="A114" s="85">
        <v>18</v>
      </c>
      <c r="B114" s="75" t="s">
        <v>374</v>
      </c>
      <c r="C114" s="218">
        <v>11801840</v>
      </c>
      <c r="D114" s="76">
        <v>14745956</v>
      </c>
      <c r="E114" s="76">
        <v>17239933</v>
      </c>
    </row>
    <row r="115" spans="1:8" ht="24" customHeight="1" x14ac:dyDescent="0.2">
      <c r="A115" s="85">
        <v>19</v>
      </c>
      <c r="B115" s="75" t="s">
        <v>104</v>
      </c>
      <c r="C115" s="218">
        <v>4463925</v>
      </c>
      <c r="D115" s="76">
        <v>6975651</v>
      </c>
      <c r="E115" s="76">
        <v>7853485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8.8284777627895306</v>
      </c>
      <c r="D119" s="214">
        <f>IF(+D121=0,0,(+D120)/(+D121))</f>
        <v>8.0233384664921008</v>
      </c>
      <c r="E119" s="214">
        <f>IF(+E121=0,0,(+E120)/(+E121))</f>
        <v>7.7805334858319926</v>
      </c>
    </row>
    <row r="120" spans="1:8" ht="24" customHeight="1" x14ac:dyDescent="0.2">
      <c r="A120" s="85">
        <v>21</v>
      </c>
      <c r="B120" s="75" t="s">
        <v>378</v>
      </c>
      <c r="C120" s="218">
        <v>104192282</v>
      </c>
      <c r="D120" s="218">
        <v>118311796</v>
      </c>
      <c r="E120" s="218">
        <v>134135876</v>
      </c>
    </row>
    <row r="121" spans="1:8" ht="24" customHeight="1" x14ac:dyDescent="0.2">
      <c r="A121" s="85">
        <v>22</v>
      </c>
      <c r="B121" s="75" t="s">
        <v>374</v>
      </c>
      <c r="C121" s="218">
        <v>11801840</v>
      </c>
      <c r="D121" s="218">
        <v>14745956</v>
      </c>
      <c r="E121" s="218">
        <v>17239933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46107</v>
      </c>
      <c r="D124" s="218">
        <v>42524</v>
      </c>
      <c r="E124" s="218">
        <v>45010</v>
      </c>
    </row>
    <row r="125" spans="1:8" ht="24" customHeight="1" x14ac:dyDescent="0.2">
      <c r="A125" s="85">
        <v>2</v>
      </c>
      <c r="B125" s="75" t="s">
        <v>381</v>
      </c>
      <c r="C125" s="218">
        <v>6422</v>
      </c>
      <c r="D125" s="218">
        <v>5803</v>
      </c>
      <c r="E125" s="218">
        <v>6047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7.1795390843973843</v>
      </c>
      <c r="D126" s="219">
        <f>IF(D125=0,0,D124/D125)</f>
        <v>7.3279338273306909</v>
      </c>
      <c r="E126" s="219">
        <f>IF(E125=0,0,E124/E125)</f>
        <v>7.443360343972218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182</v>
      </c>
      <c r="E127" s="218">
        <v>182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187</v>
      </c>
      <c r="E128" s="218">
        <v>187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187</v>
      </c>
      <c r="D129" s="218">
        <v>187</v>
      </c>
      <c r="E129" s="218">
        <v>187</v>
      </c>
    </row>
    <row r="130" spans="1:7" ht="24" customHeight="1" x14ac:dyDescent="0.2">
      <c r="A130" s="85">
        <v>7</v>
      </c>
      <c r="B130" s="75" t="s">
        <v>386</v>
      </c>
      <c r="C130" s="193">
        <v>0.69399999999999995</v>
      </c>
      <c r="D130" s="193">
        <v>0.6401</v>
      </c>
      <c r="E130" s="193">
        <v>0.67749999999999999</v>
      </c>
    </row>
    <row r="131" spans="1:7" ht="24" customHeight="1" x14ac:dyDescent="0.2">
      <c r="A131" s="85">
        <v>8</v>
      </c>
      <c r="B131" s="75" t="s">
        <v>387</v>
      </c>
      <c r="C131" s="193">
        <v>0.67549999999999999</v>
      </c>
      <c r="D131" s="193">
        <v>0.623</v>
      </c>
      <c r="E131" s="193">
        <v>0.65939999999999999</v>
      </c>
    </row>
    <row r="132" spans="1:7" ht="24" customHeight="1" x14ac:dyDescent="0.2">
      <c r="A132" s="85">
        <v>9</v>
      </c>
      <c r="B132" s="75" t="s">
        <v>388</v>
      </c>
      <c r="C132" s="219">
        <v>1429.7</v>
      </c>
      <c r="D132" s="219">
        <v>1454.4</v>
      </c>
      <c r="E132" s="219">
        <v>1447.7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0.46488902462838905</v>
      </c>
      <c r="D135" s="227">
        <f>IF(D149=0,0,D143/D149)</f>
        <v>0.45060342590448271</v>
      </c>
      <c r="E135" s="227">
        <f>IF(E149=0,0,E143/E149)</f>
        <v>0.44917334018630978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1.8160744498529374E-3</v>
      </c>
      <c r="D136" s="227">
        <f>IF(D149=0,0,D144/D149)</f>
        <v>1.1886884947125828E-3</v>
      </c>
      <c r="E136" s="227">
        <f>IF(E149=0,0,E144/E149)</f>
        <v>3.1804750052508955E-3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0.51620760383787756</v>
      </c>
      <c r="D137" s="227">
        <f>IF(D149=0,0,D145/D149)</f>
        <v>0.53746884448429089</v>
      </c>
      <c r="E137" s="227">
        <f>IF(E149=0,0,E145/E149)</f>
        <v>0.53548647780466796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7.6108693763508196E-3</v>
      </c>
      <c r="D139" s="227">
        <f>IF(D149=0,0,D147/D149)</f>
        <v>5.8453824310318384E-3</v>
      </c>
      <c r="E139" s="227">
        <f>IF(E149=0,0,E147/E149)</f>
        <v>5.0109487249850931E-3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9.4764277075296433E-3</v>
      </c>
      <c r="D140" s="227">
        <f>IF(D149=0,0,D148/D149)</f>
        <v>4.8936586854819849E-3</v>
      </c>
      <c r="E140" s="227">
        <f>IF(E149=0,0,E148/E149)</f>
        <v>7.1487582787862656E-3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267224459</v>
      </c>
      <c r="D143" s="229">
        <f>+D46-D147</f>
        <v>268863910</v>
      </c>
      <c r="E143" s="229">
        <f>+E46-E147</f>
        <v>300161296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1043904</v>
      </c>
      <c r="D144" s="229">
        <f>+D51</f>
        <v>709261</v>
      </c>
      <c r="E144" s="229">
        <f>+E51</f>
        <v>2125361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296723068</v>
      </c>
      <c r="D145" s="229">
        <f>+D55</f>
        <v>320694355</v>
      </c>
      <c r="E145" s="229">
        <f>+E55</f>
        <v>357840283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4374830</v>
      </c>
      <c r="D147" s="229">
        <f>+D47</f>
        <v>3487795</v>
      </c>
      <c r="E147" s="229">
        <f>+E47</f>
        <v>3348580</v>
      </c>
    </row>
    <row r="148" spans="1:7" ht="20.100000000000001" customHeight="1" x14ac:dyDescent="0.2">
      <c r="A148" s="226">
        <v>13</v>
      </c>
      <c r="B148" s="224" t="s">
        <v>402</v>
      </c>
      <c r="C148" s="230">
        <v>5447178</v>
      </c>
      <c r="D148" s="229">
        <v>2919925</v>
      </c>
      <c r="E148" s="229">
        <v>4777177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574813439</v>
      </c>
      <c r="D149" s="229">
        <f>SUM(D143:D148)</f>
        <v>596675246</v>
      </c>
      <c r="E149" s="229">
        <f>SUM(E143:E148)</f>
        <v>668252697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0.64335790663032533</v>
      </c>
      <c r="D152" s="227">
        <f>IF(D166=0,0,D160/D166)</f>
        <v>0.6404404482015329</v>
      </c>
      <c r="E152" s="227">
        <f>IF(E166=0,0,E160/E166)</f>
        <v>0.65889065675275282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1.2020721209855119E-2</v>
      </c>
      <c r="D153" s="227">
        <f>IF(D166=0,0,D161/D166)</f>
        <v>1.1541319233020163E-2</v>
      </c>
      <c r="E153" s="227">
        <f>IF(E166=0,0,E161/E166)</f>
        <v>1.1490686421980064E-2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0.32992753309197476</v>
      </c>
      <c r="D154" s="227">
        <f>IF(D166=0,0,D162/D166)</f>
        <v>0.33695744458706656</v>
      </c>
      <c r="E154" s="227">
        <f>IF(E166=0,0,E162/E166)</f>
        <v>0.32166247705344764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3.558822980475575E-3</v>
      </c>
      <c r="D156" s="227">
        <f>IF(D166=0,0,D164/D166)</f>
        <v>6.0538996174458312E-3</v>
      </c>
      <c r="E156" s="227">
        <f>IF(E166=0,0,E164/E166)</f>
        <v>1.8152332879250391E-3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1.1135016087369189E-2</v>
      </c>
      <c r="D157" s="227">
        <f>IF(D166=0,0,D165/D166)</f>
        <v>5.0068883609346278E-3</v>
      </c>
      <c r="E157" s="227">
        <f>IF(E166=0,0,E165/E166)</f>
        <v>6.1409464838944319E-3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149396619</v>
      </c>
      <c r="D160" s="229">
        <f>+D44-D164</f>
        <v>154184839</v>
      </c>
      <c r="E160" s="229">
        <f>+E44-E164</f>
        <v>177947306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2791378</v>
      </c>
      <c r="D161" s="229">
        <f>+D50</f>
        <v>2778551</v>
      </c>
      <c r="E161" s="229">
        <f>+E50</f>
        <v>3103302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76613744</v>
      </c>
      <c r="D162" s="229">
        <f>+D54</f>
        <v>81121874</v>
      </c>
      <c r="E162" s="229">
        <f>+E54</f>
        <v>86871730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826408</v>
      </c>
      <c r="D164" s="229">
        <f>+D45</f>
        <v>1457465</v>
      </c>
      <c r="E164" s="229">
        <f>+E45</f>
        <v>490242</v>
      </c>
    </row>
    <row r="165" spans="1:6" ht="20.100000000000001" customHeight="1" x14ac:dyDescent="0.2">
      <c r="A165" s="226">
        <v>13</v>
      </c>
      <c r="B165" s="224" t="s">
        <v>417</v>
      </c>
      <c r="C165" s="230">
        <v>2585705</v>
      </c>
      <c r="D165" s="229">
        <v>1205399</v>
      </c>
      <c r="E165" s="229">
        <v>1658492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232213854</v>
      </c>
      <c r="D166" s="229">
        <f>SUM(D160:D165)</f>
        <v>240748128</v>
      </c>
      <c r="E166" s="229">
        <f>SUM(E160:E165)</f>
        <v>270071072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2975</v>
      </c>
      <c r="D169" s="218">
        <v>2598</v>
      </c>
      <c r="E169" s="218">
        <v>2549</v>
      </c>
    </row>
    <row r="170" spans="1:6" ht="20.100000000000001" customHeight="1" x14ac:dyDescent="0.2">
      <c r="A170" s="226">
        <v>2</v>
      </c>
      <c r="B170" s="224" t="s">
        <v>420</v>
      </c>
      <c r="C170" s="218">
        <v>20</v>
      </c>
      <c r="D170" s="218">
        <v>9</v>
      </c>
      <c r="E170" s="218">
        <v>20</v>
      </c>
    </row>
    <row r="171" spans="1:6" ht="20.100000000000001" customHeight="1" x14ac:dyDescent="0.2">
      <c r="A171" s="226">
        <v>3</v>
      </c>
      <c r="B171" s="224" t="s">
        <v>421</v>
      </c>
      <c r="C171" s="218">
        <v>3357</v>
      </c>
      <c r="D171" s="218">
        <v>3153</v>
      </c>
      <c r="E171" s="218">
        <v>3430</v>
      </c>
    </row>
    <row r="172" spans="1:6" ht="20.100000000000001" customHeight="1" x14ac:dyDescent="0.2">
      <c r="A172" s="226">
        <v>4</v>
      </c>
      <c r="B172" s="224" t="s">
        <v>422</v>
      </c>
      <c r="C172" s="218">
        <v>3357</v>
      </c>
      <c r="D172" s="218">
        <v>3153</v>
      </c>
      <c r="E172" s="218">
        <v>3430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70</v>
      </c>
      <c r="D174" s="218">
        <v>43</v>
      </c>
      <c r="E174" s="218">
        <v>48</v>
      </c>
    </row>
    <row r="175" spans="1:6" ht="20.100000000000001" customHeight="1" x14ac:dyDescent="0.2">
      <c r="A175" s="226">
        <v>7</v>
      </c>
      <c r="B175" s="224" t="s">
        <v>425</v>
      </c>
      <c r="C175" s="218">
        <v>47</v>
      </c>
      <c r="D175" s="218">
        <v>34</v>
      </c>
      <c r="E175" s="218">
        <v>20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6422</v>
      </c>
      <c r="D176" s="218">
        <f>+D169+D170+D171+D174</f>
        <v>5803</v>
      </c>
      <c r="E176" s="218">
        <f>+E169+E170+E171+E174</f>
        <v>6047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1.6778</v>
      </c>
      <c r="D179" s="231">
        <v>1.8827</v>
      </c>
      <c r="E179" s="231">
        <v>1.8512999999999999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1.7544999999999999</v>
      </c>
      <c r="D180" s="231">
        <v>1.038</v>
      </c>
      <c r="E180" s="231">
        <v>1.4275</v>
      </c>
    </row>
    <row r="181" spans="1:6" ht="20.100000000000001" customHeight="1" x14ac:dyDescent="0.2">
      <c r="A181" s="226">
        <v>3</v>
      </c>
      <c r="B181" s="224" t="s">
        <v>421</v>
      </c>
      <c r="C181" s="231">
        <v>1.5775999999999999</v>
      </c>
      <c r="D181" s="231">
        <v>1.7053</v>
      </c>
      <c r="E181" s="231">
        <v>1.6950000000000001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1.5775999999999999</v>
      </c>
      <c r="D182" s="231">
        <v>1.7053</v>
      </c>
      <c r="E182" s="231">
        <v>1.6950000000000001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1.4213</v>
      </c>
      <c r="D184" s="231">
        <v>1.1034999999999999</v>
      </c>
      <c r="E184" s="231">
        <v>1.6104000000000001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1.2221</v>
      </c>
      <c r="D185" s="231">
        <v>1.0401</v>
      </c>
      <c r="E185" s="231">
        <v>1.4956</v>
      </c>
    </row>
    <row r="186" spans="1:6" ht="20.100000000000001" customHeight="1" x14ac:dyDescent="0.2">
      <c r="A186" s="226">
        <v>8</v>
      </c>
      <c r="B186" s="224" t="s">
        <v>429</v>
      </c>
      <c r="C186" s="231">
        <v>1.622865</v>
      </c>
      <c r="D186" s="231">
        <v>1.7792269999999999</v>
      </c>
      <c r="E186" s="231">
        <v>1.7593289999999999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3299</v>
      </c>
      <c r="D189" s="218">
        <v>2972</v>
      </c>
      <c r="E189" s="218">
        <v>3092</v>
      </c>
    </row>
    <row r="190" spans="1:6" ht="20.100000000000001" customHeight="1" x14ac:dyDescent="0.2">
      <c r="A190" s="226">
        <v>2</v>
      </c>
      <c r="B190" s="224" t="s">
        <v>433</v>
      </c>
      <c r="C190" s="218">
        <v>52341</v>
      </c>
      <c r="D190" s="218">
        <v>51438</v>
      </c>
      <c r="E190" s="218">
        <v>53740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55640</v>
      </c>
      <c r="D191" s="218">
        <f>+D190+D189</f>
        <v>54410</v>
      </c>
      <c r="E191" s="218">
        <f>+E190+E189</f>
        <v>56832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FILING&amp;RCT CHILDREN`S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0</v>
      </c>
      <c r="D40" s="258">
        <v>0</v>
      </c>
      <c r="E40" s="258">
        <f t="shared" ref="E40:E50" si="4">D40-C40</f>
        <v>0</v>
      </c>
      <c r="F40" s="259">
        <f t="shared" ref="F40:F50" si="5">IF(C40=0,0,E40/C40)</f>
        <v>0</v>
      </c>
    </row>
    <row r="41" spans="1:6" ht="20.25" customHeight="1" x14ac:dyDescent="0.3">
      <c r="A41" s="256">
        <v>2</v>
      </c>
      <c r="B41" s="257" t="s">
        <v>442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3</v>
      </c>
      <c r="B42" s="257" t="s">
        <v>443</v>
      </c>
      <c r="C42" s="258">
        <v>0</v>
      </c>
      <c r="D42" s="258">
        <v>0</v>
      </c>
      <c r="E42" s="258">
        <f t="shared" si="4"/>
        <v>0</v>
      </c>
      <c r="F42" s="259">
        <f t="shared" si="5"/>
        <v>0</v>
      </c>
    </row>
    <row r="43" spans="1:6" ht="20.25" customHeight="1" x14ac:dyDescent="0.3">
      <c r="A43" s="256">
        <v>4</v>
      </c>
      <c r="B43" s="257" t="s">
        <v>444</v>
      </c>
      <c r="C43" s="258">
        <v>0</v>
      </c>
      <c r="D43" s="258">
        <v>0</v>
      </c>
      <c r="E43" s="258">
        <f t="shared" si="4"/>
        <v>0</v>
      </c>
      <c r="F43" s="259">
        <f t="shared" si="5"/>
        <v>0</v>
      </c>
    </row>
    <row r="44" spans="1:6" ht="20.25" customHeight="1" x14ac:dyDescent="0.3">
      <c r="A44" s="256">
        <v>5</v>
      </c>
      <c r="B44" s="257" t="s">
        <v>381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7</v>
      </c>
      <c r="B46" s="257" t="s">
        <v>445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ht="20.25" customHeight="1" x14ac:dyDescent="0.3">
      <c r="A47" s="256">
        <v>8</v>
      </c>
      <c r="B47" s="257" t="s">
        <v>446</v>
      </c>
      <c r="C47" s="260">
        <v>0</v>
      </c>
      <c r="D47" s="260">
        <v>0</v>
      </c>
      <c r="E47" s="260">
        <f t="shared" si="4"/>
        <v>0</v>
      </c>
      <c r="F47" s="259">
        <f t="shared" si="5"/>
        <v>0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0</v>
      </c>
      <c r="D49" s="263">
        <f>+D40+D42</f>
        <v>0</v>
      </c>
      <c r="E49" s="263">
        <f t="shared" si="4"/>
        <v>0</v>
      </c>
      <c r="F49" s="264">
        <f t="shared" si="5"/>
        <v>0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0</v>
      </c>
      <c r="D50" s="263">
        <f>+D41+D43</f>
        <v>0</v>
      </c>
      <c r="E50" s="263">
        <f t="shared" si="4"/>
        <v>0</v>
      </c>
      <c r="F50" s="264">
        <f t="shared" si="5"/>
        <v>0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0</v>
      </c>
      <c r="D198" s="263">
        <f t="shared" si="28"/>
        <v>0</v>
      </c>
      <c r="E198" s="263">
        <f t="shared" ref="E198:E208" si="29">D198-C198</f>
        <v>0</v>
      </c>
      <c r="F198" s="273">
        <f t="shared" ref="F198:F208" si="30">IF(C198=0,0,E198/C198)</f>
        <v>0</v>
      </c>
    </row>
    <row r="199" spans="1:9" ht="20.25" customHeight="1" x14ac:dyDescent="0.3">
      <c r="A199" s="271"/>
      <c r="B199" s="272" t="s">
        <v>466</v>
      </c>
      <c r="C199" s="263">
        <f t="shared" si="28"/>
        <v>0</v>
      </c>
      <c r="D199" s="263">
        <f t="shared" si="28"/>
        <v>0</v>
      </c>
      <c r="E199" s="263">
        <f t="shared" si="29"/>
        <v>0</v>
      </c>
      <c r="F199" s="273">
        <f t="shared" si="30"/>
        <v>0</v>
      </c>
    </row>
    <row r="200" spans="1:9" ht="20.25" customHeight="1" x14ac:dyDescent="0.3">
      <c r="A200" s="271"/>
      <c r="B200" s="272" t="s">
        <v>467</v>
      </c>
      <c r="C200" s="263">
        <f t="shared" si="28"/>
        <v>0</v>
      </c>
      <c r="D200" s="263">
        <f t="shared" si="28"/>
        <v>0</v>
      </c>
      <c r="E200" s="263">
        <f t="shared" si="29"/>
        <v>0</v>
      </c>
      <c r="F200" s="273">
        <f t="shared" si="30"/>
        <v>0</v>
      </c>
    </row>
    <row r="201" spans="1:9" ht="20.25" customHeight="1" x14ac:dyDescent="0.3">
      <c r="A201" s="271"/>
      <c r="B201" s="272" t="s">
        <v>468</v>
      </c>
      <c r="C201" s="263">
        <f t="shared" si="28"/>
        <v>0</v>
      </c>
      <c r="D201" s="263">
        <f t="shared" si="28"/>
        <v>0</v>
      </c>
      <c r="E201" s="263">
        <f t="shared" si="29"/>
        <v>0</v>
      </c>
      <c r="F201" s="273">
        <f t="shared" si="30"/>
        <v>0</v>
      </c>
    </row>
    <row r="202" spans="1:9" ht="20.25" customHeight="1" x14ac:dyDescent="0.3">
      <c r="A202" s="271"/>
      <c r="B202" s="272" t="s">
        <v>138</v>
      </c>
      <c r="C202" s="274">
        <f t="shared" si="28"/>
        <v>0</v>
      </c>
      <c r="D202" s="274">
        <f t="shared" si="28"/>
        <v>0</v>
      </c>
      <c r="E202" s="274">
        <f t="shared" si="29"/>
        <v>0</v>
      </c>
      <c r="F202" s="273">
        <f t="shared" si="30"/>
        <v>0</v>
      </c>
    </row>
    <row r="203" spans="1:9" ht="20.25" customHeight="1" x14ac:dyDescent="0.3">
      <c r="A203" s="271"/>
      <c r="B203" s="272" t="s">
        <v>140</v>
      </c>
      <c r="C203" s="274">
        <f t="shared" si="28"/>
        <v>0</v>
      </c>
      <c r="D203" s="274">
        <f t="shared" si="28"/>
        <v>0</v>
      </c>
      <c r="E203" s="274">
        <f t="shared" si="29"/>
        <v>0</v>
      </c>
      <c r="F203" s="273">
        <f t="shared" si="30"/>
        <v>0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0</v>
      </c>
      <c r="D204" s="274">
        <f t="shared" si="28"/>
        <v>0</v>
      </c>
      <c r="E204" s="274">
        <f t="shared" si="29"/>
        <v>0</v>
      </c>
      <c r="F204" s="273">
        <f t="shared" si="30"/>
        <v>0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0</v>
      </c>
      <c r="D205" s="274">
        <f t="shared" si="28"/>
        <v>0</v>
      </c>
      <c r="E205" s="274">
        <f t="shared" si="29"/>
        <v>0</v>
      </c>
      <c r="F205" s="273">
        <f t="shared" si="30"/>
        <v>0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0</v>
      </c>
      <c r="D207" s="263">
        <f>+D198+D200</f>
        <v>0</v>
      </c>
      <c r="E207" s="263">
        <f t="shared" si="29"/>
        <v>0</v>
      </c>
      <c r="F207" s="273">
        <f t="shared" si="30"/>
        <v>0</v>
      </c>
    </row>
    <row r="208" spans="1:9" ht="20.25" customHeight="1" x14ac:dyDescent="0.3">
      <c r="A208" s="271"/>
      <c r="B208" s="262" t="s">
        <v>472</v>
      </c>
      <c r="C208" s="263">
        <f>+C199+C201</f>
        <v>0</v>
      </c>
      <c r="D208" s="263">
        <f>+D199+D201</f>
        <v>0</v>
      </c>
      <c r="E208" s="263">
        <f t="shared" si="29"/>
        <v>0</v>
      </c>
      <c r="F208" s="273">
        <f t="shared" si="30"/>
        <v>0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FILING&amp;RCT CHILDREN`S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FILING&amp;RCT CHILDREN`S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6660856</v>
      </c>
      <c r="D13" s="22">
        <v>11576841</v>
      </c>
      <c r="E13" s="22">
        <f t="shared" ref="E13:E22" si="0">D13-C13</f>
        <v>4915985</v>
      </c>
      <c r="F13" s="306">
        <f t="shared" ref="F13:F22" si="1">IF(C13=0,0,E13/C13)</f>
        <v>0.73804102655874859</v>
      </c>
    </row>
    <row r="14" spans="1:8" ht="24" customHeight="1" x14ac:dyDescent="0.2">
      <c r="A14" s="304">
        <v>2</v>
      </c>
      <c r="B14" s="305" t="s">
        <v>17</v>
      </c>
      <c r="C14" s="22">
        <v>11232933</v>
      </c>
      <c r="D14" s="22">
        <v>2402355</v>
      </c>
      <c r="E14" s="22">
        <f t="shared" si="0"/>
        <v>-8830578</v>
      </c>
      <c r="F14" s="306">
        <f t="shared" si="1"/>
        <v>-0.78613288265851844</v>
      </c>
    </row>
    <row r="15" spans="1:8" ht="35.1" customHeight="1" x14ac:dyDescent="0.2">
      <c r="A15" s="304">
        <v>3</v>
      </c>
      <c r="B15" s="305" t="s">
        <v>18</v>
      </c>
      <c r="C15" s="22">
        <v>39656117</v>
      </c>
      <c r="D15" s="22">
        <v>38599255</v>
      </c>
      <c r="E15" s="22">
        <f t="shared" si="0"/>
        <v>-1056862</v>
      </c>
      <c r="F15" s="306">
        <f t="shared" si="1"/>
        <v>-2.66506677897889E-2</v>
      </c>
    </row>
    <row r="16" spans="1:8" ht="35.1" customHeight="1" x14ac:dyDescent="0.2">
      <c r="A16" s="304">
        <v>4</v>
      </c>
      <c r="B16" s="305" t="s">
        <v>19</v>
      </c>
      <c r="C16" s="22">
        <v>5021620</v>
      </c>
      <c r="D16" s="22">
        <v>435186</v>
      </c>
      <c r="E16" s="22">
        <f t="shared" si="0"/>
        <v>-4586434</v>
      </c>
      <c r="F16" s="306">
        <f t="shared" si="1"/>
        <v>-0.91333752852665073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1389353</v>
      </c>
      <c r="D19" s="22">
        <v>1443429</v>
      </c>
      <c r="E19" s="22">
        <f t="shared" si="0"/>
        <v>54076</v>
      </c>
      <c r="F19" s="306">
        <f t="shared" si="1"/>
        <v>3.892171392007647E-2</v>
      </c>
    </row>
    <row r="20" spans="1:11" ht="24" customHeight="1" x14ac:dyDescent="0.2">
      <c r="A20" s="304">
        <v>8</v>
      </c>
      <c r="B20" s="305" t="s">
        <v>23</v>
      </c>
      <c r="C20" s="22">
        <v>1710411</v>
      </c>
      <c r="D20" s="22">
        <v>876320</v>
      </c>
      <c r="E20" s="22">
        <f t="shared" si="0"/>
        <v>-834091</v>
      </c>
      <c r="F20" s="306">
        <f t="shared" si="1"/>
        <v>-0.48765530623926062</v>
      </c>
    </row>
    <row r="21" spans="1:11" ht="24" customHeight="1" x14ac:dyDescent="0.2">
      <c r="A21" s="304">
        <v>9</v>
      </c>
      <c r="B21" s="305" t="s">
        <v>24</v>
      </c>
      <c r="C21" s="22">
        <v>12153939</v>
      </c>
      <c r="D21" s="22">
        <v>10767590</v>
      </c>
      <c r="E21" s="22">
        <f t="shared" si="0"/>
        <v>-1386349</v>
      </c>
      <c r="F21" s="306">
        <f t="shared" si="1"/>
        <v>-0.11406581849719667</v>
      </c>
    </row>
    <row r="22" spans="1:11" ht="24" customHeight="1" x14ac:dyDescent="0.25">
      <c r="A22" s="307"/>
      <c r="B22" s="308" t="s">
        <v>25</v>
      </c>
      <c r="C22" s="309">
        <f>SUM(C13:C21)</f>
        <v>77825229</v>
      </c>
      <c r="D22" s="309">
        <f>SUM(D13:D21)</f>
        <v>66100976</v>
      </c>
      <c r="E22" s="309">
        <f t="shared" si="0"/>
        <v>-11724253</v>
      </c>
      <c r="F22" s="310">
        <f t="shared" si="1"/>
        <v>-0.15064848700927047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82885871</v>
      </c>
      <c r="D25" s="22">
        <v>75285353</v>
      </c>
      <c r="E25" s="22">
        <f>D25-C25</f>
        <v>-7600518</v>
      </c>
      <c r="F25" s="306">
        <f>IF(C25=0,0,E25/C25)</f>
        <v>-9.1698596012823458E-2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82885871</v>
      </c>
      <c r="D29" s="309">
        <f>SUM(D25:D28)</f>
        <v>75285353</v>
      </c>
      <c r="E29" s="309">
        <f>D29-C29</f>
        <v>-7600518</v>
      </c>
      <c r="F29" s="310">
        <f>IF(C29=0,0,E29/C29)</f>
        <v>-9.1698596012823458E-2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115153581</v>
      </c>
      <c r="D32" s="22">
        <v>109844911</v>
      </c>
      <c r="E32" s="22">
        <f>D32-C32</f>
        <v>-5308670</v>
      </c>
      <c r="F32" s="306">
        <f>IF(C32=0,0,E32/C32)</f>
        <v>-4.6100780834596886E-2</v>
      </c>
    </row>
    <row r="33" spans="1:8" ht="24" customHeight="1" x14ac:dyDescent="0.2">
      <c r="A33" s="304">
        <v>7</v>
      </c>
      <c r="B33" s="305" t="s">
        <v>35</v>
      </c>
      <c r="C33" s="22">
        <v>30495913</v>
      </c>
      <c r="D33" s="22">
        <v>36218266</v>
      </c>
      <c r="E33" s="22">
        <f>D33-C33</f>
        <v>5722353</v>
      </c>
      <c r="F33" s="306">
        <f>IF(C33=0,0,E33/C33)</f>
        <v>0.1876432753464374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247665809</v>
      </c>
      <c r="D36" s="22">
        <v>260460768</v>
      </c>
      <c r="E36" s="22">
        <f>D36-C36</f>
        <v>12794959</v>
      </c>
      <c r="F36" s="306">
        <f>IF(C36=0,0,E36/C36)</f>
        <v>5.1662193710396251E-2</v>
      </c>
    </row>
    <row r="37" spans="1:8" ht="24" customHeight="1" x14ac:dyDescent="0.2">
      <c r="A37" s="304">
        <v>2</v>
      </c>
      <c r="B37" s="305" t="s">
        <v>39</v>
      </c>
      <c r="C37" s="22">
        <v>123858803</v>
      </c>
      <c r="D37" s="22">
        <v>139382925</v>
      </c>
      <c r="E37" s="22">
        <f>D37-C37</f>
        <v>15524122</v>
      </c>
      <c r="F37" s="22">
        <f>IF(C37=0,0,E37/C37)</f>
        <v>0.12533725196746814</v>
      </c>
    </row>
    <row r="38" spans="1:8" ht="24" customHeight="1" x14ac:dyDescent="0.25">
      <c r="A38" s="307"/>
      <c r="B38" s="308" t="s">
        <v>40</v>
      </c>
      <c r="C38" s="309">
        <f>C36-C37</f>
        <v>123807006</v>
      </c>
      <c r="D38" s="309">
        <f>D36-D37</f>
        <v>121077843</v>
      </c>
      <c r="E38" s="309">
        <f>D38-C38</f>
        <v>-2729163</v>
      </c>
      <c r="F38" s="310">
        <f>IF(C38=0,0,E38/C38)</f>
        <v>-2.2043687899213071E-2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16921791</v>
      </c>
      <c r="D40" s="22">
        <v>13845701</v>
      </c>
      <c r="E40" s="22">
        <f>D40-C40</f>
        <v>-3076090</v>
      </c>
      <c r="F40" s="306">
        <f>IF(C40=0,0,E40/C40)</f>
        <v>-0.18178276755693296</v>
      </c>
    </row>
    <row r="41" spans="1:8" ht="24" customHeight="1" x14ac:dyDescent="0.25">
      <c r="A41" s="307"/>
      <c r="B41" s="308" t="s">
        <v>42</v>
      </c>
      <c r="C41" s="309">
        <f>+C38+C40</f>
        <v>140728797</v>
      </c>
      <c r="D41" s="309">
        <f>+D38+D40</f>
        <v>134923544</v>
      </c>
      <c r="E41" s="309">
        <f>D41-C41</f>
        <v>-5805253</v>
      </c>
      <c r="F41" s="310">
        <f>IF(C41=0,0,E41/C41)</f>
        <v>-4.1251350993926281E-2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447089391</v>
      </c>
      <c r="D43" s="309">
        <f>D22+D29+D31+D32+D33+D41</f>
        <v>422373050</v>
      </c>
      <c r="E43" s="309">
        <f>D43-C43</f>
        <v>-24716341</v>
      </c>
      <c r="F43" s="310">
        <f>IF(C43=0,0,E43/C43)</f>
        <v>-5.5282772299108301E-2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46888207</v>
      </c>
      <c r="D49" s="22">
        <v>40741309</v>
      </c>
      <c r="E49" s="22">
        <f t="shared" ref="E49:E56" si="2">D49-C49</f>
        <v>-6146898</v>
      </c>
      <c r="F49" s="306">
        <f t="shared" ref="F49:F56" si="3">IF(C49=0,0,E49/C49)</f>
        <v>-0.13109688753933371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19785007</v>
      </c>
      <c r="D50" s="22">
        <v>22370710</v>
      </c>
      <c r="E50" s="22">
        <f t="shared" si="2"/>
        <v>2585703</v>
      </c>
      <c r="F50" s="306">
        <f t="shared" si="3"/>
        <v>0.13069002199493787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33564770</v>
      </c>
      <c r="D51" s="22">
        <v>20369039</v>
      </c>
      <c r="E51" s="22">
        <f t="shared" si="2"/>
        <v>-13195731</v>
      </c>
      <c r="F51" s="306">
        <f t="shared" si="3"/>
        <v>-0.39314230367137926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1350000</v>
      </c>
      <c r="D53" s="22">
        <v>1415000</v>
      </c>
      <c r="E53" s="22">
        <f t="shared" si="2"/>
        <v>65000</v>
      </c>
      <c r="F53" s="306">
        <f t="shared" si="3"/>
        <v>4.8148148148148148E-2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6189100</v>
      </c>
      <c r="D54" s="22">
        <v>5918464</v>
      </c>
      <c r="E54" s="22">
        <f t="shared" si="2"/>
        <v>-270636</v>
      </c>
      <c r="F54" s="306">
        <f t="shared" si="3"/>
        <v>-4.3727844113037435E-2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64013</v>
      </c>
      <c r="D55" s="22">
        <v>58357</v>
      </c>
      <c r="E55" s="22">
        <f t="shared" si="2"/>
        <v>-5656</v>
      </c>
      <c r="F55" s="306">
        <f t="shared" si="3"/>
        <v>-8.835705247371628E-2</v>
      </c>
    </row>
    <row r="56" spans="1:6" ht="24" customHeight="1" x14ac:dyDescent="0.25">
      <c r="A56" s="307"/>
      <c r="B56" s="308" t="s">
        <v>54</v>
      </c>
      <c r="C56" s="309">
        <f>SUM(C49:C55)</f>
        <v>107841097</v>
      </c>
      <c r="D56" s="309">
        <f>SUM(D49:D55)</f>
        <v>90872879</v>
      </c>
      <c r="E56" s="309">
        <f t="shared" si="2"/>
        <v>-16968218</v>
      </c>
      <c r="F56" s="310">
        <f t="shared" si="3"/>
        <v>-0.15734463457841125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36685000</v>
      </c>
      <c r="D59" s="22">
        <v>35269625</v>
      </c>
      <c r="E59" s="22">
        <f>D59-C59</f>
        <v>-1415375</v>
      </c>
      <c r="F59" s="306">
        <f>IF(C59=0,0,E59/C59)</f>
        <v>-3.8581845440915905E-2</v>
      </c>
    </row>
    <row r="60" spans="1:6" ht="24" customHeight="1" x14ac:dyDescent="0.2">
      <c r="A60" s="304">
        <v>2</v>
      </c>
      <c r="B60" s="305" t="s">
        <v>57</v>
      </c>
      <c r="C60" s="22">
        <v>22855716</v>
      </c>
      <c r="D60" s="22">
        <v>16920593</v>
      </c>
      <c r="E60" s="22">
        <f>D60-C60</f>
        <v>-5935123</v>
      </c>
      <c r="F60" s="306">
        <f>IF(C60=0,0,E60/C60)</f>
        <v>-0.25967784163926433</v>
      </c>
    </row>
    <row r="61" spans="1:6" ht="24" customHeight="1" x14ac:dyDescent="0.25">
      <c r="A61" s="307"/>
      <c r="B61" s="308" t="s">
        <v>58</v>
      </c>
      <c r="C61" s="309">
        <f>SUM(C59:C60)</f>
        <v>59540716</v>
      </c>
      <c r="D61" s="309">
        <f>SUM(D59:D60)</f>
        <v>52190218</v>
      </c>
      <c r="E61" s="309">
        <f>D61-C61</f>
        <v>-7350498</v>
      </c>
      <c r="F61" s="310">
        <f>IF(C61=0,0,E61/C61)</f>
        <v>-0.12345330210674658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11770096</v>
      </c>
      <c r="D63" s="22">
        <v>19397464</v>
      </c>
      <c r="E63" s="22">
        <f>D63-C63</f>
        <v>7627368</v>
      </c>
      <c r="F63" s="306">
        <f>IF(C63=0,0,E63/C63)</f>
        <v>0.64802937885978162</v>
      </c>
    </row>
    <row r="64" spans="1:6" ht="24" customHeight="1" x14ac:dyDescent="0.2">
      <c r="A64" s="304">
        <v>4</v>
      </c>
      <c r="B64" s="305" t="s">
        <v>60</v>
      </c>
      <c r="C64" s="22">
        <v>35250131</v>
      </c>
      <c r="D64" s="22">
        <v>36301435</v>
      </c>
      <c r="E64" s="22">
        <f>D64-C64</f>
        <v>1051304</v>
      </c>
      <c r="F64" s="306">
        <f>IF(C64=0,0,E64/C64)</f>
        <v>2.9824116114632312E-2</v>
      </c>
    </row>
    <row r="65" spans="1:6" ht="24" customHeight="1" x14ac:dyDescent="0.25">
      <c r="A65" s="307"/>
      <c r="B65" s="308" t="s">
        <v>61</v>
      </c>
      <c r="C65" s="309">
        <f>SUM(C61:C64)</f>
        <v>106560943</v>
      </c>
      <c r="D65" s="309">
        <f>SUM(D61:D64)</f>
        <v>107889117</v>
      </c>
      <c r="E65" s="309">
        <f>D65-C65</f>
        <v>1328174</v>
      </c>
      <c r="F65" s="310">
        <f>IF(C65=0,0,E65/C65)</f>
        <v>1.2463985045627833E-2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106219054</v>
      </c>
      <c r="D70" s="22">
        <v>100983261</v>
      </c>
      <c r="E70" s="22">
        <f>D70-C70</f>
        <v>-5235793</v>
      </c>
      <c r="F70" s="306">
        <f>IF(C70=0,0,E70/C70)</f>
        <v>-4.9292408497631696E-2</v>
      </c>
    </row>
    <row r="71" spans="1:6" ht="24" customHeight="1" x14ac:dyDescent="0.2">
      <c r="A71" s="304">
        <v>2</v>
      </c>
      <c r="B71" s="305" t="s">
        <v>65</v>
      </c>
      <c r="C71" s="22">
        <v>26244572</v>
      </c>
      <c r="D71" s="22">
        <v>29505870</v>
      </c>
      <c r="E71" s="22">
        <f>D71-C71</f>
        <v>3261298</v>
      </c>
      <c r="F71" s="306">
        <f>IF(C71=0,0,E71/C71)</f>
        <v>0.12426561957268725</v>
      </c>
    </row>
    <row r="72" spans="1:6" ht="24" customHeight="1" x14ac:dyDescent="0.2">
      <c r="A72" s="304">
        <v>3</v>
      </c>
      <c r="B72" s="305" t="s">
        <v>66</v>
      </c>
      <c r="C72" s="22">
        <v>100223725</v>
      </c>
      <c r="D72" s="22">
        <v>93121923</v>
      </c>
      <c r="E72" s="22">
        <f>D72-C72</f>
        <v>-7101802</v>
      </c>
      <c r="F72" s="306">
        <f>IF(C72=0,0,E72/C72)</f>
        <v>-7.0859489606877019E-2</v>
      </c>
    </row>
    <row r="73" spans="1:6" ht="24" customHeight="1" x14ac:dyDescent="0.25">
      <c r="A73" s="304"/>
      <c r="B73" s="308" t="s">
        <v>67</v>
      </c>
      <c r="C73" s="309">
        <f>SUM(C70:C72)</f>
        <v>232687351</v>
      </c>
      <c r="D73" s="309">
        <f>SUM(D70:D72)</f>
        <v>223611054</v>
      </c>
      <c r="E73" s="309">
        <f>D73-C73</f>
        <v>-9076297</v>
      </c>
      <c r="F73" s="310">
        <f>IF(C73=0,0,E73/C73)</f>
        <v>-3.9006404778745361E-2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447089391</v>
      </c>
      <c r="D75" s="309">
        <f>D56+D65+D67+D73</f>
        <v>422373050</v>
      </c>
      <c r="E75" s="309">
        <f>D75-C75</f>
        <v>-24716341</v>
      </c>
      <c r="F75" s="310">
        <f>IF(C75=0,0,E75/C75)</f>
        <v>-5.5282772299108301E-2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FILING&amp;RCCMC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702777015</v>
      </c>
      <c r="D11" s="76">
        <v>779425997</v>
      </c>
      <c r="E11" s="76">
        <f t="shared" ref="E11:E20" si="0">D11-C11</f>
        <v>76648982</v>
      </c>
      <c r="F11" s="77">
        <f t="shared" ref="F11:F20" si="1">IF(C11=0,0,E11/C11)</f>
        <v>0.10906586351575542</v>
      </c>
    </row>
    <row r="12" spans="1:7" ht="23.1" customHeight="1" x14ac:dyDescent="0.2">
      <c r="A12" s="74">
        <v>2</v>
      </c>
      <c r="B12" s="75" t="s">
        <v>72</v>
      </c>
      <c r="C12" s="76">
        <v>387252545</v>
      </c>
      <c r="D12" s="76">
        <v>429248437</v>
      </c>
      <c r="E12" s="76">
        <f t="shared" si="0"/>
        <v>41995892</v>
      </c>
      <c r="F12" s="77">
        <f t="shared" si="1"/>
        <v>0.10844574823904643</v>
      </c>
    </row>
    <row r="13" spans="1:7" ht="23.1" customHeight="1" x14ac:dyDescent="0.2">
      <c r="A13" s="74">
        <v>3</v>
      </c>
      <c r="B13" s="75" t="s">
        <v>73</v>
      </c>
      <c r="C13" s="76">
        <v>1531966</v>
      </c>
      <c r="D13" s="76">
        <v>2258042</v>
      </c>
      <c r="E13" s="76">
        <f t="shared" si="0"/>
        <v>726076</v>
      </c>
      <c r="F13" s="77">
        <f t="shared" si="1"/>
        <v>0.47395046626361159</v>
      </c>
    </row>
    <row r="14" spans="1:7" ht="23.1" customHeight="1" x14ac:dyDescent="0.2">
      <c r="A14" s="74">
        <v>4</v>
      </c>
      <c r="B14" s="75" t="s">
        <v>74</v>
      </c>
      <c r="C14" s="76">
        <v>4573990</v>
      </c>
      <c r="D14" s="76">
        <v>4149047</v>
      </c>
      <c r="E14" s="76">
        <f t="shared" si="0"/>
        <v>-424943</v>
      </c>
      <c r="F14" s="77">
        <f t="shared" si="1"/>
        <v>-9.2904225850952885E-2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309418514</v>
      </c>
      <c r="D15" s="79">
        <f>D11-D12-D13-D14</f>
        <v>343770471</v>
      </c>
      <c r="E15" s="79">
        <f t="shared" si="0"/>
        <v>34351957</v>
      </c>
      <c r="F15" s="80">
        <f t="shared" si="1"/>
        <v>0.11102101343554381</v>
      </c>
    </row>
    <row r="16" spans="1:7" ht="23.1" customHeight="1" x14ac:dyDescent="0.2">
      <c r="A16" s="74">
        <v>5</v>
      </c>
      <c r="B16" s="75" t="s">
        <v>76</v>
      </c>
      <c r="C16" s="76">
        <v>4813073</v>
      </c>
      <c r="D16" s="76">
        <v>2520081</v>
      </c>
      <c r="E16" s="76">
        <f t="shared" si="0"/>
        <v>-2292992</v>
      </c>
      <c r="F16" s="77">
        <f t="shared" si="1"/>
        <v>-0.47640914650577709</v>
      </c>
      <c r="G16" s="65"/>
    </row>
    <row r="17" spans="1:7" ht="31.5" customHeight="1" x14ac:dyDescent="0.25">
      <c r="A17" s="71"/>
      <c r="B17" s="81" t="s">
        <v>77</v>
      </c>
      <c r="C17" s="79">
        <f>C15-C16</f>
        <v>304605441</v>
      </c>
      <c r="D17" s="79">
        <f>D15-D16</f>
        <v>341250390</v>
      </c>
      <c r="E17" s="79">
        <f t="shared" si="0"/>
        <v>36644949</v>
      </c>
      <c r="F17" s="80">
        <f t="shared" si="1"/>
        <v>0.12030300207276994</v>
      </c>
    </row>
    <row r="18" spans="1:7" ht="23.1" customHeight="1" x14ac:dyDescent="0.2">
      <c r="A18" s="74">
        <v>6</v>
      </c>
      <c r="B18" s="75" t="s">
        <v>78</v>
      </c>
      <c r="C18" s="76">
        <v>19385792</v>
      </c>
      <c r="D18" s="76">
        <v>23356749</v>
      </c>
      <c r="E18" s="76">
        <f t="shared" si="0"/>
        <v>3970957</v>
      </c>
      <c r="F18" s="77">
        <f t="shared" si="1"/>
        <v>0.20483852297600222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13856995</v>
      </c>
      <c r="D19" s="76">
        <v>15762598</v>
      </c>
      <c r="E19" s="76">
        <f t="shared" si="0"/>
        <v>1905603</v>
      </c>
      <c r="F19" s="77">
        <f t="shared" si="1"/>
        <v>0.13751920961218503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337848228</v>
      </c>
      <c r="D20" s="79">
        <f>SUM(D17:D19)</f>
        <v>380369737</v>
      </c>
      <c r="E20" s="79">
        <f t="shared" si="0"/>
        <v>42521509</v>
      </c>
      <c r="F20" s="80">
        <f t="shared" si="1"/>
        <v>0.12585979583708221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176241523</v>
      </c>
      <c r="D23" s="76">
        <v>179096342</v>
      </c>
      <c r="E23" s="76">
        <f t="shared" ref="E23:E32" si="2">D23-C23</f>
        <v>2854819</v>
      </c>
      <c r="F23" s="77">
        <f t="shared" ref="F23:F32" si="3">IF(C23=0,0,E23/C23)</f>
        <v>1.6198333692338779E-2</v>
      </c>
    </row>
    <row r="24" spans="1:7" ht="23.1" customHeight="1" x14ac:dyDescent="0.2">
      <c r="A24" s="74">
        <v>2</v>
      </c>
      <c r="B24" s="75" t="s">
        <v>83</v>
      </c>
      <c r="C24" s="76">
        <v>44093788</v>
      </c>
      <c r="D24" s="76">
        <v>43864547</v>
      </c>
      <c r="E24" s="76">
        <f t="shared" si="2"/>
        <v>-229241</v>
      </c>
      <c r="F24" s="77">
        <f t="shared" si="3"/>
        <v>-5.1989409483258727E-3</v>
      </c>
    </row>
    <row r="25" spans="1:7" ht="23.1" customHeight="1" x14ac:dyDescent="0.2">
      <c r="A25" s="74">
        <v>3</v>
      </c>
      <c r="B25" s="75" t="s">
        <v>84</v>
      </c>
      <c r="C25" s="76">
        <v>10590399</v>
      </c>
      <c r="D25" s="76">
        <v>15921467</v>
      </c>
      <c r="E25" s="76">
        <f t="shared" si="2"/>
        <v>5331068</v>
      </c>
      <c r="F25" s="77">
        <f t="shared" si="3"/>
        <v>0.50338688844490187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27198087</v>
      </c>
      <c r="D26" s="76">
        <v>25223058</v>
      </c>
      <c r="E26" s="76">
        <f t="shared" si="2"/>
        <v>-1975029</v>
      </c>
      <c r="F26" s="77">
        <f t="shared" si="3"/>
        <v>-7.2616467474348467E-2</v>
      </c>
    </row>
    <row r="27" spans="1:7" ht="23.1" customHeight="1" x14ac:dyDescent="0.2">
      <c r="A27" s="74">
        <v>5</v>
      </c>
      <c r="B27" s="75" t="s">
        <v>86</v>
      </c>
      <c r="C27" s="76">
        <v>15884013</v>
      </c>
      <c r="D27" s="76">
        <v>18390575</v>
      </c>
      <c r="E27" s="76">
        <f t="shared" si="2"/>
        <v>2506562</v>
      </c>
      <c r="F27" s="77">
        <f t="shared" si="3"/>
        <v>0.15780407633763582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1242337</v>
      </c>
      <c r="D29" s="76">
        <v>1234420</v>
      </c>
      <c r="E29" s="76">
        <f t="shared" si="2"/>
        <v>-7917</v>
      </c>
      <c r="F29" s="77">
        <f t="shared" si="3"/>
        <v>-6.3726669977630865E-3</v>
      </c>
    </row>
    <row r="30" spans="1:7" ht="23.1" customHeight="1" x14ac:dyDescent="0.2">
      <c r="A30" s="74">
        <v>8</v>
      </c>
      <c r="B30" s="75" t="s">
        <v>89</v>
      </c>
      <c r="C30" s="76">
        <v>7156393</v>
      </c>
      <c r="D30" s="76">
        <v>5916252</v>
      </c>
      <c r="E30" s="76">
        <f t="shared" si="2"/>
        <v>-1240141</v>
      </c>
      <c r="F30" s="77">
        <f t="shared" si="3"/>
        <v>-0.17329134942700883</v>
      </c>
    </row>
    <row r="31" spans="1:7" ht="23.1" customHeight="1" x14ac:dyDescent="0.2">
      <c r="A31" s="74">
        <v>9</v>
      </c>
      <c r="B31" s="75" t="s">
        <v>90</v>
      </c>
      <c r="C31" s="76">
        <v>90082509</v>
      </c>
      <c r="D31" s="76">
        <v>89679505</v>
      </c>
      <c r="E31" s="76">
        <f t="shared" si="2"/>
        <v>-403004</v>
      </c>
      <c r="F31" s="77">
        <f t="shared" si="3"/>
        <v>-4.4737208640580825E-3</v>
      </c>
    </row>
    <row r="32" spans="1:7" ht="23.1" customHeight="1" x14ac:dyDescent="0.25">
      <c r="A32" s="71"/>
      <c r="B32" s="78" t="s">
        <v>91</v>
      </c>
      <c r="C32" s="79">
        <f>SUM(C23:C31)</f>
        <v>372489049</v>
      </c>
      <c r="D32" s="79">
        <f>SUM(D23:D31)</f>
        <v>379326166</v>
      </c>
      <c r="E32" s="79">
        <f t="shared" si="2"/>
        <v>6837117</v>
      </c>
      <c r="F32" s="80">
        <f t="shared" si="3"/>
        <v>1.8355216128783425E-2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-34640821</v>
      </c>
      <c r="D34" s="79">
        <f>+D20-D32</f>
        <v>1043571</v>
      </c>
      <c r="E34" s="79">
        <f>D34-C34</f>
        <v>35684392</v>
      </c>
      <c r="F34" s="80">
        <f>IF(C34=0,0,E34/C34)</f>
        <v>-1.0301254696013122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15468829</v>
      </c>
      <c r="D37" s="76">
        <v>9627781</v>
      </c>
      <c r="E37" s="76">
        <f>D37-C37</f>
        <v>-5841048</v>
      </c>
      <c r="F37" s="77">
        <f>IF(C37=0,0,E37/C37)</f>
        <v>-0.37760117459440529</v>
      </c>
    </row>
    <row r="38" spans="1:6" ht="23.1" customHeight="1" x14ac:dyDescent="0.2">
      <c r="A38" s="85">
        <v>2</v>
      </c>
      <c r="B38" s="75" t="s">
        <v>95</v>
      </c>
      <c r="C38" s="76">
        <v>2073903</v>
      </c>
      <c r="D38" s="76">
        <v>1868238</v>
      </c>
      <c r="E38" s="76">
        <f>D38-C38</f>
        <v>-205665</v>
      </c>
      <c r="F38" s="77">
        <f>IF(C38=0,0,E38/C38)</f>
        <v>-9.9168090310877602E-2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-1119641</v>
      </c>
      <c r="E39" s="76">
        <f>D39-C39</f>
        <v>-1119641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17542732</v>
      </c>
      <c r="D40" s="79">
        <f>SUM(D37:D39)</f>
        <v>10376378</v>
      </c>
      <c r="E40" s="79">
        <f>D40-C40</f>
        <v>-7166354</v>
      </c>
      <c r="F40" s="80">
        <f>IF(C40=0,0,E40/C40)</f>
        <v>-0.40850843528818659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-17098089</v>
      </c>
      <c r="D42" s="79">
        <f>D34+D40</f>
        <v>11419949</v>
      </c>
      <c r="E42" s="79">
        <f>D42-C42</f>
        <v>28518038</v>
      </c>
      <c r="F42" s="80">
        <f>IF(C42=0,0,E42/C42)</f>
        <v>-1.6679079164928898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-17098089</v>
      </c>
      <c r="D49" s="79">
        <f>D42+D47</f>
        <v>11419949</v>
      </c>
      <c r="E49" s="79">
        <f>D49-C49</f>
        <v>28518038</v>
      </c>
      <c r="F49" s="80">
        <f>IF(C49=0,0,E49/C49)</f>
        <v>-1.6679079164928898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FILING&amp;R&amp;8CCMC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2016-07-20T13:29:12Z</dcterms:created>
  <dcterms:modified xsi:type="dcterms:W3CDTF">2016-07-27T14:41:51Z</dcterms:modified>
</cp:coreProperties>
</file>