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 s="1"/>
  <c r="D91" i="22"/>
  <c r="D93" i="22" s="1"/>
  <c r="C91" i="22"/>
  <c r="E87" i="22"/>
  <c r="D87" i="22"/>
  <c r="C87" i="22"/>
  <c r="E86" i="22"/>
  <c r="E88" i="22"/>
  <c r="D86" i="22"/>
  <c r="D88" i="22" s="1"/>
  <c r="C86" i="22"/>
  <c r="C88" i="22"/>
  <c r="E83" i="22"/>
  <c r="E101" i="22" s="1"/>
  <c r="D83" i="22"/>
  <c r="D102" i="22"/>
  <c r="C83" i="22"/>
  <c r="C101" i="22" s="1"/>
  <c r="E76" i="22"/>
  <c r="D76" i="22"/>
  <c r="D77" i="22" s="1"/>
  <c r="C76" i="22"/>
  <c r="C77" i="22" s="1"/>
  <c r="C109" i="22" s="1"/>
  <c r="E75" i="22"/>
  <c r="E77" i="22" s="1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D12" i="22"/>
  <c r="C12" i="22"/>
  <c r="C33" i="22"/>
  <c r="D21" i="21"/>
  <c r="C21" i="21"/>
  <c r="E21" i="21" s="1"/>
  <c r="D19" i="21"/>
  <c r="E19" i="21" s="1"/>
  <c r="F19" i="21"/>
  <c r="C19" i="21"/>
  <c r="E17" i="21"/>
  <c r="F17" i="21" s="1"/>
  <c r="E15" i="21"/>
  <c r="F15" i="21" s="1"/>
  <c r="D45" i="20"/>
  <c r="C45" i="20"/>
  <c r="D44" i="20"/>
  <c r="E44" i="20" s="1"/>
  <c r="F44" i="20"/>
  <c r="C44" i="20"/>
  <c r="D43" i="20"/>
  <c r="D46" i="20" s="1"/>
  <c r="C43" i="20"/>
  <c r="D36" i="20"/>
  <c r="D40" i="20" s="1"/>
  <c r="E40" i="20"/>
  <c r="F40" i="20" s="1"/>
  <c r="C36" i="20"/>
  <c r="C40" i="20"/>
  <c r="E35" i="20"/>
  <c r="F35" i="20" s="1"/>
  <c r="F34" i="20"/>
  <c r="E34" i="20"/>
  <c r="E33" i="20"/>
  <c r="F33" i="20" s="1"/>
  <c r="E30" i="20"/>
  <c r="F30" i="20" s="1"/>
  <c r="F29" i="20"/>
  <c r="E29" i="20"/>
  <c r="E28" i="20"/>
  <c r="F28" i="20" s="1"/>
  <c r="F27" i="20"/>
  <c r="E27" i="20"/>
  <c r="D25" i="20"/>
  <c r="D39" i="20"/>
  <c r="C25" i="20"/>
  <c r="E24" i="20"/>
  <c r="F24" i="20" s="1"/>
  <c r="E23" i="20"/>
  <c r="F23" i="20" s="1"/>
  <c r="E22" i="20"/>
  <c r="D19" i="20"/>
  <c r="D20" i="20"/>
  <c r="C19" i="20"/>
  <c r="C20" i="20" s="1"/>
  <c r="E20" i="20" s="1"/>
  <c r="E18" i="20"/>
  <c r="F18" i="20" s="1"/>
  <c r="D16" i="20"/>
  <c r="C16" i="20"/>
  <c r="E16" i="20" s="1"/>
  <c r="F15" i="20"/>
  <c r="E15" i="20"/>
  <c r="F13" i="20"/>
  <c r="E13" i="20"/>
  <c r="E12" i="20"/>
  <c r="F12" i="20" s="1"/>
  <c r="C137" i="19"/>
  <c r="C139" i="19" s="1"/>
  <c r="C143" i="19" s="1"/>
  <c r="C115" i="19"/>
  <c r="C105" i="19"/>
  <c r="C96" i="19"/>
  <c r="C95" i="19"/>
  <c r="C89" i="19"/>
  <c r="C88" i="19"/>
  <c r="C83" i="19"/>
  <c r="C77" i="19"/>
  <c r="C78" i="19" s="1"/>
  <c r="C64" i="19"/>
  <c r="C63" i="19"/>
  <c r="C65" i="19" s="1"/>
  <c r="C114" i="19" s="1"/>
  <c r="C116" i="19"/>
  <c r="C119" i="19" s="1"/>
  <c r="C123" i="19" s="1"/>
  <c r="C59" i="19"/>
  <c r="C60" i="19" s="1"/>
  <c r="C49" i="19"/>
  <c r="C48" i="19"/>
  <c r="C36" i="19"/>
  <c r="C32" i="19"/>
  <c r="C33" i="19"/>
  <c r="C21" i="19"/>
  <c r="E328" i="18"/>
  <c r="E325" i="18"/>
  <c r="D324" i="18"/>
  <c r="D326" i="18"/>
  <c r="C324" i="18"/>
  <c r="C326" i="18" s="1"/>
  <c r="E326" i="18" s="1"/>
  <c r="C330" i="18"/>
  <c r="E318" i="18"/>
  <c r="E315" i="18"/>
  <c r="D314" i="18"/>
  <c r="D316" i="18" s="1"/>
  <c r="C314" i="18"/>
  <c r="C316" i="18"/>
  <c r="C320" i="18"/>
  <c r="E308" i="18"/>
  <c r="E305" i="18"/>
  <c r="D301" i="18"/>
  <c r="C301" i="18"/>
  <c r="D293" i="18"/>
  <c r="C293" i="18"/>
  <c r="E293" i="18" s="1"/>
  <c r="D292" i="18"/>
  <c r="E292" i="18" s="1"/>
  <c r="C292" i="18"/>
  <c r="D291" i="18"/>
  <c r="E291" i="18" s="1"/>
  <c r="C291" i="18"/>
  <c r="D290" i="18"/>
  <c r="C290" i="18"/>
  <c r="E290" i="18"/>
  <c r="D288" i="18"/>
  <c r="C288" i="18"/>
  <c r="E288" i="18" s="1"/>
  <c r="D287" i="18"/>
  <c r="C287" i="18"/>
  <c r="E287" i="18" s="1"/>
  <c r="D282" i="18"/>
  <c r="C282" i="18"/>
  <c r="D281" i="18"/>
  <c r="E281" i="18"/>
  <c r="C281" i="18"/>
  <c r="D280" i="18"/>
  <c r="C280" i="18"/>
  <c r="E280" i="18"/>
  <c r="D279" i="18"/>
  <c r="C279" i="18"/>
  <c r="D278" i="18"/>
  <c r="E278" i="18" s="1"/>
  <c r="C278" i="18"/>
  <c r="D277" i="18"/>
  <c r="E277" i="18" s="1"/>
  <c r="C277" i="18"/>
  <c r="D276" i="18"/>
  <c r="C276" i="18"/>
  <c r="E276" i="18"/>
  <c r="E270" i="18"/>
  <c r="D265" i="18"/>
  <c r="D302" i="18"/>
  <c r="D303" i="18" s="1"/>
  <c r="E303" i="18" s="1"/>
  <c r="C265" i="18"/>
  <c r="C302" i="18"/>
  <c r="C303" i="18" s="1"/>
  <c r="C306" i="18" s="1"/>
  <c r="D262" i="18"/>
  <c r="C262" i="18"/>
  <c r="E262" i="18"/>
  <c r="D251" i="18"/>
  <c r="C251" i="18"/>
  <c r="E251" i="18"/>
  <c r="D233" i="18"/>
  <c r="C233" i="18"/>
  <c r="E233" i="18" s="1"/>
  <c r="D232" i="18"/>
  <c r="C232" i="18"/>
  <c r="E232" i="18" s="1"/>
  <c r="D231" i="18"/>
  <c r="C231" i="18"/>
  <c r="E231" i="18"/>
  <c r="D230" i="18"/>
  <c r="E230" i="18"/>
  <c r="C230" i="18"/>
  <c r="D228" i="18"/>
  <c r="E228" i="18"/>
  <c r="C228" i="18"/>
  <c r="D227" i="18"/>
  <c r="C227" i="18"/>
  <c r="E227" i="18" s="1"/>
  <c r="D221" i="18"/>
  <c r="D245" i="18" s="1"/>
  <c r="C221" i="18"/>
  <c r="D220" i="18"/>
  <c r="D244" i="18"/>
  <c r="C220" i="18"/>
  <c r="C244" i="18"/>
  <c r="D219" i="18"/>
  <c r="D243" i="18" s="1"/>
  <c r="C219" i="18"/>
  <c r="C243" i="18"/>
  <c r="C252" i="18" s="1"/>
  <c r="D218" i="18"/>
  <c r="D242" i="18"/>
  <c r="C218" i="18"/>
  <c r="C242" i="18"/>
  <c r="E242" i="18" s="1"/>
  <c r="D217" i="18"/>
  <c r="D216" i="18"/>
  <c r="D240" i="18"/>
  <c r="C216" i="18"/>
  <c r="D215" i="18"/>
  <c r="C215" i="18"/>
  <c r="C239" i="18"/>
  <c r="D210" i="18"/>
  <c r="E210" i="18" s="1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E189" i="18" s="1"/>
  <c r="D188" i="18"/>
  <c r="D261" i="18"/>
  <c r="C188" i="18"/>
  <c r="E186" i="18"/>
  <c r="E185" i="18"/>
  <c r="D179" i="18"/>
  <c r="C179" i="18"/>
  <c r="E179" i="18"/>
  <c r="D178" i="18"/>
  <c r="C178" i="18"/>
  <c r="E178" i="18" s="1"/>
  <c r="D177" i="18"/>
  <c r="C177" i="18"/>
  <c r="D176" i="18"/>
  <c r="E176" i="18" s="1"/>
  <c r="C176" i="18"/>
  <c r="D174" i="18"/>
  <c r="C174" i="18"/>
  <c r="E174" i="18" s="1"/>
  <c r="D173" i="18"/>
  <c r="E173" i="18" s="1"/>
  <c r="C173" i="18"/>
  <c r="D167" i="18"/>
  <c r="E167" i="18" s="1"/>
  <c r="C167" i="18"/>
  <c r="D166" i="18"/>
  <c r="E166" i="18" s="1"/>
  <c r="C166" i="18"/>
  <c r="D165" i="18"/>
  <c r="C165" i="18"/>
  <c r="E165" i="18" s="1"/>
  <c r="D164" i="18"/>
  <c r="C164" i="18"/>
  <c r="E164" i="18"/>
  <c r="D162" i="18"/>
  <c r="C162" i="18"/>
  <c r="D161" i="18"/>
  <c r="E161" i="18"/>
  <c r="C161" i="18"/>
  <c r="E155" i="18"/>
  <c r="E154" i="18"/>
  <c r="E153" i="18"/>
  <c r="E152" i="18"/>
  <c r="D151" i="18"/>
  <c r="C151" i="18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E75" i="18" s="1"/>
  <c r="C75" i="18"/>
  <c r="D74" i="18"/>
  <c r="E74" i="18"/>
  <c r="C74" i="18"/>
  <c r="D73" i="18"/>
  <c r="C73" i="18"/>
  <c r="E73" i="18" s="1"/>
  <c r="D72" i="18"/>
  <c r="C72" i="18"/>
  <c r="E72" i="18" s="1"/>
  <c r="C71" i="18"/>
  <c r="D70" i="18"/>
  <c r="E70" i="18" s="1"/>
  <c r="C70" i="18"/>
  <c r="C76" i="18"/>
  <c r="C77" i="18" s="1"/>
  <c r="C115" i="18" s="1"/>
  <c r="D69" i="18"/>
  <c r="C69" i="18"/>
  <c r="C65" i="18"/>
  <c r="E64" i="18"/>
  <c r="E63" i="18"/>
  <c r="E62" i="18"/>
  <c r="E61" i="18"/>
  <c r="D60" i="18"/>
  <c r="C60" i="18"/>
  <c r="C289" i="18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E41" i="18"/>
  <c r="D40" i="18"/>
  <c r="C40" i="18"/>
  <c r="E40" i="18" s="1"/>
  <c r="D39" i="18"/>
  <c r="E39" i="18" s="1"/>
  <c r="C39" i="18"/>
  <c r="D38" i="18"/>
  <c r="E38" i="18"/>
  <c r="C38" i="18"/>
  <c r="D37" i="18"/>
  <c r="D43" i="18"/>
  <c r="D44" i="18" s="1"/>
  <c r="C37" i="18"/>
  <c r="C43" i="18"/>
  <c r="D36" i="18"/>
  <c r="C36" i="18"/>
  <c r="C33" i="18"/>
  <c r="D32" i="18"/>
  <c r="D33" i="18" s="1"/>
  <c r="C32" i="18"/>
  <c r="E31" i="18"/>
  <c r="E30" i="18"/>
  <c r="E29" i="18"/>
  <c r="E28" i="18"/>
  <c r="E27" i="18"/>
  <c r="E26" i="18"/>
  <c r="E25" i="18"/>
  <c r="D22" i="18"/>
  <c r="D21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C307" i="17"/>
  <c r="D299" i="17"/>
  <c r="E299" i="17" s="1"/>
  <c r="F299" i="17" s="1"/>
  <c r="C299" i="17"/>
  <c r="D298" i="17"/>
  <c r="C298" i="17"/>
  <c r="E298" i="17" s="1"/>
  <c r="D297" i="17"/>
  <c r="C297" i="17"/>
  <c r="D296" i="17"/>
  <c r="C296" i="17"/>
  <c r="D295" i="17"/>
  <c r="E295" i="17" s="1"/>
  <c r="F295" i="17" s="1"/>
  <c r="C295" i="17"/>
  <c r="D294" i="17"/>
  <c r="C294" i="17"/>
  <c r="D250" i="17"/>
  <c r="D306" i="17" s="1"/>
  <c r="C250" i="17"/>
  <c r="C306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E238" i="17"/>
  <c r="C238" i="17"/>
  <c r="D237" i="17"/>
  <c r="C237" i="17"/>
  <c r="E234" i="17"/>
  <c r="F234" i="17"/>
  <c r="E233" i="17"/>
  <c r="F233" i="17" s="1"/>
  <c r="D230" i="17"/>
  <c r="C230" i="17"/>
  <c r="D229" i="17"/>
  <c r="E229" i="17" s="1"/>
  <c r="C229" i="17"/>
  <c r="E228" i="17"/>
  <c r="F228" i="17" s="1"/>
  <c r="D226" i="17"/>
  <c r="C226" i="17"/>
  <c r="E225" i="17"/>
  <c r="F225" i="17"/>
  <c r="E224" i="17"/>
  <c r="F224" i="17" s="1"/>
  <c r="D223" i="17"/>
  <c r="E223" i="17"/>
  <c r="C223" i="17"/>
  <c r="E222" i="17"/>
  <c r="F222" i="17" s="1"/>
  <c r="E221" i="17"/>
  <c r="F221" i="17"/>
  <c r="D204" i="17"/>
  <c r="C204" i="17"/>
  <c r="C285" i="17"/>
  <c r="D203" i="17"/>
  <c r="D214" i="17" s="1"/>
  <c r="E214" i="17" s="1"/>
  <c r="C203" i="17"/>
  <c r="C283" i="17" s="1"/>
  <c r="D198" i="17"/>
  <c r="C198" i="17"/>
  <c r="D191" i="17"/>
  <c r="C191" i="17"/>
  <c r="C280" i="17"/>
  <c r="D189" i="17"/>
  <c r="C189" i="17"/>
  <c r="D188" i="17"/>
  <c r="C188" i="17"/>
  <c r="C277" i="17" s="1"/>
  <c r="D180" i="17"/>
  <c r="C180" i="17"/>
  <c r="F180" i="17" s="1"/>
  <c r="E180" i="17"/>
  <c r="D179" i="17"/>
  <c r="D181" i="17" s="1"/>
  <c r="C179" i="17"/>
  <c r="D171" i="17"/>
  <c r="D172" i="17" s="1"/>
  <c r="D173" i="17" s="1"/>
  <c r="E173" i="17" s="1"/>
  <c r="C171" i="17"/>
  <c r="C172" i="17" s="1"/>
  <c r="D170" i="17"/>
  <c r="E170" i="17" s="1"/>
  <c r="C170" i="17"/>
  <c r="F170" i="17" s="1"/>
  <c r="F169" i="17"/>
  <c r="E169" i="17"/>
  <c r="F168" i="17"/>
  <c r="E168" i="17"/>
  <c r="D165" i="17"/>
  <c r="C165" i="17"/>
  <c r="E165" i="17"/>
  <c r="D164" i="17"/>
  <c r="C164" i="17"/>
  <c r="E164" i="17"/>
  <c r="F163" i="17"/>
  <c r="E163" i="17"/>
  <c r="D158" i="17"/>
  <c r="D159" i="17"/>
  <c r="E159" i="17"/>
  <c r="C158" i="17"/>
  <c r="C159" i="17"/>
  <c r="F159" i="17"/>
  <c r="F157" i="17"/>
  <c r="E157" i="17"/>
  <c r="F156" i="17"/>
  <c r="E156" i="17"/>
  <c r="D155" i="17"/>
  <c r="E155" i="17" s="1"/>
  <c r="C155" i="17"/>
  <c r="F154" i="17"/>
  <c r="E154" i="17"/>
  <c r="F153" i="17"/>
  <c r="E153" i="17"/>
  <c r="D145" i="17"/>
  <c r="E145" i="17" s="1"/>
  <c r="C145" i="17"/>
  <c r="D144" i="17"/>
  <c r="D146" i="17"/>
  <c r="E146" i="17" s="1"/>
  <c r="C144" i="17"/>
  <c r="C146" i="17" s="1"/>
  <c r="D136" i="17"/>
  <c r="D137" i="17"/>
  <c r="C136" i="17"/>
  <c r="C137" i="17"/>
  <c r="D135" i="17"/>
  <c r="C135" i="17"/>
  <c r="E134" i="17"/>
  <c r="F134" i="17"/>
  <c r="E133" i="17"/>
  <c r="F133" i="17" s="1"/>
  <c r="D130" i="17"/>
  <c r="C130" i="17"/>
  <c r="E130" i="17"/>
  <c r="D129" i="17"/>
  <c r="E129" i="17" s="1"/>
  <c r="C129" i="17"/>
  <c r="E128" i="17"/>
  <c r="F128" i="17" s="1"/>
  <c r="D123" i="17"/>
  <c r="D192" i="17"/>
  <c r="C123" i="17"/>
  <c r="E122" i="17"/>
  <c r="F122" i="17" s="1"/>
  <c r="E121" i="17"/>
  <c r="F121" i="17" s="1"/>
  <c r="D120" i="17"/>
  <c r="C120" i="17"/>
  <c r="E119" i="17"/>
  <c r="F119" i="17"/>
  <c r="E118" i="17"/>
  <c r="F118" i="17" s="1"/>
  <c r="D110" i="17"/>
  <c r="D111" i="17" s="1"/>
  <c r="C110" i="17"/>
  <c r="C111" i="17" s="1"/>
  <c r="D109" i="17"/>
  <c r="C109" i="17"/>
  <c r="D101" i="17"/>
  <c r="D102" i="17" s="1"/>
  <c r="C101" i="17"/>
  <c r="C102" i="17" s="1"/>
  <c r="C103" i="17" s="1"/>
  <c r="D100" i="17"/>
  <c r="C100" i="17"/>
  <c r="E99" i="17"/>
  <c r="F99" i="17"/>
  <c r="E98" i="17"/>
  <c r="F98" i="17" s="1"/>
  <c r="D95" i="17"/>
  <c r="E95" i="17" s="1"/>
  <c r="C95" i="17"/>
  <c r="D94" i="17"/>
  <c r="C94" i="17"/>
  <c r="E93" i="17"/>
  <c r="F93" i="17" s="1"/>
  <c r="D88" i="17"/>
  <c r="D89" i="17" s="1"/>
  <c r="C88" i="17"/>
  <c r="C89" i="17" s="1"/>
  <c r="E89" i="17" s="1"/>
  <c r="F89" i="17" s="1"/>
  <c r="E87" i="17"/>
  <c r="F87" i="17"/>
  <c r="E86" i="17"/>
  <c r="F86" i="17" s="1"/>
  <c r="D85" i="17"/>
  <c r="C85" i="17"/>
  <c r="E85" i="17"/>
  <c r="E84" i="17"/>
  <c r="F84" i="17"/>
  <c r="E83" i="17"/>
  <c r="F83" i="17"/>
  <c r="D76" i="17"/>
  <c r="D77" i="17" s="1"/>
  <c r="E77" i="17" s="1"/>
  <c r="C76" i="17"/>
  <c r="C77" i="17" s="1"/>
  <c r="E74" i="17"/>
  <c r="F74" i="17" s="1"/>
  <c r="E73" i="17"/>
  <c r="F73" i="17" s="1"/>
  <c r="D67" i="17"/>
  <c r="E67" i="17"/>
  <c r="F67" i="17"/>
  <c r="C67" i="17"/>
  <c r="D66" i="17"/>
  <c r="D68" i="17"/>
  <c r="E68" i="17" s="1"/>
  <c r="C66" i="17"/>
  <c r="C68" i="17" s="1"/>
  <c r="D59" i="17"/>
  <c r="D60" i="17"/>
  <c r="C59" i="17"/>
  <c r="C60" i="17"/>
  <c r="D58" i="17"/>
  <c r="E58" i="17"/>
  <c r="F58" i="17" s="1"/>
  <c r="C58" i="17"/>
  <c r="E57" i="17"/>
  <c r="F57" i="17"/>
  <c r="E56" i="17"/>
  <c r="F56" i="17"/>
  <c r="D53" i="17"/>
  <c r="E53" i="17"/>
  <c r="F53" i="17" s="1"/>
  <c r="C53" i="17"/>
  <c r="D52" i="17"/>
  <c r="E52" i="17"/>
  <c r="C52" i="17"/>
  <c r="F52" i="17" s="1"/>
  <c r="E51" i="17"/>
  <c r="F51" i="17"/>
  <c r="D47" i="17"/>
  <c r="C47" i="17"/>
  <c r="C48" i="17"/>
  <c r="E46" i="17"/>
  <c r="F46" i="17"/>
  <c r="E45" i="17"/>
  <c r="F45" i="17" s="1"/>
  <c r="D44" i="17"/>
  <c r="C44" i="17"/>
  <c r="E43" i="17"/>
  <c r="F43" i="17"/>
  <c r="E42" i="17"/>
  <c r="F42" i="17"/>
  <c r="D36" i="17"/>
  <c r="C36" i="17"/>
  <c r="D35" i="17"/>
  <c r="C35" i="17"/>
  <c r="E35" i="17" s="1"/>
  <c r="D30" i="17"/>
  <c r="D31" i="17"/>
  <c r="C30" i="17"/>
  <c r="C31" i="17"/>
  <c r="D29" i="17"/>
  <c r="C29" i="17"/>
  <c r="E28" i="17"/>
  <c r="F28" i="17"/>
  <c r="E27" i="17"/>
  <c r="F27" i="17"/>
  <c r="D24" i="17"/>
  <c r="E24" i="17" s="1"/>
  <c r="C24" i="17"/>
  <c r="D23" i="17"/>
  <c r="C23" i="17"/>
  <c r="F22" i="17"/>
  <c r="E22" i="17"/>
  <c r="D20" i="17"/>
  <c r="E20" i="17"/>
  <c r="C20" i="17"/>
  <c r="F20" i="17" s="1"/>
  <c r="E19" i="17"/>
  <c r="F19" i="17" s="1"/>
  <c r="F18" i="17"/>
  <c r="E18" i="17"/>
  <c r="D17" i="17"/>
  <c r="E17" i="17"/>
  <c r="F17" i="17"/>
  <c r="C17" i="17"/>
  <c r="E16" i="17"/>
  <c r="F16" i="17" s="1"/>
  <c r="F15" i="17"/>
  <c r="E15" i="17"/>
  <c r="D22" i="16"/>
  <c r="F22" i="16"/>
  <c r="C22" i="16"/>
  <c r="E22" i="16" s="1"/>
  <c r="E21" i="16"/>
  <c r="F21" i="16" s="1"/>
  <c r="D18" i="16"/>
  <c r="C18" i="16"/>
  <c r="F17" i="16"/>
  <c r="E17" i="16"/>
  <c r="D14" i="16"/>
  <c r="E14" i="16"/>
  <c r="F14" i="16" s="1"/>
  <c r="C14" i="16"/>
  <c r="F13" i="16"/>
  <c r="E13" i="16"/>
  <c r="F12" i="16"/>
  <c r="E12" i="16"/>
  <c r="D107" i="15"/>
  <c r="E107" i="15"/>
  <c r="F107" i="15" s="1"/>
  <c r="C107" i="15"/>
  <c r="E106" i="15"/>
  <c r="F106" i="15" s="1"/>
  <c r="F105" i="15"/>
  <c r="E105" i="15"/>
  <c r="E104" i="15"/>
  <c r="F104" i="15" s="1"/>
  <c r="D100" i="15"/>
  <c r="C100" i="15"/>
  <c r="F99" i="15"/>
  <c r="E99" i="15"/>
  <c r="E98" i="15"/>
  <c r="F98" i="15" s="1"/>
  <c r="F97" i="15"/>
  <c r="E97" i="15"/>
  <c r="F96" i="15"/>
  <c r="E96" i="15"/>
  <c r="F95" i="15"/>
  <c r="E95" i="15"/>
  <c r="D92" i="15"/>
  <c r="E92" i="15"/>
  <c r="C92" i="15"/>
  <c r="F92" i="15" s="1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3" i="15"/>
  <c r="E73" i="15"/>
  <c r="D70" i="15"/>
  <c r="E70" i="15" s="1"/>
  <c r="C70" i="15"/>
  <c r="F69" i="15"/>
  <c r="E69" i="15"/>
  <c r="E68" i="15"/>
  <c r="F68" i="15" s="1"/>
  <c r="D65" i="15"/>
  <c r="C65" i="15"/>
  <c r="F64" i="15"/>
  <c r="E64" i="15"/>
  <c r="E63" i="15"/>
  <c r="F63" i="15" s="1"/>
  <c r="D60" i="15"/>
  <c r="C60" i="15"/>
  <c r="E59" i="15"/>
  <c r="F58" i="15"/>
  <c r="E58" i="15"/>
  <c r="D55" i="15"/>
  <c r="E55" i="15"/>
  <c r="C55" i="15"/>
  <c r="F54" i="15"/>
  <c r="E54" i="15"/>
  <c r="E53" i="15"/>
  <c r="F53" i="15" s="1"/>
  <c r="D50" i="15"/>
  <c r="E50" i="15" s="1"/>
  <c r="C50" i="15"/>
  <c r="F49" i="15"/>
  <c r="E49" i="15"/>
  <c r="E48" i="15"/>
  <c r="F48" i="15" s="1"/>
  <c r="D45" i="15"/>
  <c r="C45" i="15"/>
  <c r="F45" i="15" s="1"/>
  <c r="F44" i="15"/>
  <c r="E44" i="15"/>
  <c r="F43" i="15"/>
  <c r="E43" i="15"/>
  <c r="D37" i="15"/>
  <c r="C37" i="15"/>
  <c r="F37" i="15" s="1"/>
  <c r="F36" i="15"/>
  <c r="E36" i="15"/>
  <c r="F35" i="15"/>
  <c r="E35" i="15"/>
  <c r="F34" i="15"/>
  <c r="E34" i="15"/>
  <c r="F33" i="15"/>
  <c r="E33" i="15"/>
  <c r="F30" i="15"/>
  <c r="D30" i="15"/>
  <c r="C30" i="15"/>
  <c r="E30" i="15" s="1"/>
  <c r="F29" i="15"/>
  <c r="E29" i="15"/>
  <c r="F28" i="15"/>
  <c r="E28" i="15"/>
  <c r="F27" i="15"/>
  <c r="E27" i="15"/>
  <c r="F26" i="15"/>
  <c r="E26" i="15"/>
  <c r="D23" i="15"/>
  <c r="E23" i="15"/>
  <c r="C23" i="15"/>
  <c r="F22" i="15"/>
  <c r="E22" i="15"/>
  <c r="E21" i="15"/>
  <c r="F21" i="15" s="1"/>
  <c r="F20" i="15"/>
  <c r="E20" i="15"/>
  <c r="E19" i="15"/>
  <c r="F19" i="15" s="1"/>
  <c r="D16" i="15"/>
  <c r="E16" i="15" s="1"/>
  <c r="C16" i="15"/>
  <c r="F15" i="15"/>
  <c r="E15" i="15"/>
  <c r="E14" i="15"/>
  <c r="F14" i="15" s="1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 s="1"/>
  <c r="E17" i="14"/>
  <c r="E31" i="14"/>
  <c r="D17" i="14"/>
  <c r="D33" i="14" s="1"/>
  <c r="D36" i="14" s="1"/>
  <c r="D38" i="14"/>
  <c r="D40" i="14" s="1"/>
  <c r="C17" i="14"/>
  <c r="C31" i="14" s="1"/>
  <c r="I31" i="14" s="1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E78" i="13"/>
  <c r="D78" i="13"/>
  <c r="D80" i="13" s="1"/>
  <c r="D77" i="13"/>
  <c r="C78" i="13"/>
  <c r="C80" i="13" s="1"/>
  <c r="C77" i="13" s="1"/>
  <c r="C75" i="13"/>
  <c r="E73" i="13"/>
  <c r="E75" i="13" s="1"/>
  <c r="D73" i="13"/>
  <c r="D75" i="13"/>
  <c r="C73" i="13"/>
  <c r="E71" i="13"/>
  <c r="D71" i="13"/>
  <c r="C71" i="13"/>
  <c r="E66" i="13"/>
  <c r="E65" i="13"/>
  <c r="D66" i="13"/>
  <c r="C66" i="13"/>
  <c r="C65" i="13" s="1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D50" i="13" s="1"/>
  <c r="C54" i="13"/>
  <c r="C50" i="13"/>
  <c r="E46" i="13"/>
  <c r="D46" i="13"/>
  <c r="D59" i="13"/>
  <c r="D61" i="13"/>
  <c r="D57" i="13"/>
  <c r="C46" i="13"/>
  <c r="C59" i="13" s="1"/>
  <c r="C61" i="13" s="1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7" i="13"/>
  <c r="C25" i="13"/>
  <c r="E15" i="13"/>
  <c r="E24" i="13"/>
  <c r="C15" i="13"/>
  <c r="C24" i="13" s="1"/>
  <c r="E13" i="13"/>
  <c r="E25" i="13" s="1"/>
  <c r="D13" i="13"/>
  <c r="D25" i="13"/>
  <c r="D27" i="13" s="1"/>
  <c r="C13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E38" i="12"/>
  <c r="F38" i="12" s="1"/>
  <c r="E37" i="12"/>
  <c r="F37" i="12" s="1"/>
  <c r="D32" i="12"/>
  <c r="C32" i="12"/>
  <c r="E31" i="12"/>
  <c r="F31" i="12" s="1"/>
  <c r="F30" i="12"/>
  <c r="E30" i="12"/>
  <c r="F29" i="12"/>
  <c r="E29" i="12"/>
  <c r="F28" i="12"/>
  <c r="E28" i="12"/>
  <c r="E27" i="12"/>
  <c r="F27" i="12" s="1"/>
  <c r="E26" i="12"/>
  <c r="F26" i="12" s="1"/>
  <c r="F25" i="12"/>
  <c r="E25" i="12"/>
  <c r="E24" i="12"/>
  <c r="F24" i="12" s="1"/>
  <c r="E23" i="12"/>
  <c r="F23" i="12" s="1"/>
  <c r="F19" i="12"/>
  <c r="E19" i="12"/>
  <c r="F18" i="12"/>
  <c r="E18" i="12"/>
  <c r="E16" i="12"/>
  <c r="F16" i="12" s="1"/>
  <c r="D15" i="12"/>
  <c r="D17" i="12"/>
  <c r="C15" i="12"/>
  <c r="F14" i="12"/>
  <c r="E14" i="12"/>
  <c r="E13" i="12"/>
  <c r="F13" i="12" s="1"/>
  <c r="E12" i="12"/>
  <c r="F12" i="12" s="1"/>
  <c r="F11" i="12"/>
  <c r="E11" i="12"/>
  <c r="D73" i="11"/>
  <c r="C73" i="11"/>
  <c r="E72" i="11"/>
  <c r="F72" i="11" s="1"/>
  <c r="E71" i="11"/>
  <c r="F71" i="11" s="1"/>
  <c r="F70" i="11"/>
  <c r="E70" i="11"/>
  <c r="F67" i="11"/>
  <c r="E67" i="11"/>
  <c r="E64" i="11"/>
  <c r="F64" i="11" s="1"/>
  <c r="E63" i="11"/>
  <c r="F63" i="11" s="1"/>
  <c r="D61" i="11"/>
  <c r="D65" i="11" s="1"/>
  <c r="D75" i="11" s="1"/>
  <c r="C61" i="11"/>
  <c r="E60" i="11"/>
  <c r="F60" i="11" s="1"/>
  <c r="E59" i="11"/>
  <c r="F59" i="11" s="1"/>
  <c r="D56" i="11"/>
  <c r="C56" i="11"/>
  <c r="F55" i="11"/>
  <c r="E55" i="11"/>
  <c r="E54" i="11"/>
  <c r="F54" i="11" s="1"/>
  <c r="F53" i="11"/>
  <c r="E53" i="11"/>
  <c r="F52" i="11"/>
  <c r="E52" i="11"/>
  <c r="E51" i="11"/>
  <c r="F51" i="11" s="1"/>
  <c r="A53" i="11"/>
  <c r="A54" i="11" s="1"/>
  <c r="A55" i="11" s="1"/>
  <c r="E50" i="11"/>
  <c r="F50" i="11"/>
  <c r="A50" i="11"/>
  <c r="A51" i="11" s="1"/>
  <c r="A52" i="11" s="1"/>
  <c r="F49" i="11"/>
  <c r="E49" i="11"/>
  <c r="E40" i="11"/>
  <c r="F40" i="11" s="1"/>
  <c r="D38" i="11"/>
  <c r="D41" i="11"/>
  <c r="C38" i="11"/>
  <c r="C41" i="11"/>
  <c r="E37" i="11"/>
  <c r="F37" i="11" s="1"/>
  <c r="F36" i="11"/>
  <c r="E36" i="11"/>
  <c r="E33" i="11"/>
  <c r="F33" i="11" s="1"/>
  <c r="E32" i="11"/>
  <c r="F32" i="11" s="1"/>
  <c r="F31" i="11"/>
  <c r="E31" i="11"/>
  <c r="D29" i="11"/>
  <c r="C29" i="11"/>
  <c r="F28" i="11"/>
  <c r="E28" i="11"/>
  <c r="F27" i="11"/>
  <c r="E27" i="11"/>
  <c r="F26" i="11"/>
  <c r="E26" i="11"/>
  <c r="E25" i="11"/>
  <c r="F25" i="11" s="1"/>
  <c r="D22" i="11"/>
  <c r="C22" i="11"/>
  <c r="E21" i="11"/>
  <c r="F21" i="11" s="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E13" i="11"/>
  <c r="F13" i="11" s="1"/>
  <c r="F120" i="10"/>
  <c r="D120" i="10"/>
  <c r="E120" i="10" s="1"/>
  <c r="C120" i="10"/>
  <c r="F119" i="10"/>
  <c r="D119" i="10"/>
  <c r="E119" i="10" s="1"/>
  <c r="C119" i="10"/>
  <c r="F118" i="10"/>
  <c r="D118" i="10"/>
  <c r="E118" i="10"/>
  <c r="C118" i="10"/>
  <c r="F117" i="10"/>
  <c r="D117" i="10"/>
  <c r="E117" i="10" s="1"/>
  <c r="C117" i="10"/>
  <c r="F116" i="10"/>
  <c r="D116" i="10"/>
  <c r="E116" i="10"/>
  <c r="C116" i="10"/>
  <c r="F115" i="10"/>
  <c r="D115" i="10"/>
  <c r="E115" i="10" s="1"/>
  <c r="C115" i="10"/>
  <c r="F114" i="10"/>
  <c r="D114" i="10"/>
  <c r="C114" i="10"/>
  <c r="F113" i="10"/>
  <c r="D113" i="10"/>
  <c r="D122" i="10" s="1"/>
  <c r="E122" i="10" s="1"/>
  <c r="C113" i="10"/>
  <c r="C122" i="10"/>
  <c r="F122" i="10"/>
  <c r="D112" i="10"/>
  <c r="C112" i="10"/>
  <c r="F112" i="10" s="1"/>
  <c r="C121" i="10"/>
  <c r="F121" i="10"/>
  <c r="D108" i="10"/>
  <c r="E108" i="10" s="1"/>
  <c r="C108" i="10"/>
  <c r="F108" i="10" s="1"/>
  <c r="D107" i="10"/>
  <c r="E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 s="1"/>
  <c r="C96" i="10"/>
  <c r="F96" i="10" s="1"/>
  <c r="D95" i="10"/>
  <c r="E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C84" i="10"/>
  <c r="E84" i="10" s="1"/>
  <c r="F83" i="10"/>
  <c r="D83" i="10"/>
  <c r="E83" i="10" s="1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/>
  <c r="C72" i="10"/>
  <c r="F72" i="10" s="1"/>
  <c r="D71" i="10"/>
  <c r="E71" i="10" s="1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E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/>
  <c r="C48" i="10"/>
  <c r="F48" i="10" s="1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C36" i="10"/>
  <c r="E36" i="10" s="1"/>
  <c r="F35" i="10"/>
  <c r="D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C24" i="10"/>
  <c r="E24" i="10" s="1"/>
  <c r="D23" i="10"/>
  <c r="E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F206" i="9"/>
  <c r="D205" i="9"/>
  <c r="C205" i="9"/>
  <c r="D204" i="9"/>
  <c r="C204" i="9"/>
  <c r="F204" i="9" s="1"/>
  <c r="D203" i="9"/>
  <c r="E203" i="9"/>
  <c r="C203" i="9"/>
  <c r="F203" i="9" s="1"/>
  <c r="D202" i="9"/>
  <c r="C202" i="9"/>
  <c r="F202" i="9" s="1"/>
  <c r="F201" i="9"/>
  <c r="D201" i="9"/>
  <c r="C201" i="9"/>
  <c r="E201" i="9" s="1"/>
  <c r="F200" i="9"/>
  <c r="D200" i="9"/>
  <c r="C200" i="9"/>
  <c r="F199" i="9"/>
  <c r="D199" i="9"/>
  <c r="C199" i="9"/>
  <c r="C208" i="9"/>
  <c r="F208" i="9" s="1"/>
  <c r="F198" i="9"/>
  <c r="D198" i="9"/>
  <c r="C198" i="9"/>
  <c r="C207" i="9"/>
  <c r="F207" i="9"/>
  <c r="D193" i="9"/>
  <c r="E193" i="9" s="1"/>
  <c r="C193" i="9"/>
  <c r="F193" i="9" s="1"/>
  <c r="D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C167" i="9"/>
  <c r="E167" i="9" s="1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/>
  <c r="C154" i="9"/>
  <c r="F154" i="9" s="1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C141" i="9"/>
  <c r="D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F128" i="9"/>
  <c r="D128" i="9"/>
  <c r="E128" i="9"/>
  <c r="C128" i="9"/>
  <c r="D127" i="9"/>
  <c r="E127" i="9"/>
  <c r="C127" i="9"/>
  <c r="F127" i="9" s="1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C115" i="9"/>
  <c r="F114" i="9"/>
  <c r="D114" i="9"/>
  <c r="E114" i="9" s="1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C102" i="9"/>
  <c r="F101" i="9"/>
  <c r="D101" i="9"/>
  <c r="E101" i="9" s="1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F89" i="9" s="1"/>
  <c r="F88" i="9"/>
  <c r="D88" i="9"/>
  <c r="C88" i="9"/>
  <c r="E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6" i="9"/>
  <c r="D76" i="9"/>
  <c r="E76" i="9"/>
  <c r="C76" i="9"/>
  <c r="D75" i="9"/>
  <c r="C75" i="9"/>
  <c r="F75" i="9" s="1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D63" i="9"/>
  <c r="C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C50" i="9"/>
  <c r="F50" i="9" s="1"/>
  <c r="F49" i="9"/>
  <c r="D49" i="9"/>
  <c r="E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 s="1"/>
  <c r="C37" i="9"/>
  <c r="F36" i="9"/>
  <c r="D36" i="9"/>
  <c r="C36" i="9"/>
  <c r="E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4" i="9"/>
  <c r="D24" i="9"/>
  <c r="E24" i="9" s="1"/>
  <c r="C24" i="9"/>
  <c r="D23" i="9"/>
  <c r="E23" i="9" s="1"/>
  <c r="C23" i="9"/>
  <c r="F23" i="9" s="1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 s="1"/>
  <c r="D166" i="8" s="1"/>
  <c r="C164" i="8"/>
  <c r="C160" i="8" s="1"/>
  <c r="C166" i="8" s="1"/>
  <c r="E162" i="8"/>
  <c r="D162" i="8"/>
  <c r="C162" i="8"/>
  <c r="E161" i="8"/>
  <c r="D161" i="8"/>
  <c r="C161" i="8"/>
  <c r="E160" i="8"/>
  <c r="E166" i="8"/>
  <c r="E147" i="8"/>
  <c r="E143" i="8" s="1"/>
  <c r="E149" i="8" s="1"/>
  <c r="D147" i="8"/>
  <c r="C147" i="8"/>
  <c r="C143" i="8" s="1"/>
  <c r="E145" i="8"/>
  <c r="D145" i="8"/>
  <c r="C145" i="8"/>
  <c r="E144" i="8"/>
  <c r="D144" i="8"/>
  <c r="C144" i="8"/>
  <c r="C149" i="8" s="1"/>
  <c r="C140" i="8" s="1"/>
  <c r="D143" i="8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 s="1"/>
  <c r="D106" i="8" s="1"/>
  <c r="C107" i="8"/>
  <c r="C109" i="8" s="1"/>
  <c r="C106" i="8" s="1"/>
  <c r="E102" i="8"/>
  <c r="E104" i="8"/>
  <c r="D102" i="8"/>
  <c r="D104" i="8" s="1"/>
  <c r="C102" i="8"/>
  <c r="C104" i="8"/>
  <c r="E100" i="8"/>
  <c r="D100" i="8"/>
  <c r="C100" i="8"/>
  <c r="E95" i="8"/>
  <c r="E94" i="8" s="1"/>
  <c r="D95" i="8"/>
  <c r="D94" i="8" s="1"/>
  <c r="C95" i="8"/>
  <c r="C94" i="8"/>
  <c r="E89" i="8"/>
  <c r="D89" i="8"/>
  <c r="C89" i="8"/>
  <c r="E87" i="8"/>
  <c r="D87" i="8"/>
  <c r="C87" i="8"/>
  <c r="E84" i="8"/>
  <c r="E79" i="8" s="1"/>
  <c r="D84" i="8"/>
  <c r="D79" i="8" s="1"/>
  <c r="C84" i="8"/>
  <c r="C79" i="8" s="1"/>
  <c r="E83" i="8"/>
  <c r="D83" i="8"/>
  <c r="C83" i="8"/>
  <c r="E75" i="8"/>
  <c r="D75" i="8"/>
  <c r="D88" i="8" s="1"/>
  <c r="D90" i="8" s="1"/>
  <c r="D86" i="8" s="1"/>
  <c r="C75" i="8"/>
  <c r="C88" i="8"/>
  <c r="C90" i="8" s="1"/>
  <c r="C86" i="8"/>
  <c r="E74" i="8"/>
  <c r="D74" i="8"/>
  <c r="C74" i="8"/>
  <c r="E67" i="8"/>
  <c r="D67" i="8"/>
  <c r="C67" i="8"/>
  <c r="E38" i="8"/>
  <c r="E57" i="8"/>
  <c r="E62" i="8"/>
  <c r="D38" i="8"/>
  <c r="D53" i="8"/>
  <c r="C38" i="8"/>
  <c r="E33" i="8"/>
  <c r="E34" i="8"/>
  <c r="D33" i="8"/>
  <c r="D34" i="8" s="1"/>
  <c r="E26" i="8"/>
  <c r="D26" i="8"/>
  <c r="C26" i="8"/>
  <c r="E15" i="8"/>
  <c r="E24" i="8" s="1"/>
  <c r="C15" i="8"/>
  <c r="C24" i="8"/>
  <c r="E13" i="8"/>
  <c r="E25" i="8"/>
  <c r="E27" i="8"/>
  <c r="D13" i="8"/>
  <c r="C13" i="8"/>
  <c r="C25" i="8"/>
  <c r="E186" i="7"/>
  <c r="F186" i="7" s="1"/>
  <c r="D183" i="7"/>
  <c r="D188" i="7"/>
  <c r="C183" i="7"/>
  <c r="F182" i="7"/>
  <c r="E182" i="7"/>
  <c r="F181" i="7"/>
  <c r="E181" i="7"/>
  <c r="F180" i="7"/>
  <c r="E180" i="7"/>
  <c r="F179" i="7"/>
  <c r="E179" i="7"/>
  <c r="F178" i="7"/>
  <c r="E178" i="7"/>
  <c r="E177" i="7"/>
  <c r="F177" i="7" s="1"/>
  <c r="F176" i="7"/>
  <c r="E176" i="7"/>
  <c r="F175" i="7"/>
  <c r="E175" i="7"/>
  <c r="E174" i="7"/>
  <c r="F174" i="7" s="1"/>
  <c r="F173" i="7"/>
  <c r="E173" i="7"/>
  <c r="F172" i="7"/>
  <c r="E172" i="7"/>
  <c r="F171" i="7"/>
  <c r="E171" i="7"/>
  <c r="F170" i="7"/>
  <c r="E170" i="7"/>
  <c r="D167" i="7"/>
  <c r="C167" i="7"/>
  <c r="E167" i="7" s="1"/>
  <c r="F166" i="7"/>
  <c r="E166" i="7"/>
  <c r="F165" i="7"/>
  <c r="E165" i="7"/>
  <c r="E164" i="7"/>
  <c r="F164" i="7" s="1"/>
  <c r="F163" i="7"/>
  <c r="E163" i="7"/>
  <c r="F162" i="7"/>
  <c r="E162" i="7"/>
  <c r="F161" i="7"/>
  <c r="E161" i="7"/>
  <c r="E160" i="7"/>
  <c r="F160" i="7" s="1"/>
  <c r="F159" i="7"/>
  <c r="E159" i="7"/>
  <c r="F158" i="7"/>
  <c r="E158" i="7"/>
  <c r="E157" i="7"/>
  <c r="F157" i="7" s="1"/>
  <c r="E156" i="7"/>
  <c r="F156" i="7" s="1"/>
  <c r="F155" i="7"/>
  <c r="E155" i="7"/>
  <c r="F154" i="7"/>
  <c r="E154" i="7"/>
  <c r="F153" i="7"/>
  <c r="E153" i="7"/>
  <c r="F152" i="7"/>
  <c r="E152" i="7"/>
  <c r="E151" i="7"/>
  <c r="F151" i="7" s="1"/>
  <c r="F150" i="7"/>
  <c r="E150" i="7"/>
  <c r="E149" i="7"/>
  <c r="F149" i="7" s="1"/>
  <c r="E148" i="7"/>
  <c r="F148" i="7" s="1"/>
  <c r="F147" i="7"/>
  <c r="E147" i="7"/>
  <c r="F146" i="7"/>
  <c r="E146" i="7"/>
  <c r="F145" i="7"/>
  <c r="E145" i="7"/>
  <c r="E144" i="7"/>
  <c r="F144" i="7" s="1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E135" i="7"/>
  <c r="F135" i="7" s="1"/>
  <c r="F134" i="7"/>
  <c r="E134" i="7"/>
  <c r="F133" i="7"/>
  <c r="E133" i="7"/>
  <c r="D130" i="7"/>
  <c r="C130" i="7"/>
  <c r="F129" i="7"/>
  <c r="E129" i="7"/>
  <c r="E128" i="7"/>
  <c r="F128" i="7" s="1"/>
  <c r="E127" i="7"/>
  <c r="F127" i="7" s="1"/>
  <c r="E126" i="7"/>
  <c r="F126" i="7" s="1"/>
  <c r="F125" i="7"/>
  <c r="E125" i="7"/>
  <c r="E124" i="7"/>
  <c r="F124" i="7" s="1"/>
  <c r="D121" i="7"/>
  <c r="C121" i="7"/>
  <c r="E121" i="7" s="1"/>
  <c r="F120" i="7"/>
  <c r="E120" i="7"/>
  <c r="F119" i="7"/>
  <c r="E119" i="7"/>
  <c r="E118" i="7"/>
  <c r="F118" i="7" s="1"/>
  <c r="F117" i="7"/>
  <c r="E117" i="7"/>
  <c r="F116" i="7"/>
  <c r="E116" i="7"/>
  <c r="E115" i="7"/>
  <c r="F115" i="7" s="1"/>
  <c r="E114" i="7"/>
  <c r="F114" i="7" s="1"/>
  <c r="E113" i="7"/>
  <c r="F113" i="7" s="1"/>
  <c r="F112" i="7"/>
  <c r="E112" i="7"/>
  <c r="E111" i="7"/>
  <c r="F111" i="7" s="1"/>
  <c r="E110" i="7"/>
  <c r="F110" i="7" s="1"/>
  <c r="E109" i="7"/>
  <c r="F109" i="7" s="1"/>
  <c r="F108" i="7"/>
  <c r="E108" i="7"/>
  <c r="E107" i="7"/>
  <c r="F107" i="7" s="1"/>
  <c r="E106" i="7"/>
  <c r="F106" i="7" s="1"/>
  <c r="F105" i="7"/>
  <c r="E105" i="7"/>
  <c r="F104" i="7"/>
  <c r="E104" i="7"/>
  <c r="E103" i="7"/>
  <c r="F103" i="7" s="1"/>
  <c r="E93" i="7"/>
  <c r="F93" i="7" s="1"/>
  <c r="D90" i="7"/>
  <c r="D95" i="7" s="1"/>
  <c r="C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E76" i="7"/>
  <c r="F76" i="7" s="1"/>
  <c r="E75" i="7"/>
  <c r="F75" i="7" s="1"/>
  <c r="E74" i="7"/>
  <c r="F74" i="7" s="1"/>
  <c r="F73" i="7"/>
  <c r="E73" i="7"/>
  <c r="E72" i="7"/>
  <c r="F72" i="7" s="1"/>
  <c r="E71" i="7"/>
  <c r="F71" i="7" s="1"/>
  <c r="E70" i="7"/>
  <c r="F70" i="7" s="1"/>
  <c r="F69" i="7"/>
  <c r="E69" i="7"/>
  <c r="E68" i="7"/>
  <c r="F68" i="7" s="1"/>
  <c r="F67" i="7"/>
  <c r="E67" i="7"/>
  <c r="E66" i="7"/>
  <c r="F66" i="7" s="1"/>
  <c r="F65" i="7"/>
  <c r="E65" i="7"/>
  <c r="F64" i="7"/>
  <c r="E64" i="7"/>
  <c r="E63" i="7"/>
  <c r="F63" i="7" s="1"/>
  <c r="E62" i="7"/>
  <c r="F62" i="7" s="1"/>
  <c r="D59" i="7"/>
  <c r="C59" i="7"/>
  <c r="F58" i="7"/>
  <c r="E58" i="7"/>
  <c r="E57" i="7"/>
  <c r="F57" i="7" s="1"/>
  <c r="F56" i="7"/>
  <c r="E56" i="7"/>
  <c r="F55" i="7"/>
  <c r="E55" i="7"/>
  <c r="E54" i="7"/>
  <c r="F54" i="7" s="1"/>
  <c r="E53" i="7"/>
  <c r="F53" i="7" s="1"/>
  <c r="F50" i="7"/>
  <c r="E50" i="7"/>
  <c r="E47" i="7"/>
  <c r="F47" i="7" s="1"/>
  <c r="F44" i="7"/>
  <c r="E44" i="7"/>
  <c r="D41" i="7"/>
  <c r="E41" i="7"/>
  <c r="F41" i="7"/>
  <c r="C41" i="7"/>
  <c r="E40" i="7"/>
  <c r="F40" i="7" s="1"/>
  <c r="E39" i="7"/>
  <c r="F39" i="7" s="1"/>
  <c r="E38" i="7"/>
  <c r="F38" i="7" s="1"/>
  <c r="D35" i="7"/>
  <c r="C35" i="7"/>
  <c r="E34" i="7"/>
  <c r="F34" i="7" s="1"/>
  <c r="E33" i="7"/>
  <c r="F33" i="7" s="1"/>
  <c r="D30" i="7"/>
  <c r="E30" i="7" s="1"/>
  <c r="F30" i="7"/>
  <c r="C30" i="7"/>
  <c r="F29" i="7"/>
  <c r="E29" i="7"/>
  <c r="E28" i="7"/>
  <c r="F28" i="7" s="1"/>
  <c r="F27" i="7"/>
  <c r="E27" i="7"/>
  <c r="D24" i="7"/>
  <c r="C24" i="7"/>
  <c r="E23" i="7"/>
  <c r="F23" i="7" s="1"/>
  <c r="F22" i="7"/>
  <c r="E22" i="7"/>
  <c r="E21" i="7"/>
  <c r="F21" i="7" s="1"/>
  <c r="D18" i="7"/>
  <c r="C18" i="7"/>
  <c r="F17" i="7"/>
  <c r="E17" i="7"/>
  <c r="F16" i="7"/>
  <c r="E16" i="7"/>
  <c r="E15" i="7"/>
  <c r="F15" i="7" s="1"/>
  <c r="D179" i="6"/>
  <c r="E179" i="6"/>
  <c r="F179" i="6"/>
  <c r="C179" i="6"/>
  <c r="F178" i="6"/>
  <c r="E178" i="6"/>
  <c r="F177" i="6"/>
  <c r="E177" i="6"/>
  <c r="E176" i="6"/>
  <c r="F176" i="6" s="1"/>
  <c r="F175" i="6"/>
  <c r="E175" i="6"/>
  <c r="E174" i="6"/>
  <c r="F174" i="6" s="1"/>
  <c r="F173" i="6"/>
  <c r="E173" i="6"/>
  <c r="E172" i="6"/>
  <c r="F172" i="6" s="1"/>
  <c r="F171" i="6"/>
  <c r="E171" i="6"/>
  <c r="F170" i="6"/>
  <c r="E170" i="6"/>
  <c r="F169" i="6"/>
  <c r="E169" i="6"/>
  <c r="E168" i="6"/>
  <c r="F168" i="6" s="1"/>
  <c r="D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E150" i="6"/>
  <c r="F150" i="6" s="1"/>
  <c r="F149" i="6"/>
  <c r="E149" i="6"/>
  <c r="E148" i="6"/>
  <c r="F148" i="6" s="1"/>
  <c r="F147" i="6"/>
  <c r="E147" i="6"/>
  <c r="F146" i="6"/>
  <c r="E146" i="6"/>
  <c r="F145" i="6"/>
  <c r="E145" i="6"/>
  <c r="E144" i="6"/>
  <c r="F144" i="6" s="1"/>
  <c r="F143" i="6"/>
  <c r="E143" i="6"/>
  <c r="E142" i="6"/>
  <c r="F142" i="6" s="1"/>
  <c r="D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 s="1"/>
  <c r="C124" i="6"/>
  <c r="F123" i="6"/>
  <c r="E123" i="6"/>
  <c r="F122" i="6"/>
  <c r="E122" i="6"/>
  <c r="E121" i="6"/>
  <c r="F121" i="6" s="1"/>
  <c r="F120" i="6"/>
  <c r="E120" i="6"/>
  <c r="E119" i="6"/>
  <c r="F119" i="6" s="1"/>
  <c r="F118" i="6"/>
  <c r="E118" i="6"/>
  <c r="E117" i="6"/>
  <c r="F117" i="6" s="1"/>
  <c r="F116" i="6"/>
  <c r="E116" i="6"/>
  <c r="E115" i="6"/>
  <c r="F115" i="6" s="1"/>
  <c r="F114" i="6"/>
  <c r="E114" i="6"/>
  <c r="E113" i="6"/>
  <c r="F113" i="6" s="1"/>
  <c r="D111" i="6"/>
  <c r="C111" i="6"/>
  <c r="F110" i="6"/>
  <c r="E110" i="6"/>
  <c r="F109" i="6"/>
  <c r="E109" i="6"/>
  <c r="F108" i="6"/>
  <c r="E108" i="6"/>
  <c r="F107" i="6"/>
  <c r="E107" i="6"/>
  <c r="E106" i="6"/>
  <c r="F106" i="6" s="1"/>
  <c r="F105" i="6"/>
  <c r="E105" i="6"/>
  <c r="F104" i="6"/>
  <c r="E104" i="6"/>
  <c r="F103" i="6"/>
  <c r="E103" i="6"/>
  <c r="E102" i="6"/>
  <c r="F102" i="6" s="1"/>
  <c r="F101" i="6"/>
  <c r="E101" i="6"/>
  <c r="F100" i="6"/>
  <c r="E100" i="6"/>
  <c r="F94" i="6"/>
  <c r="D94" i="6"/>
  <c r="E94" i="6" s="1"/>
  <c r="C94" i="6"/>
  <c r="D93" i="6"/>
  <c r="E93" i="6"/>
  <c r="C93" i="6"/>
  <c r="F93" i="6" s="1"/>
  <c r="D92" i="6"/>
  <c r="E92" i="6"/>
  <c r="F92" i="6"/>
  <c r="C92" i="6"/>
  <c r="D91" i="6"/>
  <c r="E91" i="6"/>
  <c r="C91" i="6"/>
  <c r="F91" i="6" s="1"/>
  <c r="D90" i="6"/>
  <c r="C90" i="6"/>
  <c r="D89" i="6"/>
  <c r="E89" i="6"/>
  <c r="C89" i="6"/>
  <c r="F89" i="6" s="1"/>
  <c r="D88" i="6"/>
  <c r="E88" i="6"/>
  <c r="C88" i="6"/>
  <c r="D87" i="6"/>
  <c r="E87" i="6" s="1"/>
  <c r="C87" i="6"/>
  <c r="F87" i="6" s="1"/>
  <c r="D86" i="6"/>
  <c r="E86" i="6"/>
  <c r="F86" i="6" s="1"/>
  <c r="C86" i="6"/>
  <c r="D85" i="6"/>
  <c r="E85" i="6" s="1"/>
  <c r="C85" i="6"/>
  <c r="F85" i="6" s="1"/>
  <c r="D84" i="6"/>
  <c r="C84" i="6"/>
  <c r="D81" i="6"/>
  <c r="E81" i="6"/>
  <c r="C81" i="6"/>
  <c r="F80" i="6"/>
  <c r="E80" i="6"/>
  <c r="F79" i="6"/>
  <c r="E79" i="6"/>
  <c r="F78" i="6"/>
  <c r="E78" i="6"/>
  <c r="F77" i="6"/>
  <c r="E77" i="6"/>
  <c r="E76" i="6"/>
  <c r="F76" i="6" s="1"/>
  <c r="F75" i="6"/>
  <c r="E75" i="6"/>
  <c r="F74" i="6"/>
  <c r="E74" i="6"/>
  <c r="F73" i="6"/>
  <c r="E73" i="6"/>
  <c r="E72" i="6"/>
  <c r="F72" i="6" s="1"/>
  <c r="F71" i="6"/>
  <c r="E71" i="6"/>
  <c r="F70" i="6"/>
  <c r="E70" i="6"/>
  <c r="D68" i="6"/>
  <c r="E68" i="6"/>
  <c r="C68" i="6"/>
  <c r="F68" i="6" s="1"/>
  <c r="F67" i="6"/>
  <c r="E67" i="6"/>
  <c r="F66" i="6"/>
  <c r="E66" i="6"/>
  <c r="E65" i="6"/>
  <c r="F65" i="6" s="1"/>
  <c r="F64" i="6"/>
  <c r="E64" i="6"/>
  <c r="F63" i="6"/>
  <c r="E63" i="6"/>
  <c r="F62" i="6"/>
  <c r="E62" i="6"/>
  <c r="E61" i="6"/>
  <c r="F61" i="6" s="1"/>
  <c r="F60" i="6"/>
  <c r="E60" i="6"/>
  <c r="F59" i="6"/>
  <c r="E59" i="6"/>
  <c r="F58" i="6"/>
  <c r="E58" i="6"/>
  <c r="E57" i="6"/>
  <c r="F57" i="6" s="1"/>
  <c r="F51" i="6"/>
  <c r="D51" i="6"/>
  <c r="E51" i="6" s="1"/>
  <c r="C51" i="6"/>
  <c r="D50" i="6"/>
  <c r="E50" i="6" s="1"/>
  <c r="C50" i="6"/>
  <c r="F50" i="6" s="1"/>
  <c r="D49" i="6"/>
  <c r="E49" i="6" s="1"/>
  <c r="F49" i="6"/>
  <c r="C49" i="6"/>
  <c r="D48" i="6"/>
  <c r="C48" i="6"/>
  <c r="F48" i="6" s="1"/>
  <c r="D47" i="6"/>
  <c r="E47" i="6"/>
  <c r="F47" i="6" s="1"/>
  <c r="C47" i="6"/>
  <c r="F46" i="6"/>
  <c r="D46" i="6"/>
  <c r="C46" i="6"/>
  <c r="D45" i="6"/>
  <c r="E45" i="6" s="1"/>
  <c r="F45" i="6" s="1"/>
  <c r="C45" i="6"/>
  <c r="F44" i="6"/>
  <c r="D44" i="6"/>
  <c r="E44" i="6" s="1"/>
  <c r="C44" i="6"/>
  <c r="D43" i="6"/>
  <c r="E43" i="6"/>
  <c r="F43" i="6" s="1"/>
  <c r="C43" i="6"/>
  <c r="D42" i="6"/>
  <c r="E42" i="6" s="1"/>
  <c r="C42" i="6"/>
  <c r="F42" i="6" s="1"/>
  <c r="D41" i="6"/>
  <c r="E41" i="6"/>
  <c r="F41" i="6"/>
  <c r="C41" i="6"/>
  <c r="C52" i="6"/>
  <c r="D38" i="6"/>
  <c r="C38" i="6"/>
  <c r="F37" i="6"/>
  <c r="E37" i="6"/>
  <c r="F36" i="6"/>
  <c r="E36" i="6"/>
  <c r="F35" i="6"/>
  <c r="E35" i="6"/>
  <c r="F34" i="6"/>
  <c r="E34" i="6"/>
  <c r="E33" i="6"/>
  <c r="F33" i="6" s="1"/>
  <c r="F32" i="6"/>
  <c r="E32" i="6"/>
  <c r="F31" i="6"/>
  <c r="E31" i="6"/>
  <c r="F30" i="6"/>
  <c r="E30" i="6"/>
  <c r="E29" i="6"/>
  <c r="F29" i="6" s="1"/>
  <c r="F28" i="6"/>
  <c r="E28" i="6"/>
  <c r="F27" i="6"/>
  <c r="E27" i="6"/>
  <c r="D25" i="6"/>
  <c r="E25" i="6"/>
  <c r="C25" i="6"/>
  <c r="F25" i="6" s="1"/>
  <c r="F24" i="6"/>
  <c r="E24" i="6"/>
  <c r="F23" i="6"/>
  <c r="E23" i="6"/>
  <c r="F22" i="6"/>
  <c r="E22" i="6"/>
  <c r="F21" i="6"/>
  <c r="E21" i="6"/>
  <c r="E20" i="6"/>
  <c r="F20" i="6" s="1"/>
  <c r="F19" i="6"/>
  <c r="E19" i="6"/>
  <c r="E18" i="6"/>
  <c r="F18" i="6" s="1"/>
  <c r="F17" i="6"/>
  <c r="E17" i="6"/>
  <c r="E16" i="6"/>
  <c r="F16" i="6" s="1"/>
  <c r="F15" i="6"/>
  <c r="E15" i="6"/>
  <c r="F14" i="6"/>
  <c r="E14" i="6"/>
  <c r="F51" i="5"/>
  <c r="E51" i="5"/>
  <c r="D48" i="5"/>
  <c r="E48" i="5"/>
  <c r="C48" i="5"/>
  <c r="F48" i="5" s="1"/>
  <c r="F47" i="5"/>
  <c r="E47" i="5"/>
  <c r="F46" i="5"/>
  <c r="E46" i="5"/>
  <c r="D41" i="5"/>
  <c r="E41" i="5"/>
  <c r="F41" i="5"/>
  <c r="C41" i="5"/>
  <c r="F40" i="5"/>
  <c r="E40" i="5"/>
  <c r="F39" i="5"/>
  <c r="E39" i="5"/>
  <c r="E38" i="5"/>
  <c r="F38" i="5" s="1"/>
  <c r="D33" i="5"/>
  <c r="C33" i="5"/>
  <c r="F32" i="5"/>
  <c r="E32" i="5"/>
  <c r="E31" i="5"/>
  <c r="F31" i="5" s="1"/>
  <c r="F30" i="5"/>
  <c r="E30" i="5"/>
  <c r="F29" i="5"/>
  <c r="E29" i="5"/>
  <c r="E28" i="5"/>
  <c r="F28" i="5" s="1"/>
  <c r="E27" i="5"/>
  <c r="F27" i="5" s="1"/>
  <c r="F26" i="5"/>
  <c r="E26" i="5"/>
  <c r="F25" i="5"/>
  <c r="E25" i="5"/>
  <c r="E24" i="5"/>
  <c r="F24" i="5" s="1"/>
  <c r="E20" i="5"/>
  <c r="F20" i="5" s="1"/>
  <c r="F19" i="5"/>
  <c r="E19" i="5"/>
  <c r="E17" i="5"/>
  <c r="F17" i="5" s="1"/>
  <c r="D16" i="5"/>
  <c r="D18" i="5"/>
  <c r="E18" i="5" s="1"/>
  <c r="C16" i="5"/>
  <c r="C18" i="5"/>
  <c r="F15" i="5"/>
  <c r="E15" i="5"/>
  <c r="E14" i="5"/>
  <c r="F14" i="5" s="1"/>
  <c r="E13" i="5"/>
  <c r="F13" i="5" s="1"/>
  <c r="E12" i="5"/>
  <c r="F12" i="5" s="1"/>
  <c r="D73" i="4"/>
  <c r="C73" i="4"/>
  <c r="E72" i="4"/>
  <c r="F72" i="4"/>
  <c r="E71" i="4"/>
  <c r="F71" i="4" s="1"/>
  <c r="E70" i="4"/>
  <c r="F70" i="4"/>
  <c r="F67" i="4"/>
  <c r="E67" i="4"/>
  <c r="E64" i="4"/>
  <c r="F64" i="4"/>
  <c r="E63" i="4"/>
  <c r="F63" i="4" s="1"/>
  <c r="D61" i="4"/>
  <c r="D65" i="4"/>
  <c r="C61" i="4"/>
  <c r="E60" i="4"/>
  <c r="F60" i="4"/>
  <c r="E59" i="4"/>
  <c r="F59" i="4"/>
  <c r="D56" i="4"/>
  <c r="C56" i="4"/>
  <c r="E55" i="4"/>
  <c r="F55" i="4" s="1"/>
  <c r="E54" i="4"/>
  <c r="F54" i="4" s="1"/>
  <c r="E53" i="4"/>
  <c r="F53" i="4"/>
  <c r="E52" i="4"/>
  <c r="F52" i="4" s="1"/>
  <c r="E51" i="4"/>
  <c r="F51" i="4" s="1"/>
  <c r="E50" i="4"/>
  <c r="F50" i="4" s="1"/>
  <c r="A50" i="4"/>
  <c r="A51" i="4"/>
  <c r="A52" i="4" s="1"/>
  <c r="A53" i="4" s="1"/>
  <c r="A54" i="4"/>
  <c r="A55" i="4" s="1"/>
  <c r="E49" i="4"/>
  <c r="F49" i="4" s="1"/>
  <c r="E40" i="4"/>
  <c r="F40" i="4"/>
  <c r="D38" i="4"/>
  <c r="D41" i="4"/>
  <c r="C38" i="4"/>
  <c r="E37" i="4"/>
  <c r="F37" i="4"/>
  <c r="E36" i="4"/>
  <c r="F36" i="4"/>
  <c r="E33" i="4"/>
  <c r="F33" i="4" s="1"/>
  <c r="F32" i="4"/>
  <c r="E32" i="4"/>
  <c r="E31" i="4"/>
  <c r="F31" i="4"/>
  <c r="D29" i="4"/>
  <c r="C29" i="4"/>
  <c r="F28" i="4"/>
  <c r="E28" i="4"/>
  <c r="F27" i="4"/>
  <c r="E27" i="4"/>
  <c r="F26" i="4"/>
  <c r="E26" i="4"/>
  <c r="E25" i="4"/>
  <c r="F25" i="4"/>
  <c r="D22" i="4"/>
  <c r="C22" i="4"/>
  <c r="E21" i="4"/>
  <c r="F21" i="4"/>
  <c r="E20" i="4"/>
  <c r="F20" i="4" s="1"/>
  <c r="E19" i="4"/>
  <c r="F19" i="4"/>
  <c r="F18" i="4"/>
  <c r="E18" i="4"/>
  <c r="E17" i="4"/>
  <c r="F17" i="4"/>
  <c r="E16" i="4"/>
  <c r="F16" i="4" s="1"/>
  <c r="E15" i="4"/>
  <c r="F15" i="4"/>
  <c r="F14" i="4"/>
  <c r="E14" i="4"/>
  <c r="E13" i="4"/>
  <c r="F13" i="4"/>
  <c r="E109" i="22"/>
  <c r="E108" i="22"/>
  <c r="D22" i="22"/>
  <c r="D35" i="22" s="1"/>
  <c r="C23" i="22"/>
  <c r="D33" i="22"/>
  <c r="C34" i="22"/>
  <c r="D101" i="22"/>
  <c r="D103" i="22" s="1"/>
  <c r="C22" i="22"/>
  <c r="D41" i="20"/>
  <c r="E19" i="20"/>
  <c r="F19" i="20"/>
  <c r="C22" i="19"/>
  <c r="D258" i="18"/>
  <c r="D100" i="18"/>
  <c r="D98" i="18"/>
  <c r="D96" i="18"/>
  <c r="D102" i="18" s="1"/>
  <c r="D89" i="18"/>
  <c r="D87" i="18"/>
  <c r="D85" i="18"/>
  <c r="D83" i="18"/>
  <c r="D101" i="18"/>
  <c r="D99" i="18"/>
  <c r="D97" i="18"/>
  <c r="D95" i="18"/>
  <c r="D88" i="18"/>
  <c r="D86" i="18"/>
  <c r="D84" i="18"/>
  <c r="E33" i="18"/>
  <c r="E94" i="17"/>
  <c r="F94" i="17"/>
  <c r="E100" i="17"/>
  <c r="F100" i="17" s="1"/>
  <c r="E120" i="17"/>
  <c r="F120" i="17" s="1"/>
  <c r="F229" i="17"/>
  <c r="F238" i="17"/>
  <c r="E297" i="17"/>
  <c r="D283" i="18"/>
  <c r="E283" i="18"/>
  <c r="C22" i="18"/>
  <c r="C284" i="18" s="1"/>
  <c r="E32" i="18"/>
  <c r="E36" i="18"/>
  <c r="E21" i="18"/>
  <c r="E37" i="18"/>
  <c r="D289" i="18"/>
  <c r="E289" i="18" s="1"/>
  <c r="D71" i="18"/>
  <c r="D65" i="18"/>
  <c r="E60" i="18"/>
  <c r="C125" i="18"/>
  <c r="E69" i="18"/>
  <c r="E139" i="18"/>
  <c r="D144" i="18"/>
  <c r="C145" i="18"/>
  <c r="C156" i="18"/>
  <c r="C157" i="18"/>
  <c r="C163" i="18"/>
  <c r="D175" i="18"/>
  <c r="E175" i="18"/>
  <c r="C229" i="18"/>
  <c r="C210" i="18"/>
  <c r="C180" i="18"/>
  <c r="E205" i="18"/>
  <c r="C240" i="18"/>
  <c r="E240" i="18" s="1"/>
  <c r="E243" i="18"/>
  <c r="E244" i="18"/>
  <c r="D252" i="18"/>
  <c r="D253" i="18"/>
  <c r="D254" i="18" s="1"/>
  <c r="E302" i="18"/>
  <c r="C310" i="18"/>
  <c r="C261" i="18"/>
  <c r="C189" i="18"/>
  <c r="E188" i="18"/>
  <c r="E229" i="18"/>
  <c r="D234" i="18"/>
  <c r="E234" i="18" s="1"/>
  <c r="D211" i="18"/>
  <c r="D239" i="18"/>
  <c r="E239" i="18"/>
  <c r="E215" i="18"/>
  <c r="D306" i="18"/>
  <c r="E306" i="18" s="1"/>
  <c r="D320" i="18"/>
  <c r="E320" i="18"/>
  <c r="E316" i="18"/>
  <c r="D330" i="18"/>
  <c r="E330" i="18"/>
  <c r="C217" i="18"/>
  <c r="C241" i="18"/>
  <c r="E219" i="18"/>
  <c r="D222" i="18"/>
  <c r="E265" i="18"/>
  <c r="E314" i="18"/>
  <c r="E218" i="18"/>
  <c r="E220" i="18"/>
  <c r="E301" i="18"/>
  <c r="E324" i="18"/>
  <c r="C32" i="17"/>
  <c r="C160" i="17"/>
  <c r="C90" i="17"/>
  <c r="C61" i="17"/>
  <c r="C174" i="17" s="1"/>
  <c r="F68" i="17"/>
  <c r="D103" i="17"/>
  <c r="E103" i="17" s="1"/>
  <c r="F103" i="17" s="1"/>
  <c r="C207" i="17"/>
  <c r="C138" i="17"/>
  <c r="F146" i="17"/>
  <c r="C173" i="17"/>
  <c r="F173" i="17"/>
  <c r="F172" i="17"/>
  <c r="D32" i="17"/>
  <c r="E31" i="17"/>
  <c r="F31" i="17" s="1"/>
  <c r="D207" i="17"/>
  <c r="E172" i="17"/>
  <c r="C21" i="17"/>
  <c r="E30" i="17"/>
  <c r="F30" i="17"/>
  <c r="F35" i="17"/>
  <c r="E59" i="17"/>
  <c r="F59" i="17"/>
  <c r="E66" i="17"/>
  <c r="F66" i="17" s="1"/>
  <c r="E76" i="17"/>
  <c r="F76" i="17"/>
  <c r="F85" i="17"/>
  <c r="D124" i="17"/>
  <c r="E124" i="17"/>
  <c r="F124" i="17" s="1"/>
  <c r="F129" i="17"/>
  <c r="F130" i="17"/>
  <c r="F145" i="17"/>
  <c r="F155" i="17"/>
  <c r="F158" i="17"/>
  <c r="F164" i="17"/>
  <c r="F165" i="17"/>
  <c r="F171" i="17"/>
  <c r="D277" i="17"/>
  <c r="E277" i="17" s="1"/>
  <c r="E188" i="17"/>
  <c r="F188" i="17"/>
  <c r="D261" i="17"/>
  <c r="D206" i="17"/>
  <c r="D280" i="17"/>
  <c r="E191" i="17"/>
  <c r="F191" i="17"/>
  <c r="D264" i="17"/>
  <c r="D200" i="17"/>
  <c r="D193" i="17"/>
  <c r="F223" i="17"/>
  <c r="D21" i="17"/>
  <c r="E88" i="17"/>
  <c r="F88" i="17" s="1"/>
  <c r="E101" i="17"/>
  <c r="F101" i="17"/>
  <c r="E109" i="17"/>
  <c r="F109" i="17"/>
  <c r="C193" i="17"/>
  <c r="C192" i="17"/>
  <c r="E192" i="17" s="1"/>
  <c r="E123" i="17"/>
  <c r="F123" i="17" s="1"/>
  <c r="C124" i="17"/>
  <c r="E136" i="17"/>
  <c r="F136" i="17"/>
  <c r="E144" i="17"/>
  <c r="F144" i="17" s="1"/>
  <c r="E158" i="17"/>
  <c r="E171" i="17"/>
  <c r="D278" i="17"/>
  <c r="D262" i="17"/>
  <c r="E262" i="17" s="1"/>
  <c r="D215" i="17"/>
  <c r="D190" i="17"/>
  <c r="E190" i="17" s="1"/>
  <c r="D290" i="17"/>
  <c r="D274" i="17"/>
  <c r="E274" i="17"/>
  <c r="D199" i="17"/>
  <c r="D283" i="17"/>
  <c r="E283" i="17" s="1"/>
  <c r="D267" i="17"/>
  <c r="D270" i="17" s="1"/>
  <c r="D285" i="17"/>
  <c r="E285" i="17"/>
  <c r="D269" i="17"/>
  <c r="D205" i="17"/>
  <c r="D227" i="17"/>
  <c r="D239" i="17"/>
  <c r="E306" i="17"/>
  <c r="C287" i="17"/>
  <c r="C284" i="17"/>
  <c r="C190" i="17"/>
  <c r="C290" i="17"/>
  <c r="C274" i="17"/>
  <c r="E198" i="17"/>
  <c r="F198" i="17" s="1"/>
  <c r="C199" i="17"/>
  <c r="C200" i="17"/>
  <c r="C286" i="17"/>
  <c r="E203" i="17"/>
  <c r="F203" i="17"/>
  <c r="F285" i="17"/>
  <c r="E204" i="17"/>
  <c r="F204" i="17" s="1"/>
  <c r="C205" i="17"/>
  <c r="C206" i="17"/>
  <c r="C214" i="17"/>
  <c r="C215" i="17"/>
  <c r="E215" i="17" s="1"/>
  <c r="E250" i="17"/>
  <c r="F250" i="17"/>
  <c r="C254" i="17"/>
  <c r="C261" i="17"/>
  <c r="C262" i="17"/>
  <c r="C272" i="17" s="1"/>
  <c r="C264" i="17"/>
  <c r="C267" i="17"/>
  <c r="C269" i="17"/>
  <c r="F297" i="17"/>
  <c r="F298" i="17"/>
  <c r="I17" i="14"/>
  <c r="D31" i="14"/>
  <c r="F31" i="14"/>
  <c r="E33" i="14"/>
  <c r="E36" i="14"/>
  <c r="E38" i="14"/>
  <c r="E40" i="14" s="1"/>
  <c r="G33" i="14"/>
  <c r="D21" i="13"/>
  <c r="D15" i="13"/>
  <c r="D24" i="13" s="1"/>
  <c r="E17" i="13"/>
  <c r="E28" i="13" s="1"/>
  <c r="E70" i="13"/>
  <c r="E72" i="13" s="1"/>
  <c r="E69" i="13" s="1"/>
  <c r="D48" i="13"/>
  <c r="D42" i="13" s="1"/>
  <c r="D20" i="12"/>
  <c r="E22" i="11"/>
  <c r="F22" i="11"/>
  <c r="E38" i="11"/>
  <c r="F38" i="11"/>
  <c r="E56" i="11"/>
  <c r="F56" i="11" s="1"/>
  <c r="E112" i="10"/>
  <c r="E113" i="10"/>
  <c r="E198" i="9"/>
  <c r="C135" i="8"/>
  <c r="E138" i="8"/>
  <c r="E137" i="8"/>
  <c r="E135" i="8"/>
  <c r="C154" i="8"/>
  <c r="E20" i="8"/>
  <c r="E21" i="8"/>
  <c r="D157" i="8"/>
  <c r="D153" i="8"/>
  <c r="C17" i="8"/>
  <c r="E17" i="8"/>
  <c r="E43" i="8"/>
  <c r="D49" i="8"/>
  <c r="E53" i="8"/>
  <c r="D57" i="8"/>
  <c r="D62" i="8" s="1"/>
  <c r="D77" i="8"/>
  <c r="D71" i="8"/>
  <c r="D43" i="8"/>
  <c r="E49" i="8"/>
  <c r="C77" i="8"/>
  <c r="C71" i="8"/>
  <c r="E183" i="7"/>
  <c r="F183" i="7"/>
  <c r="D21" i="5"/>
  <c r="D35" i="5" s="1"/>
  <c r="E16" i="5"/>
  <c r="F16" i="5"/>
  <c r="E29" i="4"/>
  <c r="F29" i="4" s="1"/>
  <c r="E73" i="4"/>
  <c r="F73" i="4"/>
  <c r="E38" i="4"/>
  <c r="F38" i="4"/>
  <c r="C41" i="4"/>
  <c r="E56" i="4"/>
  <c r="F56" i="4"/>
  <c r="E61" i="4"/>
  <c r="C39" i="22"/>
  <c r="C29" i="22"/>
  <c r="D53" i="22"/>
  <c r="D45" i="22"/>
  <c r="D310" i="18"/>
  <c r="E310" i="18" s="1"/>
  <c r="D180" i="18"/>
  <c r="E180" i="18" s="1"/>
  <c r="E144" i="18"/>
  <c r="C168" i="18"/>
  <c r="D90" i="18"/>
  <c r="D91" i="18" s="1"/>
  <c r="D223" i="18"/>
  <c r="C234" i="18"/>
  <c r="C211" i="18"/>
  <c r="C235" i="18" s="1"/>
  <c r="E261" i="18"/>
  <c r="D66" i="18"/>
  <c r="D294" i="18"/>
  <c r="E22" i="18"/>
  <c r="C216" i="17"/>
  <c r="C271" i="17"/>
  <c r="E205" i="17"/>
  <c r="E199" i="17"/>
  <c r="D272" i="17"/>
  <c r="E272" i="17"/>
  <c r="D288" i="17"/>
  <c r="D271" i="17"/>
  <c r="D263" i="17"/>
  <c r="F277" i="17"/>
  <c r="D287" i="17"/>
  <c r="D291" i="17" s="1"/>
  <c r="D284" i="17"/>
  <c r="E284" i="17"/>
  <c r="F192" i="17"/>
  <c r="C161" i="17"/>
  <c r="E161" i="17" s="1"/>
  <c r="C91" i="17"/>
  <c r="C92" i="17" s="1"/>
  <c r="C49" i="17"/>
  <c r="C175" i="17"/>
  <c r="C105" i="17"/>
  <c r="C62" i="17"/>
  <c r="F262" i="17"/>
  <c r="F205" i="17"/>
  <c r="E269" i="17"/>
  <c r="F269" i="17" s="1"/>
  <c r="F283" i="17"/>
  <c r="D286" i="17"/>
  <c r="E286" i="17"/>
  <c r="F286" i="17" s="1"/>
  <c r="F215" i="17"/>
  <c r="D255" i="17"/>
  <c r="C194" i="17"/>
  <c r="C196" i="17"/>
  <c r="D161" i="17"/>
  <c r="D126" i="17"/>
  <c r="D91" i="17"/>
  <c r="D300" i="17"/>
  <c r="E264" i="17"/>
  <c r="F264" i="17" s="1"/>
  <c r="E280" i="17"/>
  <c r="F280" i="17" s="1"/>
  <c r="F214" i="17"/>
  <c r="D254" i="17"/>
  <c r="D216" i="17"/>
  <c r="E216" i="17" s="1"/>
  <c r="D105" i="17"/>
  <c r="D106" i="17" s="1"/>
  <c r="E106" i="17" s="1"/>
  <c r="C208" i="17"/>
  <c r="C104" i="17"/>
  <c r="C125" i="17"/>
  <c r="E22" i="13"/>
  <c r="C112" i="8"/>
  <c r="C111" i="8"/>
  <c r="C28" i="8"/>
  <c r="E41" i="4"/>
  <c r="F41" i="4" s="1"/>
  <c r="C43" i="4"/>
  <c r="C55" i="22"/>
  <c r="D295" i="18"/>
  <c r="C209" i="17"/>
  <c r="F216" i="17"/>
  <c r="D92" i="17"/>
  <c r="D162" i="17"/>
  <c r="C195" i="17"/>
  <c r="C106" i="17"/>
  <c r="C176" i="17"/>
  <c r="F176" i="17" s="1"/>
  <c r="C99" i="8"/>
  <c r="C101" i="8" s="1"/>
  <c r="D43" i="5"/>
  <c r="F111" i="17" l="1"/>
  <c r="E111" i="17"/>
  <c r="C113" i="17"/>
  <c r="C37" i="22"/>
  <c r="C47" i="22"/>
  <c r="C112" i="22"/>
  <c r="E290" i="17"/>
  <c r="F290" i="17"/>
  <c r="E211" i="18"/>
  <c r="D127" i="17"/>
  <c r="H31" i="14"/>
  <c r="F199" i="17"/>
  <c r="D25" i="8"/>
  <c r="D27" i="8" s="1"/>
  <c r="D15" i="8"/>
  <c r="E200" i="9"/>
  <c r="D207" i="9"/>
  <c r="E207" i="9" s="1"/>
  <c r="F36" i="14"/>
  <c r="F38" i="14" s="1"/>
  <c r="F40" i="14" s="1"/>
  <c r="H33" i="14"/>
  <c r="H36" i="14" s="1"/>
  <c r="H38" i="14" s="1"/>
  <c r="H40" i="14" s="1"/>
  <c r="F65" i="15"/>
  <c r="E65" i="15"/>
  <c r="E33" i="22"/>
  <c r="E23" i="22"/>
  <c r="E34" i="22"/>
  <c r="E105" i="17"/>
  <c r="F105" i="17" s="1"/>
  <c r="E254" i="17"/>
  <c r="F254" i="17" s="1"/>
  <c r="D247" i="18"/>
  <c r="H17" i="14"/>
  <c r="D175" i="17"/>
  <c r="E32" i="17"/>
  <c r="F32" i="17" s="1"/>
  <c r="D210" i="17"/>
  <c r="D62" i="17"/>
  <c r="C113" i="18"/>
  <c r="C102" i="22"/>
  <c r="C103" i="22" s="1"/>
  <c r="C108" i="22"/>
  <c r="F111" i="6"/>
  <c r="E63" i="9"/>
  <c r="F63" i="9"/>
  <c r="D61" i="17"/>
  <c r="E60" i="17"/>
  <c r="F60" i="17" s="1"/>
  <c r="C181" i="17"/>
  <c r="F179" i="17"/>
  <c r="E296" i="17"/>
  <c r="F296" i="17" s="1"/>
  <c r="F307" i="17"/>
  <c r="F106" i="17"/>
  <c r="D34" i="12"/>
  <c r="E90" i="7"/>
  <c r="F90" i="7" s="1"/>
  <c r="G36" i="14"/>
  <c r="G38" i="14" s="1"/>
  <c r="G40" i="14" s="1"/>
  <c r="I33" i="14"/>
  <c r="I36" i="14" s="1"/>
  <c r="I38" i="14" s="1"/>
  <c r="I40" i="14" s="1"/>
  <c r="C263" i="17"/>
  <c r="E263" i="17" s="1"/>
  <c r="C268" i="17"/>
  <c r="C300" i="17"/>
  <c r="F274" i="17"/>
  <c r="E179" i="17"/>
  <c r="D268" i="17"/>
  <c r="E268" i="17" s="1"/>
  <c r="E261" i="17"/>
  <c r="F261" i="17" s="1"/>
  <c r="E110" i="17"/>
  <c r="F110" i="17" s="1"/>
  <c r="F18" i="5"/>
  <c r="F179" i="9"/>
  <c r="E179" i="9"/>
  <c r="E23" i="17"/>
  <c r="F23" i="17" s="1"/>
  <c r="D138" i="17"/>
  <c r="E138" i="17" s="1"/>
  <c r="E137" i="17"/>
  <c r="F137" i="17" s="1"/>
  <c r="E230" i="17"/>
  <c r="F230" i="17" s="1"/>
  <c r="C273" i="17"/>
  <c r="F271" i="17"/>
  <c r="C65" i="11"/>
  <c r="E61" i="11"/>
  <c r="F61" i="11" s="1"/>
  <c r="F100" i="15"/>
  <c r="C245" i="18"/>
  <c r="C253" i="18" s="1"/>
  <c r="D305" i="17"/>
  <c r="D105" i="18"/>
  <c r="E222" i="18"/>
  <c r="D246" i="18"/>
  <c r="D76" i="18"/>
  <c r="E71" i="18"/>
  <c r="C30" i="22"/>
  <c r="C46" i="22"/>
  <c r="C36" i="22"/>
  <c r="C111" i="22"/>
  <c r="C54" i="22"/>
  <c r="C152" i="8"/>
  <c r="C153" i="8"/>
  <c r="C157" i="8"/>
  <c r="C155" i="8"/>
  <c r="C156" i="8"/>
  <c r="D208" i="9"/>
  <c r="E208" i="9" s="1"/>
  <c r="E199" i="9"/>
  <c r="E294" i="17"/>
  <c r="F294" i="17" s="1"/>
  <c r="C17" i="13"/>
  <c r="C28" i="13" s="1"/>
  <c r="C70" i="13" s="1"/>
  <c r="C72" i="13" s="1"/>
  <c r="C69" i="13" s="1"/>
  <c r="F138" i="17"/>
  <c r="E221" i="18"/>
  <c r="D103" i="18"/>
  <c r="C65" i="4"/>
  <c r="F61" i="4"/>
  <c r="F24" i="7"/>
  <c r="D155" i="8"/>
  <c r="D156" i="8"/>
  <c r="D152" i="8"/>
  <c r="D154" i="8"/>
  <c r="C17" i="12"/>
  <c r="E15" i="12"/>
  <c r="F15" i="12" s="1"/>
  <c r="D20" i="13"/>
  <c r="F135" i="17"/>
  <c r="C39" i="20"/>
  <c r="D273" i="17"/>
  <c r="E273" i="17" s="1"/>
  <c r="E271" i="17"/>
  <c r="E193" i="17"/>
  <c r="D194" i="17"/>
  <c r="D282" i="17"/>
  <c r="C169" i="18"/>
  <c r="C181" i="18"/>
  <c r="D43" i="4"/>
  <c r="E43" i="4" s="1"/>
  <c r="F43" i="4" s="1"/>
  <c r="E22" i="4"/>
  <c r="F22" i="4" s="1"/>
  <c r="C95" i="7"/>
  <c r="E140" i="9"/>
  <c r="F140" i="9"/>
  <c r="D50" i="5"/>
  <c r="E95" i="7"/>
  <c r="C138" i="8"/>
  <c r="C136" i="8"/>
  <c r="C141" i="8" s="1"/>
  <c r="C139" i="8"/>
  <c r="C137" i="8"/>
  <c r="E29" i="11"/>
  <c r="F29" i="11" s="1"/>
  <c r="D43" i="11"/>
  <c r="E41" i="11"/>
  <c r="F41" i="11"/>
  <c r="E45" i="15"/>
  <c r="C111" i="18"/>
  <c r="C114" i="18"/>
  <c r="C109" i="18"/>
  <c r="C112" i="18"/>
  <c r="C123" i="18"/>
  <c r="C126" i="18"/>
  <c r="C121" i="18"/>
  <c r="C110" i="18"/>
  <c r="C116" i="18" s="1"/>
  <c r="C124" i="18"/>
  <c r="C122" i="18"/>
  <c r="C127" i="18"/>
  <c r="E252" i="18"/>
  <c r="D109" i="22"/>
  <c r="D108" i="22"/>
  <c r="D324" i="17"/>
  <c r="D113" i="17"/>
  <c r="E113" i="17" s="1"/>
  <c r="D208" i="17"/>
  <c r="E208" i="17" s="1"/>
  <c r="F208" i="17" s="1"/>
  <c r="E207" i="17"/>
  <c r="F207" i="17" s="1"/>
  <c r="C57" i="8"/>
  <c r="C62" i="8" s="1"/>
  <c r="C53" i="8"/>
  <c r="C43" i="8"/>
  <c r="C49" i="8"/>
  <c r="E154" i="8"/>
  <c r="E152" i="8"/>
  <c r="E158" i="8" s="1"/>
  <c r="E155" i="8"/>
  <c r="E153" i="8"/>
  <c r="E20" i="13"/>
  <c r="E21" i="13"/>
  <c r="C324" i="17"/>
  <c r="D304" i="17"/>
  <c r="F91" i="17"/>
  <c r="E112" i="8"/>
  <c r="E111" i="8" s="1"/>
  <c r="E28" i="8"/>
  <c r="E156" i="8"/>
  <c r="E92" i="17"/>
  <c r="F92" i="17" s="1"/>
  <c r="C50" i="17"/>
  <c r="C40" i="22"/>
  <c r="D52" i="6"/>
  <c r="E52" i="6" s="1"/>
  <c r="F52" i="6" s="1"/>
  <c r="E157" i="8"/>
  <c r="C33" i="14"/>
  <c r="C36" i="14" s="1"/>
  <c r="C38" i="14" s="1"/>
  <c r="C40" i="14" s="1"/>
  <c r="F267" i="17"/>
  <c r="C270" i="17"/>
  <c r="E270" i="17" s="1"/>
  <c r="E267" i="17"/>
  <c r="E200" i="17"/>
  <c r="F200" i="17"/>
  <c r="E22" i="22"/>
  <c r="D95" i="6"/>
  <c r="E24" i="7"/>
  <c r="F102" i="9"/>
  <c r="E102" i="9"/>
  <c r="F59" i="10"/>
  <c r="C44" i="18"/>
  <c r="C259" i="18"/>
  <c r="C263" i="18" s="1"/>
  <c r="E43" i="18"/>
  <c r="D55" i="18"/>
  <c r="E54" i="18"/>
  <c r="D241" i="18"/>
  <c r="E241" i="18" s="1"/>
  <c r="E217" i="18"/>
  <c r="E39" i="20"/>
  <c r="E41" i="20" s="1"/>
  <c r="C35" i="22"/>
  <c r="C53" i="22"/>
  <c r="E77" i="8"/>
  <c r="E71" i="8" s="1"/>
  <c r="E88" i="8"/>
  <c r="E90" i="8" s="1"/>
  <c r="E86" i="8" s="1"/>
  <c r="E139" i="8"/>
  <c r="E140" i="8"/>
  <c r="D48" i="17"/>
  <c r="E47" i="17"/>
  <c r="F47" i="17" s="1"/>
  <c r="D266" i="17"/>
  <c r="C239" i="17"/>
  <c r="E163" i="18"/>
  <c r="D260" i="18"/>
  <c r="E195" i="18"/>
  <c r="C222" i="18"/>
  <c r="F22" i="20"/>
  <c r="E25" i="20"/>
  <c r="F25" i="20" s="1"/>
  <c r="E103" i="22"/>
  <c r="C139" i="17"/>
  <c r="E91" i="17"/>
  <c r="D145" i="18"/>
  <c r="D110" i="22"/>
  <c r="C45" i="22"/>
  <c r="E136" i="8"/>
  <c r="E141" i="8" s="1"/>
  <c r="F272" i="17"/>
  <c r="C282" i="17"/>
  <c r="F193" i="17"/>
  <c r="C266" i="17"/>
  <c r="E206" i="17"/>
  <c r="F206" i="17" s="1"/>
  <c r="C37" i="17"/>
  <c r="C210" i="17"/>
  <c r="C140" i="17"/>
  <c r="E216" i="18"/>
  <c r="E102" i="22"/>
  <c r="C95" i="6"/>
  <c r="E84" i="6"/>
  <c r="F84" i="6" s="1"/>
  <c r="E130" i="7"/>
  <c r="F130" i="7" s="1"/>
  <c r="C188" i="7"/>
  <c r="E89" i="9"/>
  <c r="C278" i="17"/>
  <c r="E189" i="17"/>
  <c r="F189" i="17" s="1"/>
  <c r="C255" i="17"/>
  <c r="E237" i="17"/>
  <c r="F237" i="17" s="1"/>
  <c r="E192" i="9"/>
  <c r="F192" i="9"/>
  <c r="C162" i="17"/>
  <c r="D17" i="13"/>
  <c r="D28" i="13" s="1"/>
  <c r="E21" i="17"/>
  <c r="F21" i="17" s="1"/>
  <c r="C126" i="17"/>
  <c r="E126" i="17" s="1"/>
  <c r="F137" i="6"/>
  <c r="F166" i="6"/>
  <c r="C98" i="8"/>
  <c r="E75" i="9"/>
  <c r="E166" i="9"/>
  <c r="E204" i="9"/>
  <c r="C46" i="20"/>
  <c r="E43" i="20"/>
  <c r="E46" i="20" s="1"/>
  <c r="F43" i="20"/>
  <c r="C63" i="17"/>
  <c r="D289" i="17"/>
  <c r="E287" i="17"/>
  <c r="F287" i="17" s="1"/>
  <c r="F190" i="17"/>
  <c r="E65" i="4"/>
  <c r="E18" i="7"/>
  <c r="F18" i="7" s="1"/>
  <c r="E60" i="10"/>
  <c r="C66" i="18"/>
  <c r="C295" i="18" s="1"/>
  <c r="E295" i="18" s="1"/>
  <c r="C294" i="18"/>
  <c r="E294" i="18" s="1"/>
  <c r="F20" i="20"/>
  <c r="C304" i="17"/>
  <c r="D29" i="22"/>
  <c r="C21" i="5"/>
  <c r="F161" i="17"/>
  <c r="E65" i="18"/>
  <c r="D39" i="22"/>
  <c r="C110" i="22"/>
  <c r="F284" i="17"/>
  <c r="F81" i="6"/>
  <c r="F88" i="6"/>
  <c r="E90" i="6"/>
  <c r="F90" i="6" s="1"/>
  <c r="E137" i="6"/>
  <c r="E166" i="6"/>
  <c r="E62" i="9"/>
  <c r="E115" i="9"/>
  <c r="F115" i="9"/>
  <c r="F205" i="9"/>
  <c r="E205" i="9"/>
  <c r="F95" i="17"/>
  <c r="E102" i="17"/>
  <c r="F102" i="17" s="1"/>
  <c r="C227" i="17"/>
  <c r="E226" i="17"/>
  <c r="F226" i="17" s="1"/>
  <c r="D279" i="17"/>
  <c r="E38" i="6"/>
  <c r="F38" i="6" s="1"/>
  <c r="E111" i="6"/>
  <c r="E35" i="7"/>
  <c r="F35" i="7" s="1"/>
  <c r="E177" i="18"/>
  <c r="F45" i="20"/>
  <c r="C93" i="22"/>
  <c r="E48" i="6"/>
  <c r="E59" i="7"/>
  <c r="F59" i="7" s="1"/>
  <c r="C27" i="8"/>
  <c r="D149" i="8"/>
  <c r="C43" i="11"/>
  <c r="E135" i="17"/>
  <c r="D156" i="18"/>
  <c r="D168" i="18" s="1"/>
  <c r="E168" i="18" s="1"/>
  <c r="E151" i="18"/>
  <c r="D23" i="22"/>
  <c r="D34" i="22"/>
  <c r="D75" i="4"/>
  <c r="E33" i="5"/>
  <c r="F33" i="5" s="1"/>
  <c r="E46" i="6"/>
  <c r="F121" i="7"/>
  <c r="F167" i="7"/>
  <c r="E141" i="9"/>
  <c r="E114" i="10"/>
  <c r="D121" i="10"/>
  <c r="E121" i="10" s="1"/>
  <c r="E32" i="12"/>
  <c r="F32" i="12" s="1"/>
  <c r="C57" i="13"/>
  <c r="C48" i="13"/>
  <c r="C42" i="13" s="1"/>
  <c r="F55" i="15"/>
  <c r="E75" i="15"/>
  <c r="F75" i="15" s="1"/>
  <c r="F74" i="15"/>
  <c r="E202" i="9"/>
  <c r="E73" i="11"/>
  <c r="F73" i="11" s="1"/>
  <c r="F50" i="15"/>
  <c r="F70" i="15"/>
  <c r="E100" i="15"/>
  <c r="C37" i="19"/>
  <c r="C38" i="19" s="1"/>
  <c r="C127" i="19" s="1"/>
  <c r="C129" i="19" s="1"/>
  <c r="C133" i="19" s="1"/>
  <c r="E37" i="15"/>
  <c r="E60" i="15"/>
  <c r="F60" i="15" s="1"/>
  <c r="F59" i="15"/>
  <c r="E18" i="16"/>
  <c r="F18" i="16" s="1"/>
  <c r="E29" i="17"/>
  <c r="F29" i="17" s="1"/>
  <c r="E44" i="17"/>
  <c r="F44" i="17" s="1"/>
  <c r="E36" i="20"/>
  <c r="F36" i="20" s="1"/>
  <c r="E35" i="10"/>
  <c r="C27" i="13"/>
  <c r="E48" i="13"/>
  <c r="E42" i="13" s="1"/>
  <c r="E59" i="13"/>
  <c r="E61" i="13" s="1"/>
  <c r="E57" i="13" s="1"/>
  <c r="F16" i="15"/>
  <c r="F23" i="15"/>
  <c r="F24" i="17"/>
  <c r="D37" i="17"/>
  <c r="E36" i="17"/>
  <c r="F36" i="17" s="1"/>
  <c r="E307" i="17"/>
  <c r="E162" i="18"/>
  <c r="E279" i="18"/>
  <c r="E282" i="18"/>
  <c r="F16" i="20"/>
  <c r="E45" i="20"/>
  <c r="F21" i="21"/>
  <c r="E253" i="18" l="1"/>
  <c r="C254" i="18"/>
  <c r="E254" i="18" s="1"/>
  <c r="F162" i="17"/>
  <c r="C323" i="17"/>
  <c r="F323" i="17" s="1"/>
  <c r="E162" i="17"/>
  <c r="C183" i="17"/>
  <c r="F183" i="17" s="1"/>
  <c r="C281" i="17"/>
  <c r="C75" i="11"/>
  <c r="E65" i="11"/>
  <c r="F65" i="11" s="1"/>
  <c r="E75" i="4"/>
  <c r="C21" i="8"/>
  <c r="C20" i="8"/>
  <c r="C22" i="8"/>
  <c r="E266" i="17"/>
  <c r="F266" i="17" s="1"/>
  <c r="D265" i="17"/>
  <c r="D158" i="8"/>
  <c r="C35" i="5"/>
  <c r="F46" i="20"/>
  <c r="E188" i="7"/>
  <c r="F188" i="7" s="1"/>
  <c r="C141" i="17"/>
  <c r="E22" i="8"/>
  <c r="E99" i="8"/>
  <c r="E101" i="8" s="1"/>
  <c r="E98" i="8" s="1"/>
  <c r="E245" i="18"/>
  <c r="D309" i="17"/>
  <c r="E175" i="17"/>
  <c r="F175" i="17" s="1"/>
  <c r="D176" i="17"/>
  <c r="D111" i="22"/>
  <c r="D36" i="22"/>
  <c r="D30" i="22"/>
  <c r="D46" i="22"/>
  <c r="D40" i="22"/>
  <c r="D54" i="22"/>
  <c r="D37" i="22"/>
  <c r="D47" i="22"/>
  <c r="D112" i="22"/>
  <c r="D55" i="22"/>
  <c r="C223" i="18"/>
  <c r="C246" i="18"/>
  <c r="D125" i="17"/>
  <c r="E125" i="17" s="1"/>
  <c r="F125" i="17" s="1"/>
  <c r="D90" i="17"/>
  <c r="E90" i="17" s="1"/>
  <c r="F90" i="17" s="1"/>
  <c r="E48" i="17"/>
  <c r="F48" i="17" s="1"/>
  <c r="D49" i="17"/>
  <c r="D160" i="17"/>
  <c r="E160" i="17" s="1"/>
  <c r="F160" i="17" s="1"/>
  <c r="D195" i="17"/>
  <c r="E195" i="17" s="1"/>
  <c r="F195" i="17" s="1"/>
  <c r="E55" i="18"/>
  <c r="D284" i="18"/>
  <c r="E284" i="18" s="1"/>
  <c r="E95" i="6"/>
  <c r="E43" i="11"/>
  <c r="C41" i="20"/>
  <c r="F41" i="20" s="1"/>
  <c r="F39" i="20"/>
  <c r="C38" i="22"/>
  <c r="C113" i="22"/>
  <c r="C56" i="22"/>
  <c r="C48" i="22"/>
  <c r="E30" i="22"/>
  <c r="E46" i="22"/>
  <c r="E111" i="22"/>
  <c r="E54" i="22"/>
  <c r="E40" i="22"/>
  <c r="E36" i="22"/>
  <c r="D136" i="8"/>
  <c r="D135" i="8"/>
  <c r="D137" i="8"/>
  <c r="D140" i="8"/>
  <c r="D139" i="8"/>
  <c r="D138" i="8"/>
  <c r="E239" i="17"/>
  <c r="F239" i="17" s="1"/>
  <c r="D211" i="17"/>
  <c r="E210" i="17"/>
  <c r="F210" i="17" s="1"/>
  <c r="F304" i="17"/>
  <c r="E35" i="22"/>
  <c r="E53" i="22"/>
  <c r="E45" i="22"/>
  <c r="E39" i="22"/>
  <c r="E29" i="22"/>
  <c r="E110" i="22"/>
  <c r="D17" i="8"/>
  <c r="D24" i="8"/>
  <c r="D20" i="8" s="1"/>
  <c r="F255" i="17"/>
  <c r="E260" i="18"/>
  <c r="C117" i="18"/>
  <c r="E194" i="17"/>
  <c r="F194" i="17" s="1"/>
  <c r="D196" i="17"/>
  <c r="E76" i="18"/>
  <c r="D77" i="18"/>
  <c r="D259" i="18"/>
  <c r="F273" i="17"/>
  <c r="F268" i="17"/>
  <c r="D42" i="12"/>
  <c r="D21" i="8"/>
  <c r="E66" i="18"/>
  <c r="E37" i="17"/>
  <c r="E227" i="17"/>
  <c r="F227" i="17" s="1"/>
  <c r="F63" i="17"/>
  <c r="C265" i="17"/>
  <c r="E255" i="17"/>
  <c r="C86" i="18"/>
  <c r="E86" i="18" s="1"/>
  <c r="C83" i="18"/>
  <c r="C84" i="18"/>
  <c r="C97" i="18"/>
  <c r="E97" i="18" s="1"/>
  <c r="C89" i="18"/>
  <c r="E89" i="18" s="1"/>
  <c r="C95" i="18"/>
  <c r="C88" i="18"/>
  <c r="E88" i="18" s="1"/>
  <c r="C100" i="18"/>
  <c r="E100" i="18" s="1"/>
  <c r="C258" i="18"/>
  <c r="C87" i="18"/>
  <c r="E87" i="18" s="1"/>
  <c r="C101" i="18"/>
  <c r="E101" i="18" s="1"/>
  <c r="C85" i="18"/>
  <c r="E85" i="18" s="1"/>
  <c r="C98" i="18"/>
  <c r="E98" i="18" s="1"/>
  <c r="C96" i="18"/>
  <c r="E44" i="18"/>
  <c r="C99" i="18"/>
  <c r="E99" i="18" s="1"/>
  <c r="C128" i="18"/>
  <c r="C129" i="18" s="1"/>
  <c r="C158" i="8"/>
  <c r="E246" i="18"/>
  <c r="E21" i="5"/>
  <c r="F21" i="5" s="1"/>
  <c r="E61" i="17"/>
  <c r="F61" i="17" s="1"/>
  <c r="D209" i="17"/>
  <c r="E209" i="17" s="1"/>
  <c r="F209" i="17" s="1"/>
  <c r="D174" i="17"/>
  <c r="E174" i="17" s="1"/>
  <c r="F174" i="17" s="1"/>
  <c r="D139" i="17"/>
  <c r="E139" i="17" s="1"/>
  <c r="D104" i="17"/>
  <c r="E104" i="17" s="1"/>
  <c r="F104" i="17" s="1"/>
  <c r="D140" i="17"/>
  <c r="F270" i="17"/>
  <c r="C20" i="13"/>
  <c r="C22" i="13"/>
  <c r="C21" i="13"/>
  <c r="E279" i="17"/>
  <c r="C127" i="17"/>
  <c r="E127" i="17" s="1"/>
  <c r="F126" i="17"/>
  <c r="F37" i="17"/>
  <c r="E282" i="17"/>
  <c r="F282" i="17" s="1"/>
  <c r="F181" i="17"/>
  <c r="E181" i="17"/>
  <c r="D157" i="18"/>
  <c r="E157" i="18" s="1"/>
  <c r="E156" i="18"/>
  <c r="F95" i="6"/>
  <c r="D169" i="18"/>
  <c r="E169" i="18" s="1"/>
  <c r="D181" i="18"/>
  <c r="E181" i="18" s="1"/>
  <c r="E145" i="18"/>
  <c r="E304" i="17"/>
  <c r="D310" i="17"/>
  <c r="E300" i="17"/>
  <c r="F300" i="17" s="1"/>
  <c r="F43" i="11"/>
  <c r="D70" i="13"/>
  <c r="D72" i="13" s="1"/>
  <c r="D69" i="13" s="1"/>
  <c r="D22" i="13"/>
  <c r="C288" i="17"/>
  <c r="C279" i="17"/>
  <c r="E278" i="17"/>
  <c r="F278" i="17"/>
  <c r="F139" i="17"/>
  <c r="C70" i="17"/>
  <c r="E324" i="17"/>
  <c r="F324" i="17" s="1"/>
  <c r="F95" i="7"/>
  <c r="F17" i="12"/>
  <c r="C20" i="12"/>
  <c r="E17" i="12"/>
  <c r="C75" i="4"/>
  <c r="F65" i="4"/>
  <c r="F263" i="17"/>
  <c r="D63" i="17"/>
  <c r="E63" i="17" s="1"/>
  <c r="E62" i="17"/>
  <c r="F62" i="17" s="1"/>
  <c r="D281" i="17"/>
  <c r="E281" i="17" s="1"/>
  <c r="D235" i="18"/>
  <c r="E235" i="18" s="1"/>
  <c r="F113" i="17"/>
  <c r="D49" i="12" l="1"/>
  <c r="E49" i="17"/>
  <c r="F49" i="17" s="1"/>
  <c r="D50" i="17"/>
  <c r="D141" i="17"/>
  <c r="E140" i="17"/>
  <c r="F140" i="17" s="1"/>
  <c r="D323" i="17"/>
  <c r="E323" i="17" s="1"/>
  <c r="E176" i="17"/>
  <c r="D183" i="17"/>
  <c r="E183" i="17" s="1"/>
  <c r="C264" i="18"/>
  <c r="C266" i="18" s="1"/>
  <c r="C267" i="18" s="1"/>
  <c r="E258" i="18"/>
  <c r="D312" i="17"/>
  <c r="F279" i="17"/>
  <c r="D48" i="22"/>
  <c r="D56" i="22"/>
  <c r="D113" i="22"/>
  <c r="D38" i="22"/>
  <c r="C43" i="5"/>
  <c r="E35" i="5"/>
  <c r="F35" i="5" s="1"/>
  <c r="C131" i="18"/>
  <c r="F75" i="4"/>
  <c r="F20" i="12"/>
  <c r="C34" i="12"/>
  <c r="E20" i="12"/>
  <c r="D263" i="18"/>
  <c r="E259" i="18"/>
  <c r="E211" i="17"/>
  <c r="F281" i="17"/>
  <c r="D123" i="18"/>
  <c r="E123" i="18" s="1"/>
  <c r="E77" i="18"/>
  <c r="D113" i="18"/>
  <c r="E113" i="18" s="1"/>
  <c r="D112" i="18"/>
  <c r="E112" i="18" s="1"/>
  <c r="D122" i="18"/>
  <c r="D125" i="18"/>
  <c r="E125" i="18" s="1"/>
  <c r="D126" i="18"/>
  <c r="E126" i="18" s="1"/>
  <c r="D124" i="18"/>
  <c r="E124" i="18" s="1"/>
  <c r="D109" i="18"/>
  <c r="D127" i="18"/>
  <c r="E127" i="18" s="1"/>
  <c r="D111" i="18"/>
  <c r="E111" i="18" s="1"/>
  <c r="D121" i="18"/>
  <c r="D114" i="18"/>
  <c r="E114" i="18" s="1"/>
  <c r="D110" i="18"/>
  <c r="D115" i="18"/>
  <c r="E115" i="18" s="1"/>
  <c r="C247" i="18"/>
  <c r="E247" i="18" s="1"/>
  <c r="E223" i="18"/>
  <c r="F288" i="17"/>
  <c r="C291" i="17"/>
  <c r="C289" i="17"/>
  <c r="E288" i="17"/>
  <c r="C102" i="18"/>
  <c r="E102" i="18" s="1"/>
  <c r="E96" i="18"/>
  <c r="E95" i="18"/>
  <c r="D197" i="17"/>
  <c r="E197" i="17" s="1"/>
  <c r="E196" i="17"/>
  <c r="F196" i="17" s="1"/>
  <c r="D112" i="8"/>
  <c r="D111" i="8" s="1"/>
  <c r="D28" i="8"/>
  <c r="E84" i="18"/>
  <c r="C90" i="18"/>
  <c r="E90" i="18" s="1"/>
  <c r="E48" i="22"/>
  <c r="E38" i="22"/>
  <c r="E113" i="22"/>
  <c r="E56" i="22"/>
  <c r="C322" i="17"/>
  <c r="C211" i="17"/>
  <c r="F127" i="17"/>
  <c r="C197" i="17"/>
  <c r="C148" i="17"/>
  <c r="E83" i="18"/>
  <c r="C91" i="18"/>
  <c r="E112" i="22"/>
  <c r="E47" i="22"/>
  <c r="E37" i="22"/>
  <c r="E55" i="22"/>
  <c r="D141" i="8"/>
  <c r="E265" i="17"/>
  <c r="F265" i="17" s="1"/>
  <c r="F75" i="11"/>
  <c r="E75" i="11"/>
  <c r="C269" i="18" l="1"/>
  <c r="C268" i="18"/>
  <c r="F211" i="17"/>
  <c r="D116" i="18"/>
  <c r="E116" i="18" s="1"/>
  <c r="E110" i="18"/>
  <c r="C325" i="17"/>
  <c r="D99" i="8"/>
  <c r="D101" i="8" s="1"/>
  <c r="D98" i="8" s="1"/>
  <c r="D22" i="8"/>
  <c r="D128" i="18"/>
  <c r="E128" i="18" s="1"/>
  <c r="E122" i="18"/>
  <c r="E263" i="18"/>
  <c r="D264" i="18"/>
  <c r="D313" i="17"/>
  <c r="C105" i="18"/>
  <c r="E105" i="18" s="1"/>
  <c r="E91" i="18"/>
  <c r="C305" i="17"/>
  <c r="E291" i="17"/>
  <c r="F291" i="17" s="1"/>
  <c r="E289" i="17"/>
  <c r="F289" i="17" s="1"/>
  <c r="E121" i="18"/>
  <c r="D129" i="18"/>
  <c r="E129" i="18" s="1"/>
  <c r="F43" i="5"/>
  <c r="C50" i="5"/>
  <c r="E43" i="5"/>
  <c r="D322" i="17"/>
  <c r="E141" i="17"/>
  <c r="F141" i="17" s="1"/>
  <c r="D148" i="17"/>
  <c r="E148" i="17" s="1"/>
  <c r="F34" i="12"/>
  <c r="C42" i="12"/>
  <c r="E34" i="12"/>
  <c r="E50" i="17"/>
  <c r="F50" i="17" s="1"/>
  <c r="D70" i="17"/>
  <c r="E70" i="17" s="1"/>
  <c r="F70" i="17" s="1"/>
  <c r="F148" i="17"/>
  <c r="E109" i="18"/>
  <c r="F197" i="17"/>
  <c r="C103" i="18"/>
  <c r="E103" i="18" s="1"/>
  <c r="C49" i="12" l="1"/>
  <c r="E42" i="12"/>
  <c r="F42" i="12" s="1"/>
  <c r="D251" i="17"/>
  <c r="D315" i="17"/>
  <c r="D314" i="17"/>
  <c r="D256" i="17"/>
  <c r="D117" i="18"/>
  <c r="D266" i="18"/>
  <c r="E264" i="18"/>
  <c r="E322" i="17"/>
  <c r="F322" i="17" s="1"/>
  <c r="D325" i="17"/>
  <c r="E325" i="17" s="1"/>
  <c r="F325" i="17" s="1"/>
  <c r="C309" i="17"/>
  <c r="F305" i="17"/>
  <c r="E305" i="17"/>
  <c r="E50" i="5"/>
  <c r="F50" i="5" s="1"/>
  <c r="C271" i="18"/>
  <c r="C310" i="17" l="1"/>
  <c r="E309" i="17"/>
  <c r="F309" i="17" s="1"/>
  <c r="D257" i="17"/>
  <c r="D318" i="17"/>
  <c r="E266" i="18"/>
  <c r="D267" i="18"/>
  <c r="E117" i="18"/>
  <c r="D131" i="18"/>
  <c r="E131" i="18" s="1"/>
  <c r="E49" i="12"/>
  <c r="F49" i="12" s="1"/>
  <c r="C312" i="17" l="1"/>
  <c r="E310" i="17"/>
  <c r="F310" i="17" s="1"/>
  <c r="E267" i="18"/>
  <c r="D269" i="18"/>
  <c r="E269" i="18" s="1"/>
  <c r="D268" i="18"/>
  <c r="E268" i="18" l="1"/>
  <c r="D271" i="18"/>
  <c r="E271" i="18" s="1"/>
  <c r="C313" i="17"/>
  <c r="E312" i="17"/>
  <c r="F312" i="17" s="1"/>
  <c r="C314" i="17" l="1"/>
  <c r="C251" i="17"/>
  <c r="C315" i="17"/>
  <c r="C256" i="17"/>
  <c r="E313" i="17"/>
  <c r="F313" i="17" s="1"/>
  <c r="E315" i="17" l="1"/>
  <c r="F315" i="17" s="1"/>
  <c r="C318" i="17"/>
  <c r="E314" i="17"/>
  <c r="F314" i="17" s="1"/>
  <c r="C257" i="17"/>
  <c r="F256" i="17"/>
  <c r="E256" i="17"/>
  <c r="E251" i="17"/>
  <c r="F251" i="17" s="1"/>
  <c r="E318" i="17" l="1"/>
  <c r="F318" i="17" s="1"/>
  <c r="E257" i="17"/>
  <c r="F257" i="17" s="1"/>
</calcChain>
</file>

<file path=xl/sharedStrings.xml><?xml version="1.0" encoding="utf-8"?>
<sst xmlns="http://schemas.openxmlformats.org/spreadsheetml/2006/main" count="2334" uniqueCount="1011">
  <si>
    <t>CT CHILDREN`S MEDICAL CENTER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</si>
  <si>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</si>
  <si>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</si>
  <si>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</si>
  <si>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</si>
  <si>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</si>
  <si>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</si>
  <si>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</si>
  <si>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</si>
  <si>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</si>
  <si>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</si>
  <si>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</si>
  <si>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</si>
  <si>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</si>
  <si>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</si>
  <si>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</si>
  <si>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</si>
  <si>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</si>
  <si>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</si>
  <si>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</si>
  <si>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</si>
  <si>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</si>
  <si>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</si>
  <si>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</si>
  <si>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</si>
  <si>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</si>
  <si>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</si>
  <si>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</si>
  <si>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</si>
  <si>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</si>
  <si>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</si>
  <si>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</si>
  <si>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</si>
  <si>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</si>
  <si>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</si>
  <si>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</si>
  <si>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</si>
  <si>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</si>
  <si>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</si>
  <si>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</si>
  <si>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</si>
  <si>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</si>
  <si>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</si>
  <si>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</si>
  <si>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</si>
  <si>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</si>
  <si>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</si>
  <si>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</si>
  <si>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</si>
  <si>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</si>
  <si>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</si>
  <si>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</si>
  <si>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</si>
  <si>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</si>
  <si>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</si>
  <si>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</si>
  <si>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</si>
  <si>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</si>
  <si>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</si>
  <si>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</si>
  <si>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</si>
  <si>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</si>
  <si>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</si>
  <si>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</si>
  <si>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</si>
  <si>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</si>
  <si>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</si>
  <si>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</si>
  <si>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</si>
  <si>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</si>
  <si>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</si>
  <si>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</si>
  <si>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</si>
  <si>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</si>
  <si>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</si>
  <si>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</si>
  <si>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</si>
  <si>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</si>
  <si>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</si>
  <si>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</si>
  <si>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</si>
  <si>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</si>
  <si>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</si>
  <si>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</si>
  <si>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</si>
  <si>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</si>
  <si>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</si>
  <si>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</si>
  <si>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</si>
  <si>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</si>
  <si>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</si>
  <si>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</si>
  <si>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</si>
  <si>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</si>
  <si>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</si>
  <si>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</si>
  <si>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</si>
  <si>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</si>
  <si>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</si>
  <si>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</si>
  <si>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</si>
  <si>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</si>
  <si>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</si>
  <si>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</si>
  <si>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</si>
  <si>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</si>
  <si>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</si>
  <si>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</si>
  <si>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</si>
  <si>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</si>
  <si>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</si>
  <si>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</si>
  <si>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</si>
  <si>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</si>
  <si>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</si>
  <si>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</si>
  <si>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</si>
  <si>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</si>
  <si>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</si>
  <si>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</si>
  <si>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</si>
  <si>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</si>
  <si>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</si>
  <si>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</si>
  <si>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</si>
  <si>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</si>
  <si>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</si>
  <si>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</si>
  <si>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</si>
  <si>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</si>
  <si>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</si>
  <si>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</si>
  <si>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</si>
  <si>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</si>
  <si>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</si>
  <si>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</si>
  <si>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</si>
  <si>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</si>
  <si>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</si>
  <si>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</si>
  <si>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</si>
  <si>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</si>
  <si>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</si>
  <si>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</si>
  <si>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</si>
  <si>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</si>
  <si>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</si>
  <si>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</si>
  <si>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</si>
  <si>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</si>
  <si>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</si>
  <si>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</si>
  <si>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</si>
  <si>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</si>
  <si>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</si>
  <si>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</si>
  <si>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</si>
  <si>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</si>
  <si>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</si>
  <si>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</si>
  <si>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</si>
  <si>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</si>
  <si>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</si>
  <si>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</si>
  <si>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</si>
  <si>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</si>
  <si>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</si>
  <si>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</si>
  <si>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</si>
  <si>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</si>
  <si>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</si>
  <si>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</si>
  <si>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</si>
  <si>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</si>
  <si>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</si>
  <si>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</si>
  <si>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</si>
  <si>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</si>
  <si>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</si>
  <si>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</si>
  <si>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</si>
  <si>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</si>
  <si>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</si>
  <si>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</si>
  <si>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</si>
  <si>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</si>
  <si>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</si>
  <si>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</si>
  <si>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</si>
  <si>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</si>
  <si>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</si>
  <si>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</si>
  <si>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</si>
  <si>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</si>
  <si>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</si>
  <si>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</si>
  <si>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</si>
  <si>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</si>
  <si>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</si>
  <si>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</si>
  <si>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</si>
  <si>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</si>
  <si>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</si>
  <si>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</si>
  <si>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</si>
  <si>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</si>
  <si>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</si>
  <si>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</si>
  <si>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</si>
  <si>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</si>
  <si>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</si>
  <si>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</si>
  <si>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</si>
  <si>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</si>
  <si>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</si>
  <si>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</si>
  <si>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</si>
  <si>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</si>
  <si>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</si>
  <si>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</si>
  <si>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</si>
  <si>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</si>
  <si>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</si>
  <si>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</si>
  <si>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</si>
  <si>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</si>
  <si>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</si>
  <si>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</si>
  <si>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</si>
  <si>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</si>
  <si>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</si>
  <si>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</si>
  <si>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</si>
  <si>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</si>
  <si>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</si>
  <si>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</si>
  <si>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</si>
  <si>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</si>
  <si>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</si>
  <si>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</si>
  <si>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</si>
  <si>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</si>
  <si>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</si>
  <si>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</si>
  <si>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</si>
  <si>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</si>
  <si>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</si>
  <si>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</si>
  <si>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</si>
  <si>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</si>
  <si>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</si>
  <si>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</si>
  <si>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</si>
  <si>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</si>
  <si>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</si>
  <si>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</si>
  <si>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</si>
  <si>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</si>
  <si>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</si>
  <si>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</si>
  <si>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</si>
  <si>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</si>
  <si>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</si>
  <si>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</si>
  <si>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</si>
  <si>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</si>
  <si>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</si>
  <si>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</si>
  <si>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</si>
  <si>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</si>
  <si>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</si>
  <si>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</si>
  <si>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</si>
  <si>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</si>
  <si>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</si>
  <si>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</si>
  <si>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</si>
  <si>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</si>
  <si>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</si>
  <si>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</si>
  <si>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</si>
  <si>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</si>
  <si>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</si>
  <si>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</si>
  <si>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</si>
  <si>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</si>
  <si>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</si>
  <si>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</si>
  <si>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</si>
  <si>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</si>
  <si>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</si>
  <si>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</si>
  <si>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</si>
  <si>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</si>
  <si>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</si>
  <si>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</si>
  <si>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</si>
  <si>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</si>
  <si>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</si>
  <si>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</si>
  <si>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</si>
  <si>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</si>
  <si>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</si>
  <si>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</si>
  <si>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</si>
  <si>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</si>
  <si>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</si>
  <si>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</si>
  <si>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</si>
  <si>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</si>
  <si>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</si>
  <si>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</si>
  <si>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</si>
  <si>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</si>
  <si>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</si>
  <si>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</si>
  <si>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</si>
  <si>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</si>
  <si>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</si>
  <si>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</si>
  <si>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</si>
  <si>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</si>
  <si>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</si>
  <si>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</si>
  <si>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</si>
  <si>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</si>
  <si>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</si>
  <si>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</si>
  <si>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</si>
  <si>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</si>
  <si>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</si>
  <si>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</si>
  <si>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</si>
  <si>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</si>
  <si>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</si>
  <si>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</si>
  <si>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</si>
  <si>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</si>
  <si>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</si>
  <si>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</si>
  <si>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</si>
  <si>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</si>
  <si>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</si>
  <si>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</si>
  <si>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</si>
  <si>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</si>
  <si>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</si>
  <si>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</si>
  <si>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</si>
  <si>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</si>
  <si>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</si>
  <si>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</si>
  <si>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</si>
  <si>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</si>
  <si>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</si>
  <si>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</si>
  <si>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</si>
  <si>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</si>
  <si>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</si>
  <si>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</si>
  <si>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</si>
  <si>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</si>
  <si>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</si>
  <si>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</si>
  <si>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</si>
  <si>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</si>
  <si>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</si>
  <si>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</si>
  <si>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</si>
  <si>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</si>
  <si>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</si>
  <si>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</si>
  <si>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</si>
  <si>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</si>
  <si>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</si>
  <si>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</si>
  <si>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</si>
  <si>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</si>
  <si>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</si>
  <si>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</si>
  <si>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</si>
  <si>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</si>
  <si>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</si>
  <si>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</si>
  <si>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</si>
  <si>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</si>
  <si>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</si>
  <si>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</si>
  <si>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</si>
  <si>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</si>
  <si>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</si>
  <si>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</si>
  <si>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</si>
  <si>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</si>
  <si>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</si>
  <si>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</si>
  <si>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</si>
  <si>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</si>
  <si>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</si>
  <si>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</si>
  <si>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</si>
  <si>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</si>
  <si>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</si>
  <si>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</si>
  <si>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</si>
  <si>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</si>
  <si>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</si>
  <si>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</si>
  <si>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</si>
  <si>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</si>
  <si>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</si>
  <si>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</si>
  <si>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</si>
  <si>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</si>
  <si>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</si>
  <si>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</si>
  <si>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</si>
  <si>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</si>
  <si>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</si>
  <si>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</si>
  <si>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</si>
  <si>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</si>
  <si>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</si>
  <si>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</si>
  <si>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</si>
  <si>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</si>
  <si>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</si>
  <si>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</si>
  <si>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</si>
  <si>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</si>
  <si>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</si>
  <si>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</si>
  <si>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</si>
  <si>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</si>
  <si>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</si>
  <si>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</si>
  <si>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</si>
  <si>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</si>
  <si>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</si>
  <si>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</si>
  <si>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</si>
  <si>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</si>
  <si>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</si>
  <si>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</si>
  <si>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</si>
  <si>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</si>
  <si>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</si>
  <si>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</si>
  <si>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</si>
  <si>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</si>
  <si>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</si>
  <si>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</si>
  <si>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</si>
  <si>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</si>
  <si>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</si>
  <si>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</si>
  <si>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</si>
  <si>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</si>
  <si>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</si>
  <si>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</si>
  <si>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</si>
  <si>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</si>
  <si>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</si>
  <si>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</si>
  <si>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</si>
  <si>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</si>
  <si>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</si>
  <si>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</si>
  <si>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</si>
  <si>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</si>
  <si>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</si>
  <si>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</si>
  <si>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</si>
  <si>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</si>
  <si>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</si>
  <si>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</si>
  <si>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</si>
  <si>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</si>
  <si>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</si>
  <si>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</si>
  <si>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</si>
  <si>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</si>
  <si>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</si>
  <si>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</si>
  <si>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</si>
  <si>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</si>
  <si>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</si>
  <si>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</si>
  <si>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</si>
  <si>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</si>
  <si>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</si>
  <si>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</si>
  <si>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</si>
  <si>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</si>
  <si>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</si>
  <si>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</si>
  <si>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</si>
  <si>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</si>
  <si>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</si>
  <si>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</si>
  <si>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CCMC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</si>
  <si>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</si>
  <si>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</si>
  <si>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</si>
  <si>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</si>
  <si>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</si>
  <si>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</si>
  <si>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</si>
  <si>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</si>
  <si>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</si>
  <si>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</si>
  <si>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</si>
  <si>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</si>
  <si>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</si>
  <si>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</si>
  <si>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</si>
  <si>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</si>
  <si>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</si>
  <si>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</si>
  <si>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</si>
  <si>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</si>
  <si>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</si>
  <si>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</si>
  <si>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</si>
  <si>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</si>
  <si>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</si>
  <si>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</si>
  <si>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</si>
  <si>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</si>
  <si>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</si>
  <si>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</si>
  <si>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</si>
  <si>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</si>
  <si>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</si>
  <si>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</si>
  <si>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</si>
  <si>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</si>
  <si>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</si>
  <si>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</si>
  <si>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</si>
  <si>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</si>
  <si>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</si>
  <si>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</si>
  <si>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</si>
  <si>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</si>
  <si>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</si>
  <si>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</si>
  <si>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</si>
  <si>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</si>
  <si>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</si>
  <si>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</si>
  <si>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</si>
  <si>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</si>
  <si>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</si>
  <si>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</si>
  <si>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</si>
  <si>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</si>
  <si>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</si>
  <si>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</si>
  <si>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</si>
  <si>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</si>
  <si>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</si>
  <si>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</si>
  <si>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</si>
  <si>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</si>
  <si>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</si>
  <si>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</si>
  <si>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</si>
  <si>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</si>
  <si>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</si>
  <si>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</si>
  <si>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</si>
  <si>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</si>
  <si>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</si>
  <si>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</si>
  <si>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</si>
  <si>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</si>
  <si>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</si>
  <si>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</si>
  <si>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</si>
  <si>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</si>
  <si>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</si>
  <si>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</si>
  <si>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</si>
  <si>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</si>
  <si>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</si>
  <si>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</si>
  <si>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</si>
  <si>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</si>
  <si>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</si>
  <si>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</si>
  <si>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</si>
  <si>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</si>
  <si>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</si>
  <si>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</si>
  <si>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</si>
  <si>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</si>
  <si>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</si>
  <si>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</si>
  <si>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</si>
  <si>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</si>
  <si>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</si>
  <si>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</si>
  <si>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</si>
  <si>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</si>
  <si>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</si>
  <si>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</si>
  <si>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</si>
  <si>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</si>
  <si>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</si>
  <si>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</si>
  <si>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</si>
  <si>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</si>
  <si>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</si>
  <si>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</si>
  <si>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</si>
  <si>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</si>
  <si>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</si>
  <si>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</si>
  <si>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</si>
  <si>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</si>
  <si>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OR Suite</t>
  </si>
  <si>
    <t>Farmington ASC</t>
  </si>
  <si>
    <t>Total Outpatient Surgical Procedures(A)</t>
  </si>
  <si>
    <t>Hospital ENDO Suite</t>
  </si>
  <si>
    <t>Total Outpatient Endoscopy Procedures(B)</t>
  </si>
  <si>
    <t>Outpatient Hospital Emergency Room Visits</t>
  </si>
  <si>
    <t>Hospital Emergency Department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</si>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</sst>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1782072</v>
      </c>
      <c r="D13" s="22">
        <v>3850387</v>
      </c>
      <c r="E13" s="22">
        <f t="shared" ref="E13:E22" si="0">D13-C13</f>
        <v>2068315</v>
      </c>
      <c r="F13" s="23">
        <f t="shared" ref="F13:F22" si="1">IF(C13=0,0,E13/C13)</f>
        <v>1.1606237009503544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27453944</v>
      </c>
      <c r="D15" s="22">
        <v>30704847</v>
      </c>
      <c r="E15" s="22">
        <f t="shared" si="0"/>
        <v>3250903</v>
      </c>
      <c r="F15" s="23">
        <f t="shared" si="1"/>
        <v>0.11841296827880177</v>
      </c>
    </row>
    <row r="16" spans="1:8" ht="24" customHeight="1" x14ac:dyDescent="0.2">
      <c r="A16" s="20">
        <v>4</v>
      </c>
      <c r="B16" s="21" t="s">
        <v>19</v>
      </c>
      <c r="C16" s="22">
        <v>17008322</v>
      </c>
      <c r="D16" s="22">
        <v>5021620</v>
      </c>
      <c r="E16" s="22">
        <f t="shared" si="0"/>
        <v>-11986702</v>
      </c>
      <c r="F16" s="23">
        <f t="shared" si="1"/>
        <v>-0.70475511928807555</v>
      </c>
    </row>
    <row r="17" spans="1:11" ht="24" customHeight="1" x14ac:dyDescent="0.2">
      <c r="A17" s="20">
        <v>5</v>
      </c>
      <c r="B17" s="21" t="s">
        <v>20</v>
      </c>
      <c r="C17" s="22">
        <v>1645518</v>
      </c>
      <c r="D17" s="22">
        <v>210170</v>
      </c>
      <c r="E17" s="22">
        <f t="shared" si="0"/>
        <v>-1435348</v>
      </c>
      <c r="F17" s="23">
        <f t="shared" si="1"/>
        <v>-0.87227730112949231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1056206</v>
      </c>
      <c r="D19" s="22">
        <v>1389353</v>
      </c>
      <c r="E19" s="22">
        <f t="shared" si="0"/>
        <v>333147</v>
      </c>
      <c r="F19" s="23">
        <f t="shared" si="1"/>
        <v>0.31541858311730858</v>
      </c>
    </row>
    <row r="20" spans="1:11" ht="24" customHeight="1" x14ac:dyDescent="0.2">
      <c r="A20" s="20">
        <v>8</v>
      </c>
      <c r="B20" s="21" t="s">
        <v>23</v>
      </c>
      <c r="C20" s="22">
        <v>1268255</v>
      </c>
      <c r="D20" s="22">
        <v>1369327</v>
      </c>
      <c r="E20" s="22">
        <f t="shared" si="0"/>
        <v>101072</v>
      </c>
      <c r="F20" s="23">
        <f t="shared" si="1"/>
        <v>7.9693752439375362E-2</v>
      </c>
    </row>
    <row r="21" spans="1:11" ht="24" customHeight="1" x14ac:dyDescent="0.2">
      <c r="A21" s="20">
        <v>9</v>
      </c>
      <c r="B21" s="21" t="s">
        <v>24</v>
      </c>
      <c r="C21" s="22">
        <v>8439997</v>
      </c>
      <c r="D21" s="22">
        <v>7945948</v>
      </c>
      <c r="E21" s="22">
        <f t="shared" si="0"/>
        <v>-494049</v>
      </c>
      <c r="F21" s="23">
        <f t="shared" si="1"/>
        <v>-5.853663218126736E-2</v>
      </c>
    </row>
    <row r="22" spans="1:11" ht="24" customHeight="1" x14ac:dyDescent="0.25">
      <c r="A22" s="24"/>
      <c r="B22" s="25" t="s">
        <v>25</v>
      </c>
      <c r="C22" s="26">
        <f>SUM(C13:C21)</f>
        <v>58654314</v>
      </c>
      <c r="D22" s="26">
        <f>SUM(D13:D21)</f>
        <v>50491652</v>
      </c>
      <c r="E22" s="26">
        <f t="shared" si="0"/>
        <v>-8162662</v>
      </c>
      <c r="F22" s="27">
        <f t="shared" si="1"/>
        <v>-0.13916558635397219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79200328</v>
      </c>
      <c r="D25" s="22">
        <v>82885871</v>
      </c>
      <c r="E25" s="22">
        <f>D25-C25</f>
        <v>3685543</v>
      </c>
      <c r="F25" s="23">
        <f>IF(C25=0,0,E25/C25)</f>
        <v>4.6534441119991318E-2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79200328</v>
      </c>
      <c r="D29" s="26">
        <f>SUM(D25:D28)</f>
        <v>82885871</v>
      </c>
      <c r="E29" s="26">
        <f>D29-C29</f>
        <v>3685543</v>
      </c>
      <c r="F29" s="27">
        <f>IF(C29=0,0,E29/C29)</f>
        <v>4.6534441119991318E-2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97605124</v>
      </c>
      <c r="D31" s="22">
        <v>104410463</v>
      </c>
      <c r="E31" s="22">
        <f>D31-C31</f>
        <v>6805339</v>
      </c>
      <c r="F31" s="23">
        <f>IF(C31=0,0,E31/C31)</f>
        <v>6.972317354978208E-2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16103813</v>
      </c>
      <c r="D33" s="22">
        <v>20804754</v>
      </c>
      <c r="E33" s="22">
        <f>D33-C33</f>
        <v>4700941</v>
      </c>
      <c r="F33" s="23">
        <f>IF(C33=0,0,E33/C33)</f>
        <v>0.29191477819569811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200246497</v>
      </c>
      <c r="D36" s="22">
        <v>236256698</v>
      </c>
      <c r="E36" s="22">
        <f>D36-C36</f>
        <v>36010201</v>
      </c>
      <c r="F36" s="23">
        <f>IF(C36=0,0,E36/C36)</f>
        <v>0.17982936800137883</v>
      </c>
    </row>
    <row r="37" spans="1:8" ht="24" customHeight="1" x14ac:dyDescent="0.2">
      <c r="A37" s="20">
        <v>2</v>
      </c>
      <c r="B37" s="21" t="s">
        <v>39</v>
      </c>
      <c r="C37" s="22">
        <v>104192282</v>
      </c>
      <c r="D37" s="22">
        <v>118311796</v>
      </c>
      <c r="E37" s="22">
        <f>D37-C37</f>
        <v>14119514</v>
      </c>
      <c r="F37" s="23">
        <f>IF(C37=0,0,E37/C37)</f>
        <v>0.13551401052911002</v>
      </c>
    </row>
    <row r="38" spans="1:8" ht="24" customHeight="1" x14ac:dyDescent="0.25">
      <c r="A38" s="24"/>
      <c r="B38" s="25" t="s">
        <v>40</v>
      </c>
      <c r="C38" s="26">
        <f>C36-C37</f>
        <v>96054215</v>
      </c>
      <c r="D38" s="26">
        <f>D36-D37</f>
        <v>117944902</v>
      </c>
      <c r="E38" s="26">
        <f>D38-C38</f>
        <v>21890687</v>
      </c>
      <c r="F38" s="27">
        <f>IF(C38=0,0,E38/C38)</f>
        <v>0.22789928583560856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29060602</v>
      </c>
      <c r="D40" s="22">
        <v>16921791</v>
      </c>
      <c r="E40" s="22">
        <f>D40-C40</f>
        <v>-12138811</v>
      </c>
      <c r="F40" s="23">
        <f>IF(C40=0,0,E40/C40)</f>
        <v>-0.41770679767748792</v>
      </c>
    </row>
    <row r="41" spans="1:8" ht="24" customHeight="1" x14ac:dyDescent="0.25">
      <c r="A41" s="24"/>
      <c r="B41" s="25" t="s">
        <v>42</v>
      </c>
      <c r="C41" s="26">
        <f>+C38+C40</f>
        <v>125114817</v>
      </c>
      <c r="D41" s="26">
        <f>+D38+D40</f>
        <v>134866693</v>
      </c>
      <c r="E41" s="26">
        <f>D41-C41</f>
        <v>9751876</v>
      </c>
      <c r="F41" s="27">
        <f>IF(C41=0,0,E41/C41)</f>
        <v>7.794341416812367E-2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376678396</v>
      </c>
      <c r="D43" s="26">
        <f>D22+D29+D31+D32+D33+D41</f>
        <v>393459433</v>
      </c>
      <c r="E43" s="26">
        <f>D43-C43</f>
        <v>16781037</v>
      </c>
      <c r="F43" s="27">
        <f>IF(C43=0,0,E43/C43)</f>
        <v>4.4550038383406515E-2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32601731</v>
      </c>
      <c r="D49" s="22">
        <v>40922726</v>
      </c>
      <c r="E49" s="22">
        <f t="shared" ref="E49:E56" si="2">D49-C49</f>
        <v>8320995</v>
      </c>
      <c r="F49" s="23">
        <f t="shared" ref="F49:F56" si="3">IF(C49=0,0,E49/C49)</f>
        <v>0.25523169306562282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11973983</v>
      </c>
      <c r="D50" s="22">
        <v>12269133</v>
      </c>
      <c r="E50" s="22">
        <f t="shared" si="2"/>
        <v>295150</v>
      </c>
      <c r="F50" s="23">
        <f t="shared" si="3"/>
        <v>2.4649275015673565E-2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9819700</v>
      </c>
      <c r="D51" s="22">
        <v>27554100</v>
      </c>
      <c r="E51" s="22">
        <f t="shared" si="2"/>
        <v>17734400</v>
      </c>
      <c r="F51" s="23">
        <f t="shared" si="3"/>
        <v>1.8060022200270884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1178794</v>
      </c>
      <c r="D52" s="22">
        <v>7733907</v>
      </c>
      <c r="E52" s="22">
        <f t="shared" si="2"/>
        <v>6555113</v>
      </c>
      <c r="F52" s="23">
        <f t="shared" si="3"/>
        <v>5.5608638998841187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1280000</v>
      </c>
      <c r="D53" s="22">
        <v>1350000</v>
      </c>
      <c r="E53" s="22">
        <f t="shared" si="2"/>
        <v>70000</v>
      </c>
      <c r="F53" s="23">
        <f t="shared" si="3"/>
        <v>5.46875E-2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5435264</v>
      </c>
      <c r="D54" s="22">
        <v>6175949</v>
      </c>
      <c r="E54" s="22">
        <f t="shared" si="2"/>
        <v>740685</v>
      </c>
      <c r="F54" s="23">
        <f t="shared" si="3"/>
        <v>0.13627396939688671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50298</v>
      </c>
      <c r="D55" s="22">
        <v>49938</v>
      </c>
      <c r="E55" s="22">
        <f t="shared" si="2"/>
        <v>-360</v>
      </c>
      <c r="F55" s="23">
        <f t="shared" si="3"/>
        <v>-7.1573422402481214E-3</v>
      </c>
    </row>
    <row r="56" spans="1:6" ht="24" customHeight="1" x14ac:dyDescent="0.25">
      <c r="A56" s="24"/>
      <c r="B56" s="25" t="s">
        <v>54</v>
      </c>
      <c r="C56" s="26">
        <f>SUM(C49:C55)</f>
        <v>62339770</v>
      </c>
      <c r="D56" s="26">
        <f>SUM(D49:D55)</f>
        <v>96055753</v>
      </c>
      <c r="E56" s="26">
        <f t="shared" si="2"/>
        <v>33715983</v>
      </c>
      <c r="F56" s="27">
        <f t="shared" si="3"/>
        <v>0.54084227452234745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38035000</v>
      </c>
      <c r="D59" s="22">
        <v>36685000</v>
      </c>
      <c r="E59" s="22">
        <f>D59-C59</f>
        <v>-1350000</v>
      </c>
      <c r="F59" s="23">
        <f>IF(C59=0,0,E59/C59)</f>
        <v>-3.5493624293413961E-2</v>
      </c>
    </row>
    <row r="60" spans="1:6" ht="24" customHeight="1" x14ac:dyDescent="0.2">
      <c r="A60" s="20">
        <v>2</v>
      </c>
      <c r="B60" s="21" t="s">
        <v>57</v>
      </c>
      <c r="C60" s="22">
        <v>25153377</v>
      </c>
      <c r="D60" s="22">
        <v>22795917</v>
      </c>
      <c r="E60" s="22">
        <f>D60-C60</f>
        <v>-2357460</v>
      </c>
      <c r="F60" s="23">
        <f>IF(C60=0,0,E60/C60)</f>
        <v>-9.3723399446523623E-2</v>
      </c>
    </row>
    <row r="61" spans="1:6" ht="24" customHeight="1" x14ac:dyDescent="0.25">
      <c r="A61" s="24"/>
      <c r="B61" s="25" t="s">
        <v>58</v>
      </c>
      <c r="C61" s="26">
        <f>SUM(C59:C60)</f>
        <v>63188377</v>
      </c>
      <c r="D61" s="26">
        <f>SUM(D59:D60)</f>
        <v>59480917</v>
      </c>
      <c r="E61" s="26">
        <f>D61-C61</f>
        <v>-3707460</v>
      </c>
      <c r="F61" s="27">
        <f>IF(C61=0,0,E61/C61)</f>
        <v>-5.8673132243925175E-2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8357282</v>
      </c>
      <c r="D63" s="22">
        <v>11770096</v>
      </c>
      <c r="E63" s="22">
        <f>D63-C63</f>
        <v>3412814</v>
      </c>
      <c r="F63" s="23">
        <f>IF(C63=0,0,E63/C63)</f>
        <v>0.40836410689504077</v>
      </c>
    </row>
    <row r="64" spans="1:6" ht="24" customHeight="1" x14ac:dyDescent="0.2">
      <c r="A64" s="20">
        <v>4</v>
      </c>
      <c r="B64" s="21" t="s">
        <v>60</v>
      </c>
      <c r="C64" s="22">
        <v>23660838</v>
      </c>
      <c r="D64" s="22">
        <v>25550702</v>
      </c>
      <c r="E64" s="22">
        <f>D64-C64</f>
        <v>1889864</v>
      </c>
      <c r="F64" s="23">
        <f>IF(C64=0,0,E64/C64)</f>
        <v>7.9873079727776339E-2</v>
      </c>
    </row>
    <row r="65" spans="1:6" ht="24" customHeight="1" x14ac:dyDescent="0.25">
      <c r="A65" s="24"/>
      <c r="B65" s="25" t="s">
        <v>61</v>
      </c>
      <c r="C65" s="26">
        <f>SUM(C61:C64)</f>
        <v>95206497</v>
      </c>
      <c r="D65" s="26">
        <f>SUM(D61:D64)</f>
        <v>96801715</v>
      </c>
      <c r="E65" s="26">
        <f>D65-C65</f>
        <v>1595218</v>
      </c>
      <c r="F65" s="27">
        <f>IF(C65=0,0,E65/C65)</f>
        <v>1.6755348114530461E-2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101387989</v>
      </c>
      <c r="D70" s="22">
        <v>74193342</v>
      </c>
      <c r="E70" s="22">
        <f>D70-C70</f>
        <v>-27194647</v>
      </c>
      <c r="F70" s="23">
        <f>IF(C70=0,0,E70/C70)</f>
        <v>-0.26822355653981855</v>
      </c>
    </row>
    <row r="71" spans="1:6" ht="24" customHeight="1" x14ac:dyDescent="0.2">
      <c r="A71" s="20">
        <v>2</v>
      </c>
      <c r="B71" s="21" t="s">
        <v>65</v>
      </c>
      <c r="C71" s="22">
        <v>21637126</v>
      </c>
      <c r="D71" s="22">
        <v>26184898</v>
      </c>
      <c r="E71" s="22">
        <f>D71-C71</f>
        <v>4547772</v>
      </c>
      <c r="F71" s="23">
        <f>IF(C71=0,0,E71/C71)</f>
        <v>0.21018373697135193</v>
      </c>
    </row>
    <row r="72" spans="1:6" ht="24" customHeight="1" x14ac:dyDescent="0.2">
      <c r="A72" s="20">
        <v>3</v>
      </c>
      <c r="B72" s="21" t="s">
        <v>66</v>
      </c>
      <c r="C72" s="22">
        <v>96107014</v>
      </c>
      <c r="D72" s="22">
        <v>100223725</v>
      </c>
      <c r="E72" s="22">
        <f>D72-C72</f>
        <v>4116711</v>
      </c>
      <c r="F72" s="23">
        <f>IF(C72=0,0,E72/C72)</f>
        <v>4.2834657208265778E-2</v>
      </c>
    </row>
    <row r="73" spans="1:6" ht="24" customHeight="1" x14ac:dyDescent="0.25">
      <c r="A73" s="20"/>
      <c r="B73" s="25" t="s">
        <v>67</v>
      </c>
      <c r="C73" s="26">
        <f>SUM(C70:C72)</f>
        <v>219132129</v>
      </c>
      <c r="D73" s="26">
        <f>SUM(D70:D72)</f>
        <v>200601965</v>
      </c>
      <c r="E73" s="26">
        <f>D73-C73</f>
        <v>-18530164</v>
      </c>
      <c r="F73" s="27">
        <f>IF(C73=0,0,E73/C73)</f>
        <v>-8.4561602557149437E-2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376678396</v>
      </c>
      <c r="D75" s="26">
        <f>D56+D65+D67+D73</f>
        <v>393459433</v>
      </c>
      <c r="E75" s="26">
        <f>D75-C75</f>
        <v>16781037</v>
      </c>
      <c r="F75" s="27">
        <f>IF(C75=0,0,E75/C75)</f>
        <v>4.4550038383406515E-2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277604755</v>
      </c>
      <c r="D11" s="76">
        <v>286514028</v>
      </c>
      <c r="E11" s="76">
        <v>304605441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37320565</v>
      </c>
      <c r="D12" s="185">
        <v>38302026</v>
      </c>
      <c r="E12" s="185">
        <v>33242787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314925320</v>
      </c>
      <c r="D13" s="76">
        <f>+D11+D12</f>
        <v>324816054</v>
      </c>
      <c r="E13" s="76">
        <f>+E11+E12</f>
        <v>337848228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332275513</v>
      </c>
      <c r="D14" s="185">
        <v>358502224</v>
      </c>
      <c r="E14" s="185">
        <v>372489049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-17350193</v>
      </c>
      <c r="D15" s="76">
        <f>+D13-D14</f>
        <v>-33686170</v>
      </c>
      <c r="E15" s="76">
        <f>+E13-E14</f>
        <v>-34640821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24593006</v>
      </c>
      <c r="D16" s="185">
        <v>16611908</v>
      </c>
      <c r="E16" s="185">
        <v>17542732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7242813</v>
      </c>
      <c r="D17" s="76">
        <f>D15+D16</f>
        <v>-17074262</v>
      </c>
      <c r="E17" s="76">
        <f>E15+E16</f>
        <v>-17098089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-5.1102375545996302E-2</v>
      </c>
      <c r="D20" s="189">
        <f>IF(+D27=0,0,+D24/+D27)</f>
        <v>-9.8662598700688733E-2</v>
      </c>
      <c r="E20" s="189">
        <f>IF(+E27=0,0,+E24/+E27)</f>
        <v>-9.7472431487846511E-2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7.2434988384102714E-2</v>
      </c>
      <c r="D21" s="189">
        <f>IF(+D27=0,0,+D26/+D27)</f>
        <v>4.8654210694084862E-2</v>
      </c>
      <c r="E21" s="189">
        <f>IF(+E27=0,0,+E26/+E27)</f>
        <v>4.9361784554114711E-2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2.1332612838106418E-2</v>
      </c>
      <c r="D22" s="189">
        <f>IF(+D27=0,0,+D28/+D27)</f>
        <v>-5.0008388006603864E-2</v>
      </c>
      <c r="E22" s="189">
        <f>IF(+E27=0,0,+E28/+E27)</f>
        <v>-4.81106469337318E-2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-17350193</v>
      </c>
      <c r="D24" s="76">
        <f>+D15</f>
        <v>-33686170</v>
      </c>
      <c r="E24" s="76">
        <f>+E15</f>
        <v>-34640821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314925320</v>
      </c>
      <c r="D25" s="76">
        <f>+D13</f>
        <v>324816054</v>
      </c>
      <c r="E25" s="76">
        <f>+E13</f>
        <v>337848228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24593006</v>
      </c>
      <c r="D26" s="76">
        <f>+D16</f>
        <v>16611908</v>
      </c>
      <c r="E26" s="76">
        <f>+E16</f>
        <v>17542732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339518326</v>
      </c>
      <c r="D27" s="76">
        <f>SUM(D25:D26)</f>
        <v>341427962</v>
      </c>
      <c r="E27" s="76">
        <f>SUM(E25:E26)</f>
        <v>355390960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7242813</v>
      </c>
      <c r="D28" s="76">
        <f>+D17</f>
        <v>-17074262</v>
      </c>
      <c r="E28" s="76">
        <f>+E17</f>
        <v>-17098089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125254332</v>
      </c>
      <c r="D31" s="76">
        <v>127634615</v>
      </c>
      <c r="E31" s="76">
        <v>106219054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239549631</v>
      </c>
      <c r="D32" s="76">
        <v>245712538</v>
      </c>
      <c r="E32" s="76">
        <v>232687351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27392686</v>
      </c>
      <c r="D33" s="76">
        <f>+D32-C32</f>
        <v>6162907</v>
      </c>
      <c r="E33" s="76">
        <f>+E32-D32</f>
        <v>-13025187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1.1291</v>
      </c>
      <c r="D34" s="193">
        <f>IF(C32=0,0,+D33/C32)</f>
        <v>2.5727056953805116E-2</v>
      </c>
      <c r="E34" s="193">
        <f>IF(D32=0,0,+E33/D32)</f>
        <v>-5.300985902477634E-2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1.406657284907022</v>
      </c>
      <c r="D38" s="338">
        <f>IF(+D40=0,0,+D39/+D40)</f>
        <v>0.99645986693627908</v>
      </c>
      <c r="E38" s="338">
        <f>IF(+E40=0,0,+E39/+E40)</f>
        <v>0.72166577645255225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84374611</v>
      </c>
      <c r="D39" s="341">
        <v>78269262</v>
      </c>
      <c r="E39" s="341">
        <v>77825229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59982351</v>
      </c>
      <c r="D40" s="341">
        <v>78547330</v>
      </c>
      <c r="E40" s="341">
        <v>107841097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21.112318270877065</v>
      </c>
      <c r="D42" s="343">
        <f>IF((D48/365)=0,0,+D45/(D48/365))</f>
        <v>8.3791472481651432</v>
      </c>
      <c r="E42" s="343">
        <f>IF((E48/365)=0,0,+E45/(E48/365))</f>
        <v>18.31503295146959</v>
      </c>
    </row>
    <row r="43" spans="1:14" ht="24" customHeight="1" x14ac:dyDescent="0.2">
      <c r="A43" s="339">
        <v>5</v>
      </c>
      <c r="B43" s="344" t="s">
        <v>16</v>
      </c>
      <c r="C43" s="345">
        <v>2579733</v>
      </c>
      <c r="D43" s="345">
        <v>3643185</v>
      </c>
      <c r="E43" s="345">
        <v>6660856</v>
      </c>
    </row>
    <row r="44" spans="1:14" ht="24" customHeight="1" x14ac:dyDescent="0.2">
      <c r="A44" s="339">
        <v>6</v>
      </c>
      <c r="B44" s="346" t="s">
        <v>17</v>
      </c>
      <c r="C44" s="345">
        <v>15988872</v>
      </c>
      <c r="D44" s="345">
        <v>4292988</v>
      </c>
      <c r="E44" s="345">
        <v>11232933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18568605</v>
      </c>
      <c r="D45" s="341">
        <f>+D43+D44</f>
        <v>7936173</v>
      </c>
      <c r="E45" s="341">
        <f>+E43+E44</f>
        <v>17893789</v>
      </c>
    </row>
    <row r="46" spans="1:14" ht="24" customHeight="1" x14ac:dyDescent="0.2">
      <c r="A46" s="339">
        <v>8</v>
      </c>
      <c r="B46" s="340" t="s">
        <v>334</v>
      </c>
      <c r="C46" s="341">
        <f>+C14</f>
        <v>332275513</v>
      </c>
      <c r="D46" s="341">
        <f>+D14</f>
        <v>358502224</v>
      </c>
      <c r="E46" s="341">
        <f>+E14</f>
        <v>372489049</v>
      </c>
    </row>
    <row r="47" spans="1:14" ht="24" customHeight="1" x14ac:dyDescent="0.2">
      <c r="A47" s="339">
        <v>9</v>
      </c>
      <c r="B47" s="340" t="s">
        <v>356</v>
      </c>
      <c r="C47" s="341">
        <v>11252462</v>
      </c>
      <c r="D47" s="341">
        <v>12798412</v>
      </c>
      <c r="E47" s="341">
        <v>15884013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321023051</v>
      </c>
      <c r="D48" s="341">
        <f>+D46-D47</f>
        <v>345703812</v>
      </c>
      <c r="E48" s="341">
        <f>+E46-E47</f>
        <v>356605036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47.998938040524557</v>
      </c>
      <c r="D50" s="350">
        <f>IF((D55/365)=0,0,+D54/(D55/365))</f>
        <v>28.442799997911447</v>
      </c>
      <c r="E50" s="350">
        <f>IF((E55/365)=0,0,+E54/(E55/365))</f>
        <v>7.2990871328526268</v>
      </c>
    </row>
    <row r="51" spans="1:5" ht="24" customHeight="1" x14ac:dyDescent="0.2">
      <c r="A51" s="339">
        <v>12</v>
      </c>
      <c r="B51" s="344" t="s">
        <v>359</v>
      </c>
      <c r="C51" s="351">
        <v>36132652</v>
      </c>
      <c r="D51" s="351">
        <v>35721547</v>
      </c>
      <c r="E51" s="351">
        <v>39656117</v>
      </c>
    </row>
    <row r="52" spans="1:5" ht="24" customHeight="1" x14ac:dyDescent="0.2">
      <c r="A52" s="339">
        <v>13</v>
      </c>
      <c r="B52" s="344" t="s">
        <v>21</v>
      </c>
      <c r="C52" s="341">
        <v>4899895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4526428</v>
      </c>
      <c r="D53" s="341">
        <v>13394804</v>
      </c>
      <c r="E53" s="341">
        <v>33564770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36506119</v>
      </c>
      <c r="D54" s="352">
        <f>+D51+D52-D53</f>
        <v>22326743</v>
      </c>
      <c r="E54" s="352">
        <f>+E51+E52-E53</f>
        <v>6091347</v>
      </c>
    </row>
    <row r="55" spans="1:5" ht="24" customHeight="1" x14ac:dyDescent="0.2">
      <c r="A55" s="339">
        <v>16</v>
      </c>
      <c r="B55" s="340" t="s">
        <v>75</v>
      </c>
      <c r="C55" s="341">
        <f>+C11</f>
        <v>277604755</v>
      </c>
      <c r="D55" s="341">
        <f>+D11</f>
        <v>286514028</v>
      </c>
      <c r="E55" s="341">
        <f>+E11</f>
        <v>304605441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68.199333495836711</v>
      </c>
      <c r="D57" s="355">
        <f>IF((D61/365)=0,0,+D58/(D61/365))</f>
        <v>82.931615026564998</v>
      </c>
      <c r="E57" s="355">
        <f>IF((E61/365)=0,0,+E58/(E61/365))</f>
        <v>110.37982201967557</v>
      </c>
    </row>
    <row r="58" spans="1:5" ht="24" customHeight="1" x14ac:dyDescent="0.2">
      <c r="A58" s="339">
        <v>18</v>
      </c>
      <c r="B58" s="340" t="s">
        <v>54</v>
      </c>
      <c r="C58" s="353">
        <f>+C40</f>
        <v>59982351</v>
      </c>
      <c r="D58" s="353">
        <f>+D40</f>
        <v>78547330</v>
      </c>
      <c r="E58" s="353">
        <f>+E40</f>
        <v>107841097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332275513</v>
      </c>
      <c r="D59" s="353">
        <f t="shared" si="0"/>
        <v>358502224</v>
      </c>
      <c r="E59" s="353">
        <f t="shared" si="0"/>
        <v>372489049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11252462</v>
      </c>
      <c r="D60" s="356">
        <f t="shared" si="0"/>
        <v>12798412</v>
      </c>
      <c r="E60" s="356">
        <f t="shared" si="0"/>
        <v>15884013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321023051</v>
      </c>
      <c r="D61" s="353">
        <f>+D59-D60</f>
        <v>345703812</v>
      </c>
      <c r="E61" s="353">
        <f>+E59-E60</f>
        <v>356605036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57.879295294537968</v>
      </c>
      <c r="D65" s="357">
        <f>IF(D67=0,0,(D66/D67)*100)</f>
        <v>57.398519240955956</v>
      </c>
      <c r="E65" s="357">
        <f>IF(E67=0,0,(E66/E67)*100)</f>
        <v>52.044927856496606</v>
      </c>
    </row>
    <row r="66" spans="1:5" ht="24" customHeight="1" x14ac:dyDescent="0.2">
      <c r="A66" s="339">
        <v>2</v>
      </c>
      <c r="B66" s="340" t="s">
        <v>67</v>
      </c>
      <c r="C66" s="353">
        <f>+C32</f>
        <v>239549631</v>
      </c>
      <c r="D66" s="353">
        <f>+D32</f>
        <v>245712538</v>
      </c>
      <c r="E66" s="353">
        <f>+E32</f>
        <v>232687351</v>
      </c>
    </row>
    <row r="67" spans="1:5" ht="24" customHeight="1" x14ac:dyDescent="0.2">
      <c r="A67" s="339">
        <v>3</v>
      </c>
      <c r="B67" s="340" t="s">
        <v>43</v>
      </c>
      <c r="C67" s="353">
        <v>413877933</v>
      </c>
      <c r="D67" s="353">
        <v>428081667</v>
      </c>
      <c r="E67" s="353">
        <v>447089391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15.942623579290496</v>
      </c>
      <c r="D69" s="357">
        <f>IF(D75=0,0,(D72/D75)*100)</f>
        <v>-3.0152249662390145</v>
      </c>
      <c r="E69" s="357">
        <f>IF(E75=0,0,(E72/E75)*100)</f>
        <v>-0.72533328337171254</v>
      </c>
    </row>
    <row r="70" spans="1:5" ht="24" customHeight="1" x14ac:dyDescent="0.2">
      <c r="A70" s="339">
        <v>5</v>
      </c>
      <c r="B70" s="340" t="s">
        <v>366</v>
      </c>
      <c r="C70" s="353">
        <f>+C28</f>
        <v>7242813</v>
      </c>
      <c r="D70" s="353">
        <f>+D28</f>
        <v>-17074262</v>
      </c>
      <c r="E70" s="353">
        <f>+E28</f>
        <v>-17098089</v>
      </c>
    </row>
    <row r="71" spans="1:5" ht="24" customHeight="1" x14ac:dyDescent="0.2">
      <c r="A71" s="339">
        <v>6</v>
      </c>
      <c r="B71" s="340" t="s">
        <v>356</v>
      </c>
      <c r="C71" s="356">
        <f>+C47</f>
        <v>11252462</v>
      </c>
      <c r="D71" s="356">
        <f>+D47</f>
        <v>12798412</v>
      </c>
      <c r="E71" s="356">
        <f>+E47</f>
        <v>15884013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18495275</v>
      </c>
      <c r="D72" s="353">
        <f>+D70+D71</f>
        <v>-4275850</v>
      </c>
      <c r="E72" s="353">
        <f>+E70+E71</f>
        <v>-1214076</v>
      </c>
    </row>
    <row r="73" spans="1:5" ht="24" customHeight="1" x14ac:dyDescent="0.2">
      <c r="A73" s="339">
        <v>8</v>
      </c>
      <c r="B73" s="340" t="s">
        <v>54</v>
      </c>
      <c r="C73" s="341">
        <f>+C40</f>
        <v>59982351</v>
      </c>
      <c r="D73" s="341">
        <f>+D40</f>
        <v>78547330</v>
      </c>
      <c r="E73" s="341">
        <f>+E40</f>
        <v>107841097</v>
      </c>
    </row>
    <row r="74" spans="1:5" ht="24" customHeight="1" x14ac:dyDescent="0.2">
      <c r="A74" s="339">
        <v>9</v>
      </c>
      <c r="B74" s="340" t="s">
        <v>58</v>
      </c>
      <c r="C74" s="353">
        <v>56029138</v>
      </c>
      <c r="D74" s="353">
        <v>63261326</v>
      </c>
      <c r="E74" s="353">
        <v>59540716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116011489</v>
      </c>
      <c r="D75" s="341">
        <f>+D73+D74</f>
        <v>141808656</v>
      </c>
      <c r="E75" s="341">
        <f>+E73+E74</f>
        <v>167381813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18.955738326388389</v>
      </c>
      <c r="D77" s="359">
        <f>IF(D80=0,0,(D78/D80)*100)</f>
        <v>20.474652833418947</v>
      </c>
      <c r="E77" s="359">
        <f>IF(E80=0,0,(E78/E80)*100)</f>
        <v>20.374742443887158</v>
      </c>
    </row>
    <row r="78" spans="1:5" ht="24" customHeight="1" x14ac:dyDescent="0.2">
      <c r="A78" s="339">
        <v>12</v>
      </c>
      <c r="B78" s="340" t="s">
        <v>58</v>
      </c>
      <c r="C78" s="341">
        <f>+C74</f>
        <v>56029138</v>
      </c>
      <c r="D78" s="341">
        <f>+D74</f>
        <v>63261326</v>
      </c>
      <c r="E78" s="341">
        <f>+E74</f>
        <v>59540716</v>
      </c>
    </row>
    <row r="79" spans="1:5" ht="24" customHeight="1" x14ac:dyDescent="0.2">
      <c r="A79" s="339">
        <v>13</v>
      </c>
      <c r="B79" s="340" t="s">
        <v>67</v>
      </c>
      <c r="C79" s="341">
        <f>+C32</f>
        <v>239549631</v>
      </c>
      <c r="D79" s="341">
        <f>+D32</f>
        <v>245712538</v>
      </c>
      <c r="E79" s="341">
        <f>+E32</f>
        <v>232687351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295578769</v>
      </c>
      <c r="D80" s="341">
        <f>+D78+D79</f>
        <v>308973864</v>
      </c>
      <c r="E80" s="341">
        <f>+E78+E79</f>
        <v>292228067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FILING&amp;R&amp;8CCMC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0</v>
      </c>
      <c r="D11" s="376">
        <v>0</v>
      </c>
      <c r="E11" s="376">
        <v>0</v>
      </c>
      <c r="F11" s="377">
        <v>0</v>
      </c>
      <c r="G11" s="377">
        <v>0</v>
      </c>
      <c r="H11" s="378">
        <f>IF(F11=0,0,$C11/(F11*365))</f>
        <v>0</v>
      </c>
      <c r="I11" s="378">
        <f>IF(G11=0,0,$C11/(G11*365))</f>
        <v>0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4354</v>
      </c>
      <c r="D13" s="376">
        <v>152</v>
      </c>
      <c r="E13" s="376">
        <v>706</v>
      </c>
      <c r="F13" s="377">
        <v>18</v>
      </c>
      <c r="G13" s="377">
        <v>18</v>
      </c>
      <c r="H13" s="378">
        <f>IF(F13=0,0,$C13/(F13*365))</f>
        <v>0.66270928462709289</v>
      </c>
      <c r="I13" s="378">
        <f>IF(G13=0,0,$C13/(G13*365))</f>
        <v>0.66270928462709289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0</v>
      </c>
      <c r="D21" s="376">
        <v>0</v>
      </c>
      <c r="E21" s="376">
        <v>0</v>
      </c>
      <c r="F21" s="377">
        <v>0</v>
      </c>
      <c r="G21" s="377">
        <v>0</v>
      </c>
      <c r="H21" s="378">
        <f>IF(F21=0,0,$C21/(F21*365))</f>
        <v>0</v>
      </c>
      <c r="I21" s="378">
        <f>IF(G21=0,0,$C21/(G21*365))</f>
        <v>0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0</v>
      </c>
      <c r="D23" s="376">
        <v>0</v>
      </c>
      <c r="E23" s="376">
        <v>0</v>
      </c>
      <c r="F23" s="377">
        <v>0</v>
      </c>
      <c r="G23" s="377">
        <v>0</v>
      </c>
      <c r="H23" s="378">
        <f>IF(F23=0,0,$C23/(F23*365))</f>
        <v>0</v>
      </c>
      <c r="I23" s="378">
        <f>IF(G23=0,0,$C23/(G23*365))</f>
        <v>0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18306</v>
      </c>
      <c r="D25" s="376">
        <v>758</v>
      </c>
      <c r="E25" s="376">
        <v>810</v>
      </c>
      <c r="F25" s="377">
        <v>72</v>
      </c>
      <c r="G25" s="377">
        <v>72</v>
      </c>
      <c r="H25" s="378">
        <f>IF(F25=0,0,$C25/(F25*365))</f>
        <v>0.69657534246575348</v>
      </c>
      <c r="I25" s="378">
        <f>IF(G25=0,0,$C25/(G25*365))</f>
        <v>0.69657534246575348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19864</v>
      </c>
      <c r="D27" s="376">
        <v>5045</v>
      </c>
      <c r="E27" s="376">
        <v>4211</v>
      </c>
      <c r="F27" s="377">
        <v>92</v>
      </c>
      <c r="G27" s="377">
        <v>97</v>
      </c>
      <c r="H27" s="378">
        <f>IF(F27=0,0,$C27/(F27*365))</f>
        <v>0.59154258487194755</v>
      </c>
      <c r="I27" s="378">
        <f>IF(G27=0,0,$C27/(G27*365))</f>
        <v>0.561050699053806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42524</v>
      </c>
      <c r="D31" s="384">
        <f>SUM(D10:D29)-D13-D17-D23</f>
        <v>5803</v>
      </c>
      <c r="E31" s="384">
        <f>SUM(E10:E29)-E17-E23</f>
        <v>5727</v>
      </c>
      <c r="F31" s="384">
        <f>SUM(F10:F29)-F17-F23</f>
        <v>182</v>
      </c>
      <c r="G31" s="384">
        <f>SUM(G10:G29)-G17-G23</f>
        <v>187</v>
      </c>
      <c r="H31" s="385">
        <f>IF(F31=0,0,$C31/(F31*365))</f>
        <v>0.64013247026945652</v>
      </c>
      <c r="I31" s="385">
        <f>IF(G31=0,0,$C31/(G31*365))</f>
        <v>0.62301662881840159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42524</v>
      </c>
      <c r="D33" s="384">
        <f>SUM(D10:D29)-D13-D17</f>
        <v>5803</v>
      </c>
      <c r="E33" s="384">
        <f>SUM(E10:E29)-E17</f>
        <v>5727</v>
      </c>
      <c r="F33" s="384">
        <f>SUM(F10:F29)-F17</f>
        <v>182</v>
      </c>
      <c r="G33" s="384">
        <f>SUM(G10:G29)-G17</f>
        <v>187</v>
      </c>
      <c r="H33" s="385">
        <f>IF(F33=0,0,$C33/(F33*365))</f>
        <v>0.64013247026945652</v>
      </c>
      <c r="I33" s="385">
        <f>IF(G33=0,0,$C33/(G33*365))</f>
        <v>0.62301662881840159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42524</v>
      </c>
      <c r="D36" s="384">
        <f t="shared" si="1"/>
        <v>5803</v>
      </c>
      <c r="E36" s="384">
        <f t="shared" si="1"/>
        <v>5727</v>
      </c>
      <c r="F36" s="384">
        <f t="shared" si="1"/>
        <v>182</v>
      </c>
      <c r="G36" s="384">
        <f t="shared" si="1"/>
        <v>187</v>
      </c>
      <c r="H36" s="387">
        <f t="shared" si="1"/>
        <v>0.64013247026945652</v>
      </c>
      <c r="I36" s="387">
        <f t="shared" si="1"/>
        <v>0.62301662881840159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46107</v>
      </c>
      <c r="D37" s="384">
        <v>6422</v>
      </c>
      <c r="E37" s="384">
        <v>6347</v>
      </c>
      <c r="F37" s="386">
        <v>182</v>
      </c>
      <c r="G37" s="386">
        <v>187</v>
      </c>
      <c r="H37" s="385">
        <f>IF(F37=0,0,$C37/(F37*365))</f>
        <v>0.69406894475387626</v>
      </c>
      <c r="I37" s="385">
        <f>IF(G37=0,0,$C37/(G37*365))</f>
        <v>0.67551095157863894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-3583</v>
      </c>
      <c r="D38" s="384">
        <f t="shared" si="2"/>
        <v>-619</v>
      </c>
      <c r="E38" s="384">
        <f t="shared" si="2"/>
        <v>-620</v>
      </c>
      <c r="F38" s="384">
        <f t="shared" si="2"/>
        <v>0</v>
      </c>
      <c r="G38" s="384">
        <f t="shared" si="2"/>
        <v>0</v>
      </c>
      <c r="H38" s="387">
        <f t="shared" si="2"/>
        <v>-5.3936474484419739E-2</v>
      </c>
      <c r="I38" s="387">
        <f t="shared" si="2"/>
        <v>-5.2494322760237355E-2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-7.7710542867677354E-2</v>
      </c>
      <c r="D40" s="389">
        <f t="shared" si="3"/>
        <v>-9.6387418249766432E-2</v>
      </c>
      <c r="E40" s="389">
        <f t="shared" si="3"/>
        <v>-9.7683945170946904E-2</v>
      </c>
      <c r="F40" s="389">
        <f t="shared" si="3"/>
        <v>0</v>
      </c>
      <c r="G40" s="389">
        <f t="shared" si="3"/>
        <v>0</v>
      </c>
      <c r="H40" s="389">
        <f t="shared" si="3"/>
        <v>-7.7710542867677423E-2</v>
      </c>
      <c r="I40" s="389">
        <f t="shared" si="3"/>
        <v>-7.7710542867677368E-2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187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FILING&amp;RCT CHILDREN`S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1137</v>
      </c>
      <c r="D12" s="409">
        <v>1093</v>
      </c>
      <c r="E12" s="409">
        <f>+D12-C12</f>
        <v>-44</v>
      </c>
      <c r="F12" s="410">
        <f>IF(C12=0,0,+E12/C12)</f>
        <v>-3.8698328935795952E-2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1168</v>
      </c>
      <c r="D13" s="409">
        <v>1827</v>
      </c>
      <c r="E13" s="409">
        <f>+D13-C13</f>
        <v>659</v>
      </c>
      <c r="F13" s="410">
        <f>IF(C13=0,0,+E13/C13)</f>
        <v>0.56421232876712324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841</v>
      </c>
      <c r="D14" s="409">
        <v>603</v>
      </c>
      <c r="E14" s="409">
        <f>+D14-C14</f>
        <v>-238</v>
      </c>
      <c r="F14" s="410">
        <f>IF(C14=0,0,+E14/C14)</f>
        <v>-0.28299643281807374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3146</v>
      </c>
      <c r="D16" s="401">
        <f>SUM(D12:D15)</f>
        <v>3523</v>
      </c>
      <c r="E16" s="401">
        <f>+D16-C16</f>
        <v>377</v>
      </c>
      <c r="F16" s="402">
        <f>IF(C16=0,0,+E16/C16)</f>
        <v>0.11983471074380166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650</v>
      </c>
      <c r="D19" s="409">
        <v>626</v>
      </c>
      <c r="E19" s="409">
        <f>+D19-C19</f>
        <v>-24</v>
      </c>
      <c r="F19" s="410">
        <f>IF(C19=0,0,+E19/C19)</f>
        <v>-3.6923076923076927E-2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3345</v>
      </c>
      <c r="D20" s="409">
        <v>3990</v>
      </c>
      <c r="E20" s="409">
        <f>+D20-C20</f>
        <v>645</v>
      </c>
      <c r="F20" s="410">
        <f>IF(C20=0,0,+E20/C20)</f>
        <v>0.19282511210762332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111</v>
      </c>
      <c r="D21" s="409">
        <v>73</v>
      </c>
      <c r="E21" s="409">
        <f>+D21-C21</f>
        <v>-38</v>
      </c>
      <c r="F21" s="410">
        <f>IF(C21=0,0,+E21/C21)</f>
        <v>-0.34234234234234234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4106</v>
      </c>
      <c r="D23" s="401">
        <f>SUM(D19:D22)</f>
        <v>4689</v>
      </c>
      <c r="E23" s="401">
        <f>+D23-C23</f>
        <v>583</v>
      </c>
      <c r="F23" s="402">
        <f>IF(C23=0,0,+E23/C23)</f>
        <v>0.14198733560642962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17</v>
      </c>
      <c r="D48" s="409">
        <v>20</v>
      </c>
      <c r="E48" s="409">
        <f>+D48-C48</f>
        <v>3</v>
      </c>
      <c r="F48" s="410">
        <f>IF(C48=0,0,+E48/C48)</f>
        <v>0.17647058823529413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40</v>
      </c>
      <c r="D49" s="409">
        <v>46</v>
      </c>
      <c r="E49" s="409">
        <f>+D49-C49</f>
        <v>6</v>
      </c>
      <c r="F49" s="410">
        <f>IF(C49=0,0,+E49/C49)</f>
        <v>0.15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57</v>
      </c>
      <c r="D50" s="401">
        <f>SUM(D48:D49)</f>
        <v>66</v>
      </c>
      <c r="E50" s="401">
        <f>+D50-C50</f>
        <v>9</v>
      </c>
      <c r="F50" s="402">
        <f>IF(C50=0,0,+E50/C50)</f>
        <v>0.15789473684210525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5</v>
      </c>
      <c r="D53" s="409">
        <v>3</v>
      </c>
      <c r="E53" s="409">
        <f>+D53-C53</f>
        <v>-2</v>
      </c>
      <c r="F53" s="410">
        <f>IF(C53=0,0,+E53/C53)</f>
        <v>-0.4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1</v>
      </c>
      <c r="D54" s="409">
        <v>1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6</v>
      </c>
      <c r="D55" s="401">
        <f>SUM(D53:D54)</f>
        <v>4</v>
      </c>
      <c r="E55" s="401">
        <f>+D55-C55</f>
        <v>-2</v>
      </c>
      <c r="F55" s="402">
        <f>IF(C55=0,0,+E55/C55)</f>
        <v>-0.33333333333333331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14</v>
      </c>
      <c r="D58" s="409">
        <v>13</v>
      </c>
      <c r="E58" s="409">
        <f>+D58-C58</f>
        <v>-1</v>
      </c>
      <c r="F58" s="410">
        <f>IF(C58=0,0,+E58/C58)</f>
        <v>-7.1428571428571425E-2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16</v>
      </c>
      <c r="D59" s="409">
        <v>43</v>
      </c>
      <c r="E59" s="409">
        <f>+D59-C59</f>
        <v>27</v>
      </c>
      <c r="F59" s="410">
        <f>IF(C59=0,0,+E59/C59)</f>
        <v>1.6875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30</v>
      </c>
      <c r="D60" s="401">
        <f>SUM(D58:D59)</f>
        <v>56</v>
      </c>
      <c r="E60" s="401">
        <f>SUM(E58:E59)</f>
        <v>26</v>
      </c>
      <c r="F60" s="402">
        <f>IF(C60=0,0,+E60/C60)</f>
        <v>0.8666666666666667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2118</v>
      </c>
      <c r="D63" s="409">
        <v>1921</v>
      </c>
      <c r="E63" s="409">
        <f>+D63-C63</f>
        <v>-197</v>
      </c>
      <c r="F63" s="410">
        <f>IF(C63=0,0,+E63/C63)</f>
        <v>-9.3012275731822469E-2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8138</v>
      </c>
      <c r="D64" s="409">
        <v>8308</v>
      </c>
      <c r="E64" s="409">
        <f>+D64-C64</f>
        <v>170</v>
      </c>
      <c r="F64" s="410">
        <f>IF(C64=0,0,+E64/C64)</f>
        <v>2.0889653477512902E-2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10256</v>
      </c>
      <c r="D65" s="401">
        <f>SUM(D63:D64)</f>
        <v>10229</v>
      </c>
      <c r="E65" s="401">
        <f>+D65-C65</f>
        <v>-27</v>
      </c>
      <c r="F65" s="402">
        <f>IF(C65=0,0,+E65/C65)</f>
        <v>-2.6326053042121686E-3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144</v>
      </c>
      <c r="D68" s="409">
        <v>102</v>
      </c>
      <c r="E68" s="409">
        <f>+D68-C68</f>
        <v>-42</v>
      </c>
      <c r="F68" s="410">
        <f>IF(C68=0,0,+E68/C68)</f>
        <v>-0.29166666666666669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1607</v>
      </c>
      <c r="D69" s="409">
        <v>1396</v>
      </c>
      <c r="E69" s="409">
        <f>+D69-C69</f>
        <v>-211</v>
      </c>
      <c r="F69" s="412">
        <f>IF(C69=0,0,+E69/C69)</f>
        <v>-0.13130056004978222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1751</v>
      </c>
      <c r="D70" s="401">
        <f>SUM(D68:D69)</f>
        <v>1498</v>
      </c>
      <c r="E70" s="401">
        <f>+D70-C70</f>
        <v>-253</v>
      </c>
      <c r="F70" s="402">
        <f>IF(C70=0,0,+E70/C70)</f>
        <v>-0.14448886350656767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3299</v>
      </c>
      <c r="D73" s="376">
        <v>2972</v>
      </c>
      <c r="E73" s="409">
        <f>+D73-C73</f>
        <v>-327</v>
      </c>
      <c r="F73" s="410">
        <f>IF(C73=0,0,+E73/C73)</f>
        <v>-9.912094574113367E-2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52341</v>
      </c>
      <c r="D74" s="376">
        <v>51438</v>
      </c>
      <c r="E74" s="409">
        <f>+D74-C74</f>
        <v>-903</v>
      </c>
      <c r="F74" s="410">
        <f>IF(C74=0,0,+E74/C74)</f>
        <v>-1.7252249670430448E-2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55640</v>
      </c>
      <c r="D75" s="401">
        <f>SUM(D73:D74)</f>
        <v>54410</v>
      </c>
      <c r="E75" s="401">
        <f>SUM(E73:E74)</f>
        <v>-1230</v>
      </c>
      <c r="F75" s="402">
        <f>IF(C75=0,0,+E75/C75)</f>
        <v>-2.2106398274622574E-2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0</v>
      </c>
      <c r="D92" s="381">
        <f>SUM(D79:D91)</f>
        <v>0</v>
      </c>
      <c r="E92" s="401">
        <f t="shared" si="0"/>
        <v>0</v>
      </c>
      <c r="F92" s="402">
        <f t="shared" si="1"/>
        <v>0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52076</v>
      </c>
      <c r="D95" s="414">
        <v>50871</v>
      </c>
      <c r="E95" s="415">
        <f t="shared" ref="E95:E100" si="2">+D95-C95</f>
        <v>-1205</v>
      </c>
      <c r="F95" s="412">
        <f t="shared" ref="F95:F100" si="3">IF(C95=0,0,+E95/C95)</f>
        <v>-2.3139258007527461E-2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0</v>
      </c>
      <c r="E96" s="409">
        <f t="shared" si="2"/>
        <v>0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1720</v>
      </c>
      <c r="D97" s="414">
        <v>2196</v>
      </c>
      <c r="E97" s="409">
        <f t="shared" si="2"/>
        <v>476</v>
      </c>
      <c r="F97" s="410">
        <f t="shared" si="3"/>
        <v>0.27674418604651163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2353</v>
      </c>
      <c r="D98" s="414">
        <v>2407</v>
      </c>
      <c r="E98" s="409">
        <f t="shared" si="2"/>
        <v>54</v>
      </c>
      <c r="F98" s="410">
        <f t="shared" si="3"/>
        <v>2.2949426264343393E-2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49762</v>
      </c>
      <c r="D99" s="414">
        <v>50489</v>
      </c>
      <c r="E99" s="409">
        <f t="shared" si="2"/>
        <v>727</v>
      </c>
      <c r="F99" s="410">
        <f t="shared" si="3"/>
        <v>1.4609541417145613E-2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105911</v>
      </c>
      <c r="D100" s="381">
        <f>SUM(D95:D99)</f>
        <v>105963</v>
      </c>
      <c r="E100" s="401">
        <f t="shared" si="2"/>
        <v>52</v>
      </c>
      <c r="F100" s="402">
        <f t="shared" si="3"/>
        <v>4.9097827421136617E-4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329.6</v>
      </c>
      <c r="D104" s="416">
        <v>327.3</v>
      </c>
      <c r="E104" s="417">
        <f>+D104-C104</f>
        <v>-2.3000000000000114</v>
      </c>
      <c r="F104" s="410">
        <f>IF(C104=0,0,+E104/C104)</f>
        <v>-6.9781553398058594E-3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43.6</v>
      </c>
      <c r="D105" s="416">
        <v>44.4</v>
      </c>
      <c r="E105" s="417">
        <f>+D105-C105</f>
        <v>0.79999999999999716</v>
      </c>
      <c r="F105" s="410">
        <f>IF(C105=0,0,+E105/C105)</f>
        <v>1.8348623853210944E-2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1056.5</v>
      </c>
      <c r="D106" s="416">
        <v>1082.7</v>
      </c>
      <c r="E106" s="417">
        <f>+D106-C106</f>
        <v>26.200000000000045</v>
      </c>
      <c r="F106" s="410">
        <f>IF(C106=0,0,+E106/C106)</f>
        <v>2.4798864174160006E-2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1429.7</v>
      </c>
      <c r="D107" s="418">
        <f>SUM(D104:D106)</f>
        <v>1454.4</v>
      </c>
      <c r="E107" s="418">
        <f>+D107-C107</f>
        <v>24.700000000000045</v>
      </c>
      <c r="F107" s="402">
        <f>IF(C107=0,0,+E107/C107)</f>
        <v>1.7276351682171117E-2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FILING&amp;RCT CHILDREN`S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8138</v>
      </c>
      <c r="D12" s="409">
        <v>6923</v>
      </c>
      <c r="E12" s="409">
        <f>+D12-C12</f>
        <v>-1215</v>
      </c>
      <c r="F12" s="410">
        <f>IF(C12=0,0,+E12/C12)</f>
        <v>-0.14929958220693046</v>
      </c>
    </row>
    <row r="13" spans="1:6" ht="15.75" customHeight="1" x14ac:dyDescent="0.2">
      <c r="A13" s="374">
        <v>2</v>
      </c>
      <c r="B13" s="408" t="s">
        <v>622</v>
      </c>
      <c r="C13" s="409">
        <v>0</v>
      </c>
      <c r="D13" s="409">
        <v>1385</v>
      </c>
      <c r="E13" s="409">
        <f>+D13-C13</f>
        <v>1385</v>
      </c>
      <c r="F13" s="410">
        <f>IF(C13=0,0,+E13/C13)</f>
        <v>0</v>
      </c>
    </row>
    <row r="14" spans="1:6" ht="15.75" customHeight="1" x14ac:dyDescent="0.25">
      <c r="A14" s="374"/>
      <c r="B14" s="399" t="s">
        <v>623</v>
      </c>
      <c r="C14" s="401">
        <f>SUM(C11:C13)</f>
        <v>8138</v>
      </c>
      <c r="D14" s="401">
        <f>SUM(D11:D13)</f>
        <v>8308</v>
      </c>
      <c r="E14" s="401">
        <f>+D14-C14</f>
        <v>170</v>
      </c>
      <c r="F14" s="402">
        <f>IF(C14=0,0,+E14/C14)</f>
        <v>2.0889653477512902E-2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624</v>
      </c>
      <c r="C17" s="409">
        <v>1607</v>
      </c>
      <c r="D17" s="409">
        <v>1396</v>
      </c>
      <c r="E17" s="409">
        <f>+D17-C17</f>
        <v>-211</v>
      </c>
      <c r="F17" s="410">
        <f>IF(C17=0,0,+E17/C17)</f>
        <v>-0.13130056004978222</v>
      </c>
    </row>
    <row r="18" spans="1:6" ht="15.75" customHeight="1" x14ac:dyDescent="0.25">
      <c r="A18" s="374"/>
      <c r="B18" s="399" t="s">
        <v>625</v>
      </c>
      <c r="C18" s="401">
        <f>SUM(C16:C17)</f>
        <v>1607</v>
      </c>
      <c r="D18" s="401">
        <f>SUM(D16:D17)</f>
        <v>1396</v>
      </c>
      <c r="E18" s="401">
        <f>+D18-C18</f>
        <v>-211</v>
      </c>
      <c r="F18" s="402">
        <f>IF(C18=0,0,+E18/C18)</f>
        <v>-0.13130056004978222</v>
      </c>
    </row>
    <row r="19" spans="1:6" ht="15.75" customHeight="1" x14ac:dyDescent="0.25">
      <c r="A19" s="136"/>
      <c r="B19" s="399"/>
      <c r="C19" s="401"/>
      <c r="D19" s="401"/>
      <c r="E19" s="401"/>
      <c r="F19" s="402"/>
    </row>
    <row r="20" spans="1:6" ht="15.75" customHeight="1" x14ac:dyDescent="0.25">
      <c r="A20" s="136" t="s">
        <v>36</v>
      </c>
      <c r="B20" s="406" t="s">
        <v>626</v>
      </c>
      <c r="C20" s="409"/>
      <c r="D20" s="409"/>
      <c r="E20" s="409"/>
      <c r="F20" s="410"/>
    </row>
    <row r="21" spans="1:6" ht="15.75" customHeight="1" x14ac:dyDescent="0.2">
      <c r="A21" s="374">
        <v>1</v>
      </c>
      <c r="B21" s="408" t="s">
        <v>627</v>
      </c>
      <c r="C21" s="409">
        <v>52341</v>
      </c>
      <c r="D21" s="409">
        <v>51438</v>
      </c>
      <c r="E21" s="409">
        <f>+D21-C21</f>
        <v>-903</v>
      </c>
      <c r="F21" s="410">
        <f>IF(C21=0,0,+E21/C21)</f>
        <v>-1.7252249670430448E-2</v>
      </c>
    </row>
    <row r="22" spans="1:6" ht="15.75" customHeight="1" x14ac:dyDescent="0.25">
      <c r="A22" s="374"/>
      <c r="B22" s="399" t="s">
        <v>628</v>
      </c>
      <c r="C22" s="401">
        <f>SUM(C20:C21)</f>
        <v>52341</v>
      </c>
      <c r="D22" s="401">
        <f>SUM(D20:D21)</f>
        <v>51438</v>
      </c>
      <c r="E22" s="401">
        <f>+D22-C22</f>
        <v>-903</v>
      </c>
      <c r="F22" s="402">
        <f>IF(C22=0,0,+E22/C22)</f>
        <v>-1.7252249670430448E-2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3" t="s">
        <v>629</v>
      </c>
      <c r="C24" s="814"/>
      <c r="D24" s="814"/>
      <c r="E24" s="814"/>
      <c r="F24" s="815"/>
    </row>
    <row r="25" spans="1:6" ht="15.75" customHeight="1" x14ac:dyDescent="0.25">
      <c r="A25" s="392"/>
    </row>
    <row r="26" spans="1:6" ht="15.75" customHeight="1" x14ac:dyDescent="0.25">
      <c r="B26" s="813" t="s">
        <v>630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631</v>
      </c>
      <c r="C28" s="814"/>
      <c r="D28" s="814"/>
      <c r="E28" s="814"/>
      <c r="F28" s="815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FILING&amp;RCT CHILDREN`S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632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633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634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635</v>
      </c>
      <c r="D7" s="426" t="s">
        <v>635</v>
      </c>
      <c r="E7" s="426" t="s">
        <v>636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637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638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639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640</v>
      </c>
      <c r="C15" s="448">
        <v>776456</v>
      </c>
      <c r="D15" s="448">
        <v>344532</v>
      </c>
      <c r="E15" s="448">
        <f t="shared" ref="E15:E24" si="0">D15-C15</f>
        <v>-431924</v>
      </c>
      <c r="F15" s="449">
        <f t="shared" ref="F15:F24" si="1">IF(C15=0,0,E15/C15)</f>
        <v>-0.55627620882574158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641</v>
      </c>
      <c r="C16" s="448">
        <v>2018068</v>
      </c>
      <c r="D16" s="448">
        <v>1402653</v>
      </c>
      <c r="E16" s="448">
        <f t="shared" si="0"/>
        <v>-615415</v>
      </c>
      <c r="F16" s="449">
        <f t="shared" si="1"/>
        <v>-0.30495255858573644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642</v>
      </c>
      <c r="C17" s="453">
        <f>IF(C15=0,0,C16/C15)</f>
        <v>2.5990758008180759</v>
      </c>
      <c r="D17" s="453">
        <f>IF(LN_IA1=0,0,LN_IA2/LN_IA1)</f>
        <v>4.0711835185120684</v>
      </c>
      <c r="E17" s="454">
        <f t="shared" si="0"/>
        <v>1.4721077176939925</v>
      </c>
      <c r="F17" s="449">
        <f t="shared" si="1"/>
        <v>0.56639660806762049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20</v>
      </c>
      <c r="D18" s="456">
        <v>9</v>
      </c>
      <c r="E18" s="456">
        <f t="shared" si="0"/>
        <v>-11</v>
      </c>
      <c r="F18" s="449">
        <f t="shared" si="1"/>
        <v>-0.55000000000000004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643</v>
      </c>
      <c r="C19" s="459">
        <v>1.7544999999999999</v>
      </c>
      <c r="D19" s="459">
        <v>1.038</v>
      </c>
      <c r="E19" s="460">
        <f t="shared" si="0"/>
        <v>-0.71649999999999991</v>
      </c>
      <c r="F19" s="449">
        <f t="shared" si="1"/>
        <v>-0.40837845540039891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644</v>
      </c>
      <c r="C20" s="463">
        <f>C18*C19</f>
        <v>35.089999999999996</v>
      </c>
      <c r="D20" s="463">
        <f>LN_IA4*LN_IA5</f>
        <v>9.3420000000000005</v>
      </c>
      <c r="E20" s="463">
        <f t="shared" si="0"/>
        <v>-25.747999999999998</v>
      </c>
      <c r="F20" s="449">
        <f t="shared" si="1"/>
        <v>-0.73377030493017958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645</v>
      </c>
      <c r="C21" s="465">
        <f>IF(C20=0,0,C16/C20)</f>
        <v>57511.199772014828</v>
      </c>
      <c r="D21" s="465">
        <f>IF(LN_IA6=0,0,LN_IA2/LN_IA6)</f>
        <v>150144.82980089917</v>
      </c>
      <c r="E21" s="465">
        <f t="shared" si="0"/>
        <v>92633.630028884334</v>
      </c>
      <c r="F21" s="449">
        <f t="shared" si="1"/>
        <v>1.6107059215613897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83</v>
      </c>
      <c r="D22" s="456">
        <v>46</v>
      </c>
      <c r="E22" s="456">
        <f t="shared" si="0"/>
        <v>-37</v>
      </c>
      <c r="F22" s="449">
        <f t="shared" si="1"/>
        <v>-0.44578313253012047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646</v>
      </c>
      <c r="C23" s="465">
        <f>IF(C22=0,0,C16/C22)</f>
        <v>24314.072289156626</v>
      </c>
      <c r="D23" s="465">
        <f>IF(LN_IA8=0,0,LN_IA2/LN_IA8)</f>
        <v>30492.456521739132</v>
      </c>
      <c r="E23" s="465">
        <f t="shared" si="0"/>
        <v>6178.3842325825062</v>
      </c>
      <c r="F23" s="449">
        <f t="shared" si="1"/>
        <v>0.25410733994312779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647</v>
      </c>
      <c r="C24" s="466">
        <f>IF(C18=0,0,C22/C18)</f>
        <v>4.1500000000000004</v>
      </c>
      <c r="D24" s="466">
        <f>IF(LN_IA4=0,0,LN_IA8/LN_IA4)</f>
        <v>5.1111111111111107</v>
      </c>
      <c r="E24" s="466">
        <f t="shared" si="0"/>
        <v>0.96111111111111036</v>
      </c>
      <c r="F24" s="449">
        <f t="shared" si="1"/>
        <v>0.23159303882195428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648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649</v>
      </c>
      <c r="C27" s="448">
        <v>267448</v>
      </c>
      <c r="D27" s="448">
        <v>364729</v>
      </c>
      <c r="E27" s="448">
        <f t="shared" ref="E27:E32" si="2">D27-C27</f>
        <v>97281</v>
      </c>
      <c r="F27" s="449">
        <f t="shared" ref="F27:F32" si="3">IF(C27=0,0,E27/C27)</f>
        <v>0.36373799766683618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650</v>
      </c>
      <c r="C28" s="448">
        <v>773310</v>
      </c>
      <c r="D28" s="448">
        <v>1375898</v>
      </c>
      <c r="E28" s="448">
        <f t="shared" si="2"/>
        <v>602588</v>
      </c>
      <c r="F28" s="449">
        <f t="shared" si="3"/>
        <v>0.77923213200398289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651</v>
      </c>
      <c r="C29" s="453">
        <f>IF(C27=0,0,C28/C27)</f>
        <v>2.8914405791032274</v>
      </c>
      <c r="D29" s="453">
        <f>IF(LN_IA11=0,0,LN_IA12/LN_IA11)</f>
        <v>3.7723844278902967</v>
      </c>
      <c r="E29" s="454">
        <f t="shared" si="2"/>
        <v>0.88094384878706933</v>
      </c>
      <c r="F29" s="449">
        <f t="shared" si="3"/>
        <v>0.30467299074162252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652</v>
      </c>
      <c r="C30" s="453">
        <f>IF(C15=0,0,C27/C15)</f>
        <v>0.34444707749054682</v>
      </c>
      <c r="D30" s="453">
        <f>IF(LN_IA1=0,0,LN_IA11/LN_IA1)</f>
        <v>1.0586215503929968</v>
      </c>
      <c r="E30" s="454">
        <f t="shared" si="2"/>
        <v>0.71417447290244995</v>
      </c>
      <c r="F30" s="449">
        <f t="shared" si="3"/>
        <v>2.0733939103375034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653</v>
      </c>
      <c r="C31" s="463">
        <f>C30*C18</f>
        <v>6.8889415498109363</v>
      </c>
      <c r="D31" s="463">
        <f>LN_IA14*LN_IA4</f>
        <v>9.5275939535369716</v>
      </c>
      <c r="E31" s="463">
        <f t="shared" si="2"/>
        <v>2.6386524037260353</v>
      </c>
      <c r="F31" s="449">
        <f t="shared" si="3"/>
        <v>0.38302725965187667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654</v>
      </c>
      <c r="C32" s="465">
        <f>IF(C31=0,0,C28/C31)</f>
        <v>112253.81931440877</v>
      </c>
      <c r="D32" s="465">
        <f>IF(LN_IA15=0,0,LN_IA12/LN_IA15)</f>
        <v>144411.90574554441</v>
      </c>
      <c r="E32" s="465">
        <f t="shared" si="2"/>
        <v>32158.086431135642</v>
      </c>
      <c r="F32" s="449">
        <f t="shared" si="3"/>
        <v>0.28647654598784655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655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656</v>
      </c>
      <c r="C35" s="448">
        <f>C15+C27</f>
        <v>1043904</v>
      </c>
      <c r="D35" s="448">
        <f>LN_IA1+LN_IA11</f>
        <v>709261</v>
      </c>
      <c r="E35" s="448">
        <f>D35-C35</f>
        <v>-334643</v>
      </c>
      <c r="F35" s="449">
        <f>IF(C35=0,0,E35/C35)</f>
        <v>-0.32056874961682302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657</v>
      </c>
      <c r="C36" s="448">
        <f>C16+C28</f>
        <v>2791378</v>
      </c>
      <c r="D36" s="448">
        <f>LN_IA2+LN_IA12</f>
        <v>2778551</v>
      </c>
      <c r="E36" s="448">
        <f>D36-C36</f>
        <v>-12827</v>
      </c>
      <c r="F36" s="449">
        <f>IF(C36=0,0,E36/C36)</f>
        <v>-4.5952214282694781E-3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658</v>
      </c>
      <c r="C37" s="448">
        <f>C35-C36</f>
        <v>-1747474</v>
      </c>
      <c r="D37" s="448">
        <f>LN_IA17-LN_IA18</f>
        <v>-2069290</v>
      </c>
      <c r="E37" s="448">
        <f>D37-C37</f>
        <v>-321816</v>
      </c>
      <c r="F37" s="449">
        <f>IF(C37=0,0,E37/C37)</f>
        <v>0.18416067993000182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659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660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640</v>
      </c>
      <c r="C42" s="448">
        <v>160141585</v>
      </c>
      <c r="D42" s="448">
        <v>148080190</v>
      </c>
      <c r="E42" s="448">
        <f t="shared" ref="E42:E53" si="4">D42-C42</f>
        <v>-12061395</v>
      </c>
      <c r="F42" s="449">
        <f t="shared" ref="F42:F53" si="5">IF(C42=0,0,E42/C42)</f>
        <v>-7.5317070203844927E-2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641</v>
      </c>
      <c r="C43" s="448">
        <v>95732931</v>
      </c>
      <c r="D43" s="448">
        <v>91539914</v>
      </c>
      <c r="E43" s="448">
        <f t="shared" si="4"/>
        <v>-4193017</v>
      </c>
      <c r="F43" s="449">
        <f t="shared" si="5"/>
        <v>-4.3799108166864754E-2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642</v>
      </c>
      <c r="C44" s="453">
        <f>IF(C42=0,0,C43/C42)</f>
        <v>0.59780182018305861</v>
      </c>
      <c r="D44" s="453">
        <f>IF(LN_IB1=0,0,LN_IB2/LN_IB1)</f>
        <v>0.61817798856146799</v>
      </c>
      <c r="E44" s="454">
        <f t="shared" si="4"/>
        <v>2.0376168378409387E-2</v>
      </c>
      <c r="F44" s="449">
        <f t="shared" si="5"/>
        <v>3.4085156134469122E-2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2975</v>
      </c>
      <c r="D45" s="456">
        <v>2598</v>
      </c>
      <c r="E45" s="456">
        <f t="shared" si="4"/>
        <v>-377</v>
      </c>
      <c r="F45" s="449">
        <f t="shared" si="5"/>
        <v>-0.12672268907563025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643</v>
      </c>
      <c r="C46" s="459">
        <v>1.6778</v>
      </c>
      <c r="D46" s="459">
        <v>1.8827</v>
      </c>
      <c r="E46" s="460">
        <f t="shared" si="4"/>
        <v>0.20490000000000008</v>
      </c>
      <c r="F46" s="449">
        <f t="shared" si="5"/>
        <v>0.12212421027536065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644</v>
      </c>
      <c r="C47" s="463">
        <f>C45*C46</f>
        <v>4991.4549999999999</v>
      </c>
      <c r="D47" s="463">
        <f>LN_IB4*LN_IB5</f>
        <v>4891.2546000000002</v>
      </c>
      <c r="E47" s="463">
        <f t="shared" si="4"/>
        <v>-100.20039999999972</v>
      </c>
      <c r="F47" s="449">
        <f t="shared" si="5"/>
        <v>-2.0074387127601016E-2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645</v>
      </c>
      <c r="C48" s="465">
        <f>IF(C47=0,0,C43/C47)</f>
        <v>19179.363732619047</v>
      </c>
      <c r="D48" s="465">
        <f>IF(LN_IB6=0,0,LN_IB2/LN_IB6)</f>
        <v>18715.01720642389</v>
      </c>
      <c r="E48" s="465">
        <f t="shared" si="4"/>
        <v>-464.34652619515691</v>
      </c>
      <c r="F48" s="449">
        <f t="shared" si="5"/>
        <v>-2.4210736741252042E-2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661</v>
      </c>
      <c r="C49" s="465">
        <f>C21-C48</f>
        <v>38331.836039395785</v>
      </c>
      <c r="D49" s="465">
        <f>LN_IA7-LN_IB7</f>
        <v>131429.81259447528</v>
      </c>
      <c r="E49" s="465">
        <f t="shared" si="4"/>
        <v>93097.976555079498</v>
      </c>
      <c r="F49" s="449">
        <f t="shared" si="5"/>
        <v>2.4287377327659825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662</v>
      </c>
      <c r="C50" s="479">
        <f>C49*C47</f>
        <v>191331634.65802228</v>
      </c>
      <c r="D50" s="479">
        <f>LN_IB8*LN_IB6</f>
        <v>642856675.42986524</v>
      </c>
      <c r="E50" s="479">
        <f t="shared" si="4"/>
        <v>451525040.77184296</v>
      </c>
      <c r="F50" s="449">
        <f t="shared" si="5"/>
        <v>2.3599079241594256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21223</v>
      </c>
      <c r="D51" s="456">
        <v>18528</v>
      </c>
      <c r="E51" s="456">
        <f t="shared" si="4"/>
        <v>-2695</v>
      </c>
      <c r="F51" s="449">
        <f t="shared" si="5"/>
        <v>-0.12698487489987278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646</v>
      </c>
      <c r="C52" s="465">
        <f>IF(C51=0,0,C43/C51)</f>
        <v>4510.8104886208357</v>
      </c>
      <c r="D52" s="465">
        <f>IF(LN_IB10=0,0,LN_IB2/LN_IB10)</f>
        <v>4940.6257556131259</v>
      </c>
      <c r="E52" s="465">
        <f t="shared" si="4"/>
        <v>429.81526699229016</v>
      </c>
      <c r="F52" s="449">
        <f t="shared" si="5"/>
        <v>9.5285596252948468E-2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647</v>
      </c>
      <c r="C53" s="466">
        <f>IF(C45=0,0,C51/C45)</f>
        <v>7.1337815126050419</v>
      </c>
      <c r="D53" s="466">
        <f>IF(LN_IB4=0,0,LN_IB10/LN_IB4)</f>
        <v>7.1316397228637411</v>
      </c>
      <c r="E53" s="466">
        <f t="shared" si="4"/>
        <v>-2.1417897413007481E-3</v>
      </c>
      <c r="F53" s="449">
        <f t="shared" si="5"/>
        <v>-3.0023203507372783E-4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663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649</v>
      </c>
      <c r="C56" s="448">
        <v>111457704</v>
      </c>
      <c r="D56" s="448">
        <v>124271515</v>
      </c>
      <c r="E56" s="448">
        <f t="shared" ref="E56:E63" si="6">D56-C56</f>
        <v>12813811</v>
      </c>
      <c r="F56" s="449">
        <f t="shared" ref="F56:F63" si="7">IF(C56=0,0,E56/C56)</f>
        <v>0.11496568240809985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650</v>
      </c>
      <c r="C57" s="448">
        <v>54490096</v>
      </c>
      <c r="D57" s="448">
        <v>64102390</v>
      </c>
      <c r="E57" s="448">
        <f t="shared" si="6"/>
        <v>9612294</v>
      </c>
      <c r="F57" s="449">
        <f t="shared" si="7"/>
        <v>0.17640442402597345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651</v>
      </c>
      <c r="C58" s="453">
        <f>IF(C56=0,0,C57/C56)</f>
        <v>0.48888586472228068</v>
      </c>
      <c r="D58" s="453">
        <f>IF(LN_IB13=0,0,LN_IB14/LN_IB13)</f>
        <v>0.51582528787872262</v>
      </c>
      <c r="E58" s="454">
        <f t="shared" si="6"/>
        <v>2.6939423156441933E-2</v>
      </c>
      <c r="F58" s="449">
        <f t="shared" si="7"/>
        <v>5.5103706407517626E-2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652</v>
      </c>
      <c r="C59" s="453">
        <f>IF(C42=0,0,C56/C42)</f>
        <v>0.69599475988700876</v>
      </c>
      <c r="D59" s="453">
        <f>IF(LN_IB1=0,0,LN_IB13/LN_IB1)</f>
        <v>0.8392176900907542</v>
      </c>
      <c r="E59" s="454">
        <f t="shared" si="6"/>
        <v>0.14322293020374544</v>
      </c>
      <c r="F59" s="449">
        <f t="shared" si="7"/>
        <v>0.20578162144065129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653</v>
      </c>
      <c r="C60" s="463">
        <f>C59*C45</f>
        <v>2070.584410663851</v>
      </c>
      <c r="D60" s="463">
        <f>LN_IB16*LN_IB4</f>
        <v>2180.2875588557795</v>
      </c>
      <c r="E60" s="463">
        <f t="shared" si="6"/>
        <v>109.70314819192845</v>
      </c>
      <c r="F60" s="449">
        <f t="shared" si="7"/>
        <v>5.2981731933718398E-2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654</v>
      </c>
      <c r="C61" s="465">
        <f>IF(C60=0,0,C57/C60)</f>
        <v>26316.288154864407</v>
      </c>
      <c r="D61" s="465">
        <f>IF(LN_IB17=0,0,LN_IB14/LN_IB17)</f>
        <v>29400.887850610448</v>
      </c>
      <c r="E61" s="465">
        <f t="shared" si="6"/>
        <v>3084.5996957460411</v>
      </c>
      <c r="F61" s="449">
        <f t="shared" si="7"/>
        <v>0.11721256727369705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664</v>
      </c>
      <c r="C62" s="465">
        <f>C32-C61</f>
        <v>85937.531159544364</v>
      </c>
      <c r="D62" s="465">
        <f>LN_IA16-LN_IB18</f>
        <v>115011.01789493396</v>
      </c>
      <c r="E62" s="465">
        <f t="shared" si="6"/>
        <v>29073.486735389597</v>
      </c>
      <c r="F62" s="449">
        <f t="shared" si="7"/>
        <v>0.33830954116443274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665</v>
      </c>
      <c r="C63" s="448">
        <f>C62*C60</f>
        <v>177940912.30989149</v>
      </c>
      <c r="D63" s="448">
        <f>LN_IB19*LN_IB17</f>
        <v>250757091.44766393</v>
      </c>
      <c r="E63" s="448">
        <f t="shared" si="6"/>
        <v>72816179.137772441</v>
      </c>
      <c r="F63" s="449">
        <f t="shared" si="7"/>
        <v>0.40921549851874445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666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656</v>
      </c>
      <c r="C66" s="448">
        <f>C42+C56</f>
        <v>271599289</v>
      </c>
      <c r="D66" s="448">
        <f>LN_IB1+LN_IB13</f>
        <v>272351705</v>
      </c>
      <c r="E66" s="448">
        <f>D66-C66</f>
        <v>752416</v>
      </c>
      <c r="F66" s="449">
        <f>IF(C66=0,0,E66/C66)</f>
        <v>2.7703165305414329E-3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657</v>
      </c>
      <c r="C67" s="448">
        <f>C43+C57</f>
        <v>150223027</v>
      </c>
      <c r="D67" s="448">
        <f>LN_IB2+LN_IB14</f>
        <v>155642304</v>
      </c>
      <c r="E67" s="448">
        <f>D67-C67</f>
        <v>5419277</v>
      </c>
      <c r="F67" s="449">
        <f>IF(C67=0,0,E67/C67)</f>
        <v>3.6074875524908706E-2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658</v>
      </c>
      <c r="C68" s="448">
        <f>C66-C67</f>
        <v>121376262</v>
      </c>
      <c r="D68" s="448">
        <f>LN_IB21-LN_IB22</f>
        <v>116709401</v>
      </c>
      <c r="E68" s="448">
        <f>D68-C68</f>
        <v>-4666861</v>
      </c>
      <c r="F68" s="449">
        <f>IF(C68=0,0,E68/C68)</f>
        <v>-3.8449536368157393E-2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667</v>
      </c>
      <c r="C70" s="441">
        <f>C50+C63</f>
        <v>369272546.96791375</v>
      </c>
      <c r="D70" s="441">
        <f>LN_IB9+LN_IB20</f>
        <v>893613766.87752914</v>
      </c>
      <c r="E70" s="448">
        <f>D70-C70</f>
        <v>524341219.9096154</v>
      </c>
      <c r="F70" s="449">
        <f>IF(C70=0,0,E70/C70)</f>
        <v>1.4199301416121131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668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669</v>
      </c>
      <c r="C73" s="488">
        <v>267224459</v>
      </c>
      <c r="D73" s="488">
        <v>272351705</v>
      </c>
      <c r="E73" s="488">
        <f>D73-C73</f>
        <v>5127246</v>
      </c>
      <c r="F73" s="489">
        <f>IF(C73=0,0,E73/C73)</f>
        <v>1.9187038563711716E-2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670</v>
      </c>
      <c r="C74" s="488">
        <v>150463835</v>
      </c>
      <c r="D74" s="488">
        <v>155642304</v>
      </c>
      <c r="E74" s="488">
        <f>D74-C74</f>
        <v>5178469</v>
      </c>
      <c r="F74" s="489">
        <f>IF(C74=0,0,E74/C74)</f>
        <v>3.4416702192922304E-2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671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672</v>
      </c>
      <c r="C76" s="441">
        <f>C73-C74</f>
        <v>116760624</v>
      </c>
      <c r="D76" s="441">
        <f>LN_IB32-LN_IB33</f>
        <v>116709401</v>
      </c>
      <c r="E76" s="488">
        <f>D76-C76</f>
        <v>-51223</v>
      </c>
      <c r="F76" s="489">
        <f>IF(E76=0,0,E76/C76)</f>
        <v>-4.3870097850796003E-4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673</v>
      </c>
      <c r="C77" s="453">
        <f>IF(C73=0,0,C76/C73)</f>
        <v>0.43693838669161644</v>
      </c>
      <c r="D77" s="453">
        <f>IF(LN_IB32=0,0,LN_IB34/LN_IB32)</f>
        <v>0.42852458368123675</v>
      </c>
      <c r="E77" s="493">
        <f>D77-C77</f>
        <v>-8.4138030103796946E-3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674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675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640</v>
      </c>
      <c r="C83" s="448">
        <v>1678321</v>
      </c>
      <c r="D83" s="448">
        <v>1436919</v>
      </c>
      <c r="E83" s="448">
        <f t="shared" ref="E83:E95" si="8">D83-C83</f>
        <v>-241402</v>
      </c>
      <c r="F83" s="449">
        <f t="shared" ref="F83:F95" si="9">IF(C83=0,0,E83/C83)</f>
        <v>-0.14383541646681416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641</v>
      </c>
      <c r="C84" s="448">
        <v>373932</v>
      </c>
      <c r="D84" s="448">
        <v>362139</v>
      </c>
      <c r="E84" s="448">
        <f t="shared" si="8"/>
        <v>-11793</v>
      </c>
      <c r="F84" s="449">
        <f t="shared" si="9"/>
        <v>-3.1537819710535604E-2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642</v>
      </c>
      <c r="C85" s="453">
        <f>IF(C83=0,0,C84/C83)</f>
        <v>0.22280124004883453</v>
      </c>
      <c r="D85" s="453">
        <f>IF(LN_IC1=0,0,LN_IC2/LN_IC1)</f>
        <v>0.25202464439540434</v>
      </c>
      <c r="E85" s="454">
        <f t="shared" si="8"/>
        <v>2.9223404346569809E-2</v>
      </c>
      <c r="F85" s="449">
        <f t="shared" si="9"/>
        <v>0.13116356237588489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47</v>
      </c>
      <c r="D86" s="456">
        <v>34</v>
      </c>
      <c r="E86" s="456">
        <f t="shared" si="8"/>
        <v>-13</v>
      </c>
      <c r="F86" s="449">
        <f t="shared" si="9"/>
        <v>-0.27659574468085107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643</v>
      </c>
      <c r="C87" s="459">
        <v>1.2221</v>
      </c>
      <c r="D87" s="459">
        <v>1.0401</v>
      </c>
      <c r="E87" s="460">
        <f t="shared" si="8"/>
        <v>-0.18199999999999994</v>
      </c>
      <c r="F87" s="449">
        <f t="shared" si="9"/>
        <v>-0.1489239833074216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644</v>
      </c>
      <c r="C88" s="463">
        <f>C86*C87</f>
        <v>57.438699999999997</v>
      </c>
      <c r="D88" s="463">
        <f>LN_IC4*LN_IC5</f>
        <v>35.363399999999999</v>
      </c>
      <c r="E88" s="463">
        <f t="shared" si="8"/>
        <v>-22.075299999999999</v>
      </c>
      <c r="F88" s="449">
        <f t="shared" si="9"/>
        <v>-0.38432798792451778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645</v>
      </c>
      <c r="C89" s="465">
        <f>IF(C88=0,0,C84/C88)</f>
        <v>6510.1055560101468</v>
      </c>
      <c r="D89" s="465">
        <f>IF(LN_IC6=0,0,LN_IC2/LN_IC6)</f>
        <v>10240.502892821392</v>
      </c>
      <c r="E89" s="465">
        <f t="shared" si="8"/>
        <v>3730.3973368112456</v>
      </c>
      <c r="F89" s="449">
        <f t="shared" si="9"/>
        <v>0.57301641343853982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676</v>
      </c>
      <c r="C90" s="465">
        <f>C48-C89</f>
        <v>12669.258176608901</v>
      </c>
      <c r="D90" s="465">
        <f>LN_IB7-LN_IC7</f>
        <v>8474.5143136024981</v>
      </c>
      <c r="E90" s="465">
        <f t="shared" si="8"/>
        <v>-4194.7438630064025</v>
      </c>
      <c r="F90" s="449">
        <f t="shared" si="9"/>
        <v>-0.33109624924615616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677</v>
      </c>
      <c r="C91" s="465">
        <f>C21-C89</f>
        <v>51001.094216004683</v>
      </c>
      <c r="D91" s="465">
        <f>LN_IA7-LN_IC7</f>
        <v>139904.32690807778</v>
      </c>
      <c r="E91" s="465">
        <f t="shared" si="8"/>
        <v>88903.232692073099</v>
      </c>
      <c r="F91" s="449">
        <f t="shared" si="9"/>
        <v>1.7431632410775675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662</v>
      </c>
      <c r="C92" s="441">
        <f>C91*C88</f>
        <v>2929436.5503448281</v>
      </c>
      <c r="D92" s="441">
        <f>LN_IC9*LN_IC6</f>
        <v>4947492.6741811177</v>
      </c>
      <c r="E92" s="441">
        <f t="shared" si="8"/>
        <v>2018056.1238362896</v>
      </c>
      <c r="F92" s="449">
        <f t="shared" si="9"/>
        <v>0.68888883208572704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189</v>
      </c>
      <c r="D93" s="456">
        <v>177</v>
      </c>
      <c r="E93" s="456">
        <f t="shared" si="8"/>
        <v>-12</v>
      </c>
      <c r="F93" s="449">
        <f t="shared" si="9"/>
        <v>-6.3492063492063489E-2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646</v>
      </c>
      <c r="C94" s="499">
        <f>IF(C93=0,0,C84/C93)</f>
        <v>1978.4761904761904</v>
      </c>
      <c r="D94" s="499">
        <f>IF(LN_IC11=0,0,LN_IC2/LN_IC11)</f>
        <v>2045.9830508474577</v>
      </c>
      <c r="E94" s="499">
        <f t="shared" si="8"/>
        <v>67.506860371267294</v>
      </c>
      <c r="F94" s="449">
        <f t="shared" si="9"/>
        <v>3.4120633190445109E-2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647</v>
      </c>
      <c r="C95" s="466">
        <f>IF(C86=0,0,C93/C86)</f>
        <v>4.0212765957446805</v>
      </c>
      <c r="D95" s="466">
        <f>IF(LN_IC4=0,0,LN_IC11/LN_IC4)</f>
        <v>5.2058823529411766</v>
      </c>
      <c r="E95" s="466">
        <f t="shared" si="8"/>
        <v>1.1846057571964961</v>
      </c>
      <c r="F95" s="449">
        <f t="shared" si="9"/>
        <v>0.29458450046685353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678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649</v>
      </c>
      <c r="C98" s="448">
        <v>2696509</v>
      </c>
      <c r="D98" s="448">
        <v>2050876</v>
      </c>
      <c r="E98" s="448">
        <f t="shared" ref="E98:E106" si="10">D98-C98</f>
        <v>-645633</v>
      </c>
      <c r="F98" s="449">
        <f t="shared" ref="F98:F106" si="11">IF(C98=0,0,E98/C98)</f>
        <v>-0.23943291121965474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650</v>
      </c>
      <c r="C99" s="448">
        <v>452476</v>
      </c>
      <c r="D99" s="448">
        <v>1095326</v>
      </c>
      <c r="E99" s="448">
        <f t="shared" si="10"/>
        <v>642850</v>
      </c>
      <c r="F99" s="449">
        <f t="shared" si="11"/>
        <v>1.4207383375029836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651</v>
      </c>
      <c r="C100" s="453">
        <f>IF(C98=0,0,C99/C98)</f>
        <v>0.1678006637470893</v>
      </c>
      <c r="D100" s="453">
        <f>IF(LN_IC14=0,0,LN_IC15/LN_IC14)</f>
        <v>0.53407714557096575</v>
      </c>
      <c r="E100" s="454">
        <f t="shared" si="10"/>
        <v>0.36627648182387645</v>
      </c>
      <c r="F100" s="449">
        <f t="shared" si="11"/>
        <v>2.1828071096067401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652</v>
      </c>
      <c r="C101" s="453">
        <f>IF(C83=0,0,C98/C83)</f>
        <v>1.6066705951960323</v>
      </c>
      <c r="D101" s="453">
        <f>IF(LN_IC1=0,0,LN_IC14/LN_IC1)</f>
        <v>1.4272732144261437</v>
      </c>
      <c r="E101" s="454">
        <f t="shared" si="10"/>
        <v>-0.17939738076988854</v>
      </c>
      <c r="F101" s="449">
        <f t="shared" si="11"/>
        <v>-0.11165784779175597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653</v>
      </c>
      <c r="C102" s="463">
        <f>C101*C86</f>
        <v>75.513517974213514</v>
      </c>
      <c r="D102" s="463">
        <f>LN_IC17*LN_IC4</f>
        <v>48.527289290488888</v>
      </c>
      <c r="E102" s="463">
        <f t="shared" si="10"/>
        <v>-26.986228683724626</v>
      </c>
      <c r="F102" s="449">
        <f t="shared" si="11"/>
        <v>-0.35736950691318514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654</v>
      </c>
      <c r="C103" s="465">
        <f>IF(C102=0,0,C99/C102)</f>
        <v>5991.9867612910348</v>
      </c>
      <c r="D103" s="465">
        <f>IF(LN_IC18=0,0,LN_IC15/LN_IC18)</f>
        <v>22571.341115784897</v>
      </c>
      <c r="E103" s="465">
        <f t="shared" si="10"/>
        <v>16579.354354493862</v>
      </c>
      <c r="F103" s="449">
        <f t="shared" si="11"/>
        <v>2.7669210589046211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679</v>
      </c>
      <c r="C104" s="465">
        <f>C61-C103</f>
        <v>20324.301393573372</v>
      </c>
      <c r="D104" s="465">
        <f>LN_IB18-LN_IC19</f>
        <v>6829.5467348255515</v>
      </c>
      <c r="E104" s="465">
        <f t="shared" si="10"/>
        <v>-13494.754658747821</v>
      </c>
      <c r="F104" s="449">
        <f t="shared" si="11"/>
        <v>-0.66397139057458165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680</v>
      </c>
      <c r="C105" s="465">
        <f>C32-C103</f>
        <v>106261.83255311774</v>
      </c>
      <c r="D105" s="465">
        <f>LN_IA16-LN_IC19</f>
        <v>121840.56462975952</v>
      </c>
      <c r="E105" s="465">
        <f t="shared" si="10"/>
        <v>15578.732076641783</v>
      </c>
      <c r="F105" s="449">
        <f t="shared" si="11"/>
        <v>0.14660703379884163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665</v>
      </c>
      <c r="C106" s="448">
        <f>C105*C102</f>
        <v>8024204.8024727227</v>
      </c>
      <c r="D106" s="448">
        <f>LN_IC21*LN_IC18</f>
        <v>5912592.3271048488</v>
      </c>
      <c r="E106" s="448">
        <f t="shared" si="10"/>
        <v>-2111612.4753678739</v>
      </c>
      <c r="F106" s="449">
        <f t="shared" si="11"/>
        <v>-0.26315535649304012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681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656</v>
      </c>
      <c r="C109" s="448">
        <f>C83+C98</f>
        <v>4374830</v>
      </c>
      <c r="D109" s="448">
        <f>LN_IC1+LN_IC14</f>
        <v>3487795</v>
      </c>
      <c r="E109" s="448">
        <f>D109-C109</f>
        <v>-887035</v>
      </c>
      <c r="F109" s="449">
        <f>IF(C109=0,0,E109/C109)</f>
        <v>-0.20275873576801842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657</v>
      </c>
      <c r="C110" s="448">
        <f>C84+C99</f>
        <v>826408</v>
      </c>
      <c r="D110" s="448">
        <f>LN_IC2+LN_IC15</f>
        <v>1457465</v>
      </c>
      <c r="E110" s="448">
        <f>D110-C110</f>
        <v>631057</v>
      </c>
      <c r="F110" s="449">
        <f>IF(C110=0,0,E110/C110)</f>
        <v>0.76361434061625733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658</v>
      </c>
      <c r="C111" s="448">
        <f>C109-C110</f>
        <v>3548422</v>
      </c>
      <c r="D111" s="448">
        <f>LN_IC23-LN_IC24</f>
        <v>2030330</v>
      </c>
      <c r="E111" s="448">
        <f>D111-C111</f>
        <v>-1518092</v>
      </c>
      <c r="F111" s="449">
        <f>IF(C111=0,0,E111/C111)</f>
        <v>-0.42782171906272703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667</v>
      </c>
      <c r="C113" s="448">
        <f>C92+C106</f>
        <v>10953641.35281755</v>
      </c>
      <c r="D113" s="448">
        <f>LN_IC10+LN_IC22</f>
        <v>10860085.001285966</v>
      </c>
      <c r="E113" s="448">
        <f>D113-C113</f>
        <v>-93556.351531583816</v>
      </c>
      <c r="F113" s="449">
        <f>IF(C113=0,0,E113/C113)</f>
        <v>-8.5411187492932458E-3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682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683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640</v>
      </c>
      <c r="C118" s="448">
        <v>181180463</v>
      </c>
      <c r="D118" s="448">
        <v>185270770</v>
      </c>
      <c r="E118" s="448">
        <f t="shared" ref="E118:E130" si="12">D118-C118</f>
        <v>4090307</v>
      </c>
      <c r="F118" s="449">
        <f t="shared" ref="F118:F130" si="13">IF(C118=0,0,E118/C118)</f>
        <v>2.2575872322392731E-2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641</v>
      </c>
      <c r="C119" s="448">
        <v>52573260</v>
      </c>
      <c r="D119" s="448">
        <v>51354904</v>
      </c>
      <c r="E119" s="448">
        <f t="shared" si="12"/>
        <v>-1218356</v>
      </c>
      <c r="F119" s="449">
        <f t="shared" si="13"/>
        <v>-2.3174442672948187E-2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642</v>
      </c>
      <c r="C120" s="453">
        <f>IF(C118=0,0,C119/C118)</f>
        <v>0.29017069020294978</v>
      </c>
      <c r="D120" s="453">
        <f>IF(LN_ID1=0,0,LN_1D2/LN_ID1)</f>
        <v>0.2771883767741668</v>
      </c>
      <c r="E120" s="454">
        <f t="shared" si="12"/>
        <v>-1.2982313428782977E-2</v>
      </c>
      <c r="F120" s="449">
        <f t="shared" si="13"/>
        <v>-4.4740264496400207E-2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3357</v>
      </c>
      <c r="D121" s="456">
        <v>3153</v>
      </c>
      <c r="E121" s="456">
        <f t="shared" si="12"/>
        <v>-204</v>
      </c>
      <c r="F121" s="449">
        <f t="shared" si="13"/>
        <v>-6.076854334226988E-2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643</v>
      </c>
      <c r="C122" s="459">
        <v>1.5775999999999999</v>
      </c>
      <c r="D122" s="459">
        <v>1.7053</v>
      </c>
      <c r="E122" s="460">
        <f t="shared" si="12"/>
        <v>0.12770000000000015</v>
      </c>
      <c r="F122" s="449">
        <f t="shared" si="13"/>
        <v>8.0945740365111665E-2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644</v>
      </c>
      <c r="C123" s="463">
        <f>C121*C122</f>
        <v>5296.0031999999992</v>
      </c>
      <c r="D123" s="463">
        <f>LN_ID4*LN_ID5</f>
        <v>5376.8109000000004</v>
      </c>
      <c r="E123" s="463">
        <f t="shared" si="12"/>
        <v>80.807700000001205</v>
      </c>
      <c r="F123" s="449">
        <f t="shared" si="13"/>
        <v>1.5258242291092501E-2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645</v>
      </c>
      <c r="C124" s="465">
        <f>IF(C123=0,0,C119/C123)</f>
        <v>9926.969077360076</v>
      </c>
      <c r="D124" s="465">
        <f>IF(LN_ID6=0,0,LN_1D2/LN_ID6)</f>
        <v>9551.1828396271103</v>
      </c>
      <c r="E124" s="465">
        <f t="shared" si="12"/>
        <v>-375.78623773296567</v>
      </c>
      <c r="F124" s="449">
        <f t="shared" si="13"/>
        <v>-3.7855082936643962E-2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684</v>
      </c>
      <c r="C125" s="465">
        <f>C48-C124</f>
        <v>9252.3946552589714</v>
      </c>
      <c r="D125" s="465">
        <f>LN_IB7-LN_ID7</f>
        <v>9163.8343667967802</v>
      </c>
      <c r="E125" s="465">
        <f t="shared" si="12"/>
        <v>-88.560288462191238</v>
      </c>
      <c r="F125" s="449">
        <f t="shared" si="13"/>
        <v>-9.5716073256618406E-3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685</v>
      </c>
      <c r="C126" s="465">
        <f>C21-C124</f>
        <v>47584.230694654754</v>
      </c>
      <c r="D126" s="465">
        <f>LN_IA7-LN_ID7</f>
        <v>140593.64696127205</v>
      </c>
      <c r="E126" s="465">
        <f t="shared" si="12"/>
        <v>93009.416266617307</v>
      </c>
      <c r="F126" s="449">
        <f t="shared" si="13"/>
        <v>1.9546268776194646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662</v>
      </c>
      <c r="C127" s="479">
        <f>C126*C123</f>
        <v>252006238.02842978</v>
      </c>
      <c r="D127" s="479">
        <f>LN_ID9*LN_ID6</f>
        <v>755945453.45211947</v>
      </c>
      <c r="E127" s="479">
        <f t="shared" si="12"/>
        <v>503939215.42368972</v>
      </c>
      <c r="F127" s="449">
        <f t="shared" si="13"/>
        <v>1.9997092903979561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24204</v>
      </c>
      <c r="D128" s="456">
        <v>23813</v>
      </c>
      <c r="E128" s="456">
        <f t="shared" si="12"/>
        <v>-391</v>
      </c>
      <c r="F128" s="449">
        <f t="shared" si="13"/>
        <v>-1.6154354652123615E-2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646</v>
      </c>
      <c r="C129" s="465">
        <f>IF(C128=0,0,C119/C128)</f>
        <v>2172.0897372335153</v>
      </c>
      <c r="D129" s="465">
        <f>IF(LN_ID11=0,0,LN_1D2/LN_ID11)</f>
        <v>2156.5911056985678</v>
      </c>
      <c r="E129" s="465">
        <f t="shared" si="12"/>
        <v>-15.498631534947435</v>
      </c>
      <c r="F129" s="449">
        <f t="shared" si="13"/>
        <v>-7.1353550773124528E-3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647</v>
      </c>
      <c r="C130" s="466">
        <f>IF(C121=0,0,C128/C121)</f>
        <v>7.2100089365504916</v>
      </c>
      <c r="D130" s="466">
        <f>IF(LN_ID4=0,0,LN_ID11/LN_ID4)</f>
        <v>7.5524896923564855</v>
      </c>
      <c r="E130" s="466">
        <f t="shared" si="12"/>
        <v>0.34248075580599391</v>
      </c>
      <c r="F130" s="449">
        <f t="shared" si="13"/>
        <v>4.7500739433181359E-2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686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649</v>
      </c>
      <c r="C133" s="448">
        <v>115542605</v>
      </c>
      <c r="D133" s="448">
        <v>135423585</v>
      </c>
      <c r="E133" s="448">
        <f t="shared" ref="E133:E141" si="14">D133-C133</f>
        <v>19880980</v>
      </c>
      <c r="F133" s="449">
        <f t="shared" ref="F133:F141" si="15">IF(C133=0,0,E133/C133)</f>
        <v>0.17206622613364136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650</v>
      </c>
      <c r="C134" s="448">
        <v>24040484</v>
      </c>
      <c r="D134" s="448">
        <v>29766970</v>
      </c>
      <c r="E134" s="448">
        <f t="shared" si="14"/>
        <v>5726486</v>
      </c>
      <c r="F134" s="449">
        <f t="shared" si="15"/>
        <v>0.23820177663644376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651</v>
      </c>
      <c r="C135" s="453">
        <f>IF(C133=0,0,C134/C133)</f>
        <v>0.20806596839321737</v>
      </c>
      <c r="D135" s="453">
        <f>IF(LN_ID14=0,0,LN_ID15/LN_ID14)</f>
        <v>0.21980639487575226</v>
      </c>
      <c r="E135" s="454">
        <f t="shared" si="14"/>
        <v>1.1740426482534899E-2</v>
      </c>
      <c r="F135" s="449">
        <f t="shared" si="15"/>
        <v>5.6426462112953685E-2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652</v>
      </c>
      <c r="C136" s="453">
        <f>IF(C118=0,0,C133/C118)</f>
        <v>0.63772110462042475</v>
      </c>
      <c r="D136" s="453">
        <f>IF(LN_ID1=0,0,LN_ID14/LN_ID1)</f>
        <v>0.73094954482026497</v>
      </c>
      <c r="E136" s="454">
        <f t="shared" si="14"/>
        <v>9.3228440199840223E-2</v>
      </c>
      <c r="F136" s="449">
        <f t="shared" si="15"/>
        <v>0.14618998732264055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653</v>
      </c>
      <c r="C137" s="463">
        <f>C136*C121</f>
        <v>2140.829748210766</v>
      </c>
      <c r="D137" s="463">
        <f>LN_ID17*LN_ID4</f>
        <v>2304.6839148182953</v>
      </c>
      <c r="E137" s="463">
        <f t="shared" si="14"/>
        <v>163.85416660752935</v>
      </c>
      <c r="F137" s="449">
        <f t="shared" si="15"/>
        <v>7.6537691399548788E-2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654</v>
      </c>
      <c r="C138" s="465">
        <f>IF(C137=0,0,C134/C137)</f>
        <v>11229.516975879205</v>
      </c>
      <c r="D138" s="465">
        <f>IF(LN_ID18=0,0,LN_ID15/LN_ID18)</f>
        <v>12915.857922472145</v>
      </c>
      <c r="E138" s="465">
        <f t="shared" si="14"/>
        <v>1686.3409465929399</v>
      </c>
      <c r="F138" s="449">
        <f t="shared" si="15"/>
        <v>0.15017039025054854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687</v>
      </c>
      <c r="C139" s="465">
        <f>C61-C138</f>
        <v>15086.771178985202</v>
      </c>
      <c r="D139" s="465">
        <f>LN_IB18-LN_ID19</f>
        <v>16485.029928138305</v>
      </c>
      <c r="E139" s="465">
        <f t="shared" si="14"/>
        <v>1398.2587491531031</v>
      </c>
      <c r="F139" s="449">
        <f t="shared" si="15"/>
        <v>9.2681113312090127E-2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688</v>
      </c>
      <c r="C140" s="465">
        <f>C32-C138</f>
        <v>101024.30233852957</v>
      </c>
      <c r="D140" s="465">
        <f>LN_IA16-LN_ID19</f>
        <v>131496.04782307227</v>
      </c>
      <c r="E140" s="465">
        <f t="shared" si="14"/>
        <v>30471.745484542698</v>
      </c>
      <c r="F140" s="449">
        <f t="shared" si="15"/>
        <v>0.3016278734836767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665</v>
      </c>
      <c r="C141" s="441">
        <f>C140*C137</f>
        <v>216275831.73856255</v>
      </c>
      <c r="D141" s="441">
        <f>LN_ID21*LN_ID18</f>
        <v>303056826.28001195</v>
      </c>
      <c r="E141" s="441">
        <f t="shared" si="14"/>
        <v>86780994.541449398</v>
      </c>
      <c r="F141" s="449">
        <f t="shared" si="15"/>
        <v>0.40125146598142114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689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656</v>
      </c>
      <c r="C144" s="448">
        <f>C118+C133</f>
        <v>296723068</v>
      </c>
      <c r="D144" s="448">
        <f>LN_ID1+LN_ID14</f>
        <v>320694355</v>
      </c>
      <c r="E144" s="448">
        <f>D144-C144</f>
        <v>23971287</v>
      </c>
      <c r="F144" s="449">
        <f>IF(C144=0,0,E144/C144)</f>
        <v>8.0786732091891147E-2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657</v>
      </c>
      <c r="C145" s="448">
        <f>C119+C134</f>
        <v>76613744</v>
      </c>
      <c r="D145" s="448">
        <f>LN_1D2+LN_ID15</f>
        <v>81121874</v>
      </c>
      <c r="E145" s="448">
        <f>D145-C145</f>
        <v>4508130</v>
      </c>
      <c r="F145" s="449">
        <f>IF(C145=0,0,E145/C145)</f>
        <v>5.8842314245861685E-2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658</v>
      </c>
      <c r="C146" s="448">
        <f>C144-C145</f>
        <v>220109324</v>
      </c>
      <c r="D146" s="448">
        <f>LN_ID23-LN_ID24</f>
        <v>239572481</v>
      </c>
      <c r="E146" s="448">
        <f>D146-C146</f>
        <v>19463157</v>
      </c>
      <c r="F146" s="449">
        <f>IF(C146=0,0,E146/C146)</f>
        <v>8.8424954682973816E-2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667</v>
      </c>
      <c r="C148" s="448">
        <f>C127+C141</f>
        <v>468282069.76699233</v>
      </c>
      <c r="D148" s="448">
        <f>LN_ID10+LN_ID22</f>
        <v>1059002279.7321315</v>
      </c>
      <c r="E148" s="448">
        <f>D148-C148</f>
        <v>590720209.96513915</v>
      </c>
      <c r="F148" s="503">
        <f>IF(C148=0,0,E148/C148)</f>
        <v>1.2614623708720463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690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691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640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641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642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643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644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645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692</v>
      </c>
      <c r="C160" s="465">
        <f>C48-C159</f>
        <v>19179.363732619047</v>
      </c>
      <c r="D160" s="465">
        <f>LN_IB7-LN_IE7</f>
        <v>18715.01720642389</v>
      </c>
      <c r="E160" s="465">
        <f t="shared" si="16"/>
        <v>-464.34652619515691</v>
      </c>
      <c r="F160" s="449">
        <f t="shared" si="17"/>
        <v>-2.4210736741252042E-2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693</v>
      </c>
      <c r="C161" s="465">
        <f>C21-C159</f>
        <v>57511.199772014828</v>
      </c>
      <c r="D161" s="465">
        <f>LN_IA7-LN_IE7</f>
        <v>150144.82980089917</v>
      </c>
      <c r="E161" s="465">
        <f t="shared" si="16"/>
        <v>92633.630028884334</v>
      </c>
      <c r="F161" s="449">
        <f t="shared" si="17"/>
        <v>1.6107059215613897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662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646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647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694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649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650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651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652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653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654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695</v>
      </c>
      <c r="C174" s="465">
        <f>C61-C173</f>
        <v>26316.288154864407</v>
      </c>
      <c r="D174" s="465">
        <f>LN_IB18-LN_IE19</f>
        <v>29400.887850610448</v>
      </c>
      <c r="E174" s="465">
        <f t="shared" si="18"/>
        <v>3084.5996957460411</v>
      </c>
      <c r="F174" s="449">
        <f t="shared" si="19"/>
        <v>0.11721256727369705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696</v>
      </c>
      <c r="C175" s="465">
        <f>C32-C173</f>
        <v>112253.81931440877</v>
      </c>
      <c r="D175" s="465">
        <f>LN_IA16-LN_IE19</f>
        <v>144411.90574554441</v>
      </c>
      <c r="E175" s="465">
        <f t="shared" si="18"/>
        <v>32158.086431135642</v>
      </c>
      <c r="F175" s="449">
        <f t="shared" si="19"/>
        <v>0.28647654598784655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665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697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656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657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658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698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699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700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640</v>
      </c>
      <c r="C188" s="448">
        <f>C118+C153</f>
        <v>181180463</v>
      </c>
      <c r="D188" s="448">
        <f>LN_ID1+LN_IE1</f>
        <v>185270770</v>
      </c>
      <c r="E188" s="448">
        <f t="shared" ref="E188:E200" si="20">D188-C188</f>
        <v>4090307</v>
      </c>
      <c r="F188" s="449">
        <f t="shared" ref="F188:F200" si="21">IF(C188=0,0,E188/C188)</f>
        <v>2.2575872322392731E-2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641</v>
      </c>
      <c r="C189" s="448">
        <f>C119+C154</f>
        <v>52573260</v>
      </c>
      <c r="D189" s="448">
        <f>LN_1D2+LN_IE2</f>
        <v>51354904</v>
      </c>
      <c r="E189" s="448">
        <f t="shared" si="20"/>
        <v>-1218356</v>
      </c>
      <c r="F189" s="449">
        <f t="shared" si="21"/>
        <v>-2.3174442672948187E-2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642</v>
      </c>
      <c r="C190" s="453">
        <f>IF(C188=0,0,C189/C188)</f>
        <v>0.29017069020294978</v>
      </c>
      <c r="D190" s="453">
        <f>IF(LN_IF1=0,0,LN_IF2/LN_IF1)</f>
        <v>0.2771883767741668</v>
      </c>
      <c r="E190" s="454">
        <f t="shared" si="20"/>
        <v>-1.2982313428782977E-2</v>
      </c>
      <c r="F190" s="449">
        <f t="shared" si="21"/>
        <v>-4.4740264496400207E-2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3357</v>
      </c>
      <c r="D191" s="456">
        <f>LN_ID4+LN_IE4</f>
        <v>3153</v>
      </c>
      <c r="E191" s="456">
        <f t="shared" si="20"/>
        <v>-204</v>
      </c>
      <c r="F191" s="449">
        <f t="shared" si="21"/>
        <v>-6.076854334226988E-2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643</v>
      </c>
      <c r="C192" s="459">
        <f>IF((C121+C156)=0,0,(C123+C158)/(C121+C156))</f>
        <v>1.5775999999999997</v>
      </c>
      <c r="D192" s="459">
        <f>IF((LN_ID4+LN_IE4)=0,0,(LN_ID6+LN_IE6)/(LN_ID4+LN_IE4))</f>
        <v>1.7053</v>
      </c>
      <c r="E192" s="460">
        <f t="shared" si="20"/>
        <v>0.12770000000000037</v>
      </c>
      <c r="F192" s="449">
        <f t="shared" si="21"/>
        <v>8.0945740365111818E-2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644</v>
      </c>
      <c r="C193" s="463">
        <f>C123+C158</f>
        <v>5296.0031999999992</v>
      </c>
      <c r="D193" s="463">
        <f>LN_IF4*LN_IF5</f>
        <v>5376.8109000000004</v>
      </c>
      <c r="E193" s="463">
        <f t="shared" si="20"/>
        <v>80.807700000001205</v>
      </c>
      <c r="F193" s="449">
        <f t="shared" si="21"/>
        <v>1.5258242291092501E-2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645</v>
      </c>
      <c r="C194" s="465">
        <f>IF(C193=0,0,C189/C193)</f>
        <v>9926.969077360076</v>
      </c>
      <c r="D194" s="465">
        <f>IF(LN_IF6=0,0,LN_IF2/LN_IF6)</f>
        <v>9551.1828396271103</v>
      </c>
      <c r="E194" s="465">
        <f t="shared" si="20"/>
        <v>-375.78623773296567</v>
      </c>
      <c r="F194" s="449">
        <f t="shared" si="21"/>
        <v>-3.7855082936643962E-2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701</v>
      </c>
      <c r="C195" s="465">
        <f>C48-C194</f>
        <v>9252.3946552589714</v>
      </c>
      <c r="D195" s="465">
        <f>LN_IB7-LN_IF7</f>
        <v>9163.8343667967802</v>
      </c>
      <c r="E195" s="465">
        <f t="shared" si="20"/>
        <v>-88.560288462191238</v>
      </c>
      <c r="F195" s="449">
        <f t="shared" si="21"/>
        <v>-9.5716073256618406E-3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702</v>
      </c>
      <c r="C196" s="465">
        <f>C21-C194</f>
        <v>47584.230694654754</v>
      </c>
      <c r="D196" s="465">
        <f>LN_IA7-LN_IF7</f>
        <v>140593.64696127205</v>
      </c>
      <c r="E196" s="465">
        <f t="shared" si="20"/>
        <v>93009.416266617307</v>
      </c>
      <c r="F196" s="449">
        <f t="shared" si="21"/>
        <v>1.9546268776194646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662</v>
      </c>
      <c r="C197" s="479">
        <f>C127+C162</f>
        <v>252006238.02842978</v>
      </c>
      <c r="D197" s="479">
        <f>LN_IF9*LN_IF6</f>
        <v>755945453.45211947</v>
      </c>
      <c r="E197" s="479">
        <f t="shared" si="20"/>
        <v>503939215.42368972</v>
      </c>
      <c r="F197" s="449">
        <f t="shared" si="21"/>
        <v>1.9997092903979561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24204</v>
      </c>
      <c r="D198" s="456">
        <f>LN_ID11+LN_IE11</f>
        <v>23813</v>
      </c>
      <c r="E198" s="456">
        <f t="shared" si="20"/>
        <v>-391</v>
      </c>
      <c r="F198" s="449">
        <f t="shared" si="21"/>
        <v>-1.6154354652123615E-2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646</v>
      </c>
      <c r="C199" s="519">
        <f>IF(C198=0,0,C189/C198)</f>
        <v>2172.0897372335153</v>
      </c>
      <c r="D199" s="519">
        <f>IF(LN_IF11=0,0,LN_IF2/LN_IF11)</f>
        <v>2156.5911056985678</v>
      </c>
      <c r="E199" s="519">
        <f t="shared" si="20"/>
        <v>-15.498631534947435</v>
      </c>
      <c r="F199" s="449">
        <f t="shared" si="21"/>
        <v>-7.1353550773124528E-3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647</v>
      </c>
      <c r="C200" s="466">
        <f>IF(C191=0,0,C198/C191)</f>
        <v>7.2100089365504916</v>
      </c>
      <c r="D200" s="466">
        <f>IF(LN_IF4=0,0,LN_IF11/LN_IF4)</f>
        <v>7.5524896923564855</v>
      </c>
      <c r="E200" s="466">
        <f t="shared" si="20"/>
        <v>0.34248075580599391</v>
      </c>
      <c r="F200" s="449">
        <f t="shared" si="21"/>
        <v>4.7500739433181359E-2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703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649</v>
      </c>
      <c r="C203" s="448">
        <f>C133+C168</f>
        <v>115542605</v>
      </c>
      <c r="D203" s="448">
        <f>LN_ID14+LN_IE14</f>
        <v>135423585</v>
      </c>
      <c r="E203" s="448">
        <f t="shared" ref="E203:E211" si="22">D203-C203</f>
        <v>19880980</v>
      </c>
      <c r="F203" s="449">
        <f t="shared" ref="F203:F211" si="23">IF(C203=0,0,E203/C203)</f>
        <v>0.17206622613364136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650</v>
      </c>
      <c r="C204" s="448">
        <f>C134+C169</f>
        <v>24040484</v>
      </c>
      <c r="D204" s="448">
        <f>LN_ID15+LN_IE15</f>
        <v>29766970</v>
      </c>
      <c r="E204" s="448">
        <f t="shared" si="22"/>
        <v>5726486</v>
      </c>
      <c r="F204" s="449">
        <f t="shared" si="23"/>
        <v>0.23820177663644376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651</v>
      </c>
      <c r="C205" s="453">
        <f>IF(C203=0,0,C204/C203)</f>
        <v>0.20806596839321737</v>
      </c>
      <c r="D205" s="453">
        <f>IF(LN_IF14=0,0,LN_IF15/LN_IF14)</f>
        <v>0.21980639487575226</v>
      </c>
      <c r="E205" s="454">
        <f t="shared" si="22"/>
        <v>1.1740426482534899E-2</v>
      </c>
      <c r="F205" s="449">
        <f t="shared" si="23"/>
        <v>5.6426462112953685E-2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652</v>
      </c>
      <c r="C206" s="453">
        <f>IF(C188=0,0,C203/C188)</f>
        <v>0.63772110462042475</v>
      </c>
      <c r="D206" s="453">
        <f>IF(LN_IF1=0,0,LN_IF14/LN_IF1)</f>
        <v>0.73094954482026497</v>
      </c>
      <c r="E206" s="454">
        <f t="shared" si="22"/>
        <v>9.3228440199840223E-2</v>
      </c>
      <c r="F206" s="449">
        <f t="shared" si="23"/>
        <v>0.14618998732264055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653</v>
      </c>
      <c r="C207" s="463">
        <f>C137+C172</f>
        <v>2140.829748210766</v>
      </c>
      <c r="D207" s="463">
        <f>LN_ID18+LN_IE18</f>
        <v>2304.6839148182953</v>
      </c>
      <c r="E207" s="463">
        <f t="shared" si="22"/>
        <v>163.85416660752935</v>
      </c>
      <c r="F207" s="449">
        <f t="shared" si="23"/>
        <v>7.6537691399548788E-2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654</v>
      </c>
      <c r="C208" s="465">
        <f>IF(C207=0,0,C204/C207)</f>
        <v>11229.516975879205</v>
      </c>
      <c r="D208" s="465">
        <f>IF(LN_IF18=0,0,LN_IF15/LN_IF18)</f>
        <v>12915.857922472145</v>
      </c>
      <c r="E208" s="465">
        <f t="shared" si="22"/>
        <v>1686.3409465929399</v>
      </c>
      <c r="F208" s="449">
        <f t="shared" si="23"/>
        <v>0.15017039025054854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704</v>
      </c>
      <c r="C209" s="465">
        <f>C61-C208</f>
        <v>15086.771178985202</v>
      </c>
      <c r="D209" s="465">
        <f>LN_IB18-LN_IF19</f>
        <v>16485.029928138305</v>
      </c>
      <c r="E209" s="465">
        <f t="shared" si="22"/>
        <v>1398.2587491531031</v>
      </c>
      <c r="F209" s="449">
        <f t="shared" si="23"/>
        <v>9.2681113312090127E-2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705</v>
      </c>
      <c r="C210" s="465">
        <f>C32-C208</f>
        <v>101024.30233852957</v>
      </c>
      <c r="D210" s="465">
        <f>LN_IA16-LN_IF19</f>
        <v>131496.04782307227</v>
      </c>
      <c r="E210" s="465">
        <f t="shared" si="22"/>
        <v>30471.745484542698</v>
      </c>
      <c r="F210" s="449">
        <f t="shared" si="23"/>
        <v>0.3016278734836767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665</v>
      </c>
      <c r="C211" s="479">
        <f>C141+C176</f>
        <v>216275831.73856255</v>
      </c>
      <c r="D211" s="441">
        <f>LN_IF21*LN_IF18</f>
        <v>303056826.28001195</v>
      </c>
      <c r="E211" s="441">
        <f t="shared" si="22"/>
        <v>86780994.541449398</v>
      </c>
      <c r="F211" s="449">
        <f t="shared" si="23"/>
        <v>0.40125146598142114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706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656</v>
      </c>
      <c r="C214" s="448">
        <f>C188+C203</f>
        <v>296723068</v>
      </c>
      <c r="D214" s="448">
        <f>LN_IF1+LN_IF14</f>
        <v>320694355</v>
      </c>
      <c r="E214" s="448">
        <f>D214-C214</f>
        <v>23971287</v>
      </c>
      <c r="F214" s="449">
        <f>IF(C214=0,0,E214/C214)</f>
        <v>8.0786732091891147E-2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657</v>
      </c>
      <c r="C215" s="448">
        <f>C189+C204</f>
        <v>76613744</v>
      </c>
      <c r="D215" s="448">
        <f>LN_IF2+LN_IF15</f>
        <v>81121874</v>
      </c>
      <c r="E215" s="448">
        <f>D215-C215</f>
        <v>4508130</v>
      </c>
      <c r="F215" s="449">
        <f>IF(C215=0,0,E215/C215)</f>
        <v>5.8842314245861685E-2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658</v>
      </c>
      <c r="C216" s="448">
        <f>C214-C215</f>
        <v>220109324</v>
      </c>
      <c r="D216" s="448">
        <f>LN_IF23-LN_IF24</f>
        <v>239572481</v>
      </c>
      <c r="E216" s="448">
        <f>D216-C216</f>
        <v>19463157</v>
      </c>
      <c r="F216" s="449">
        <f>IF(C216=0,0,E216/C216)</f>
        <v>8.8424954682973816E-2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707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708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640</v>
      </c>
      <c r="C221" s="448">
        <v>4138152</v>
      </c>
      <c r="D221" s="448">
        <v>1121594</v>
      </c>
      <c r="E221" s="448">
        <f t="shared" ref="E221:E230" si="24">D221-C221</f>
        <v>-3016558</v>
      </c>
      <c r="F221" s="449">
        <f t="shared" ref="F221:F230" si="25">IF(C221=0,0,E221/C221)</f>
        <v>-0.72896259006435726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641</v>
      </c>
      <c r="C222" s="448">
        <v>1721748</v>
      </c>
      <c r="D222" s="448">
        <v>383011</v>
      </c>
      <c r="E222" s="448">
        <f t="shared" si="24"/>
        <v>-1338737</v>
      </c>
      <c r="F222" s="449">
        <f t="shared" si="25"/>
        <v>-0.77754526214056874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642</v>
      </c>
      <c r="C223" s="453">
        <f>IF(C221=0,0,C222/C221)</f>
        <v>0.41606688202849967</v>
      </c>
      <c r="D223" s="453">
        <f>IF(LN_IG1=0,0,LN_IG2/LN_IG1)</f>
        <v>0.34148809640565125</v>
      </c>
      <c r="E223" s="454">
        <f t="shared" si="24"/>
        <v>-7.457878562284842E-2</v>
      </c>
      <c r="F223" s="449">
        <f t="shared" si="25"/>
        <v>-0.17924710868417529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70</v>
      </c>
      <c r="D224" s="456">
        <v>43</v>
      </c>
      <c r="E224" s="456">
        <f t="shared" si="24"/>
        <v>-27</v>
      </c>
      <c r="F224" s="449">
        <f t="shared" si="25"/>
        <v>-0.38571428571428573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643</v>
      </c>
      <c r="C225" s="459">
        <v>1.4213</v>
      </c>
      <c r="D225" s="459">
        <v>1.1034999999999999</v>
      </c>
      <c r="E225" s="460">
        <f t="shared" si="24"/>
        <v>-0.31780000000000008</v>
      </c>
      <c r="F225" s="449">
        <f t="shared" si="25"/>
        <v>-0.22359811440230781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644</v>
      </c>
      <c r="C226" s="463">
        <f>C224*C225</f>
        <v>99.491</v>
      </c>
      <c r="D226" s="463">
        <f>LN_IG3*LN_IG4</f>
        <v>47.450499999999998</v>
      </c>
      <c r="E226" s="463">
        <f t="shared" si="24"/>
        <v>-52.040500000000002</v>
      </c>
      <c r="F226" s="449">
        <f t="shared" si="25"/>
        <v>-0.52306741313284622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645</v>
      </c>
      <c r="C227" s="465">
        <f>IF(C226=0,0,C222/C226)</f>
        <v>17305.565327517063</v>
      </c>
      <c r="D227" s="465">
        <f>IF(LN_IG5=0,0,LN_IG2/LN_IG5)</f>
        <v>8071.8011401355097</v>
      </c>
      <c r="E227" s="465">
        <f t="shared" si="24"/>
        <v>-9233.7641873815519</v>
      </c>
      <c r="F227" s="449">
        <f t="shared" si="25"/>
        <v>-0.53357194709491629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597</v>
      </c>
      <c r="D228" s="456">
        <v>137</v>
      </c>
      <c r="E228" s="456">
        <f t="shared" si="24"/>
        <v>-460</v>
      </c>
      <c r="F228" s="449">
        <f t="shared" si="25"/>
        <v>-0.77051926298157458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646</v>
      </c>
      <c r="C229" s="465">
        <f>IF(C228=0,0,C222/C228)</f>
        <v>2884</v>
      </c>
      <c r="D229" s="465">
        <f>IF(LN_IG6=0,0,LN_IG2/LN_IG6)</f>
        <v>2795.7007299270072</v>
      </c>
      <c r="E229" s="465">
        <f t="shared" si="24"/>
        <v>-88.29927007299284</v>
      </c>
      <c r="F229" s="449">
        <f t="shared" si="25"/>
        <v>-3.0616945240288778E-2</v>
      </c>
      <c r="Q229" s="421"/>
      <c r="U229" s="462"/>
    </row>
    <row r="230" spans="1:21" ht="15.75" customHeight="1" x14ac:dyDescent="0.2">
      <c r="A230" s="451">
        <v>10</v>
      </c>
      <c r="B230" s="447" t="s">
        <v>647</v>
      </c>
      <c r="C230" s="466">
        <f>IF(C224=0,0,C228/C224)</f>
        <v>8.5285714285714285</v>
      </c>
      <c r="D230" s="466">
        <f>IF(LN_IG3=0,0,LN_IG6/LN_IG3)</f>
        <v>3.1860465116279069</v>
      </c>
      <c r="E230" s="466">
        <f t="shared" si="24"/>
        <v>-5.3425249169435212</v>
      </c>
      <c r="F230" s="449">
        <f t="shared" si="25"/>
        <v>-0.62642670717930737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709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649</v>
      </c>
      <c r="C233" s="448">
        <v>1309026</v>
      </c>
      <c r="D233" s="448">
        <v>1798331</v>
      </c>
      <c r="E233" s="448">
        <f>D233-C233</f>
        <v>489305</v>
      </c>
      <c r="F233" s="449">
        <f>IF(C233=0,0,E233/C233)</f>
        <v>0.37379318668995115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650</v>
      </c>
      <c r="C234" s="448">
        <v>863957</v>
      </c>
      <c r="D234" s="448">
        <v>822388</v>
      </c>
      <c r="E234" s="448">
        <f>D234-C234</f>
        <v>-41569</v>
      </c>
      <c r="F234" s="449">
        <f>IF(C234=0,0,E234/C234)</f>
        <v>-4.8114663114020718E-2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710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656</v>
      </c>
      <c r="C237" s="448">
        <f>C221+C233</f>
        <v>5447178</v>
      </c>
      <c r="D237" s="448">
        <f>LN_IG1+LN_IG9</f>
        <v>2919925</v>
      </c>
      <c r="E237" s="448">
        <f>D237-C237</f>
        <v>-2527253</v>
      </c>
      <c r="F237" s="449">
        <f>IF(C237=0,0,E237/C237)</f>
        <v>-0.46395638255258043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657</v>
      </c>
      <c r="C238" s="448">
        <f>C222+C234</f>
        <v>2585705</v>
      </c>
      <c r="D238" s="448">
        <f>LN_IG2+LN_IG10</f>
        <v>1205399</v>
      </c>
      <c r="E238" s="448">
        <f>D238-C238</f>
        <v>-1380306</v>
      </c>
      <c r="F238" s="449">
        <f>IF(C238=0,0,E238/C238)</f>
        <v>-0.53382191704003357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658</v>
      </c>
      <c r="C239" s="448">
        <f>C237-C238</f>
        <v>2861473</v>
      </c>
      <c r="D239" s="448">
        <f>LN_IG13-LN_IG14</f>
        <v>1714526</v>
      </c>
      <c r="E239" s="448">
        <f>D239-C239</f>
        <v>-1146947</v>
      </c>
      <c r="F239" s="449">
        <f>IF(C239=0,0,E239/C239)</f>
        <v>-0.40082398121526919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711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712</v>
      </c>
      <c r="C243" s="448">
        <v>28586425</v>
      </c>
      <c r="D243" s="448">
        <v>31932692</v>
      </c>
      <c r="E243" s="441">
        <f>D243-C243</f>
        <v>3346267</v>
      </c>
      <c r="F243" s="503">
        <f>IF(C243=0,0,E243/C243)</f>
        <v>0.11705790423251596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713</v>
      </c>
      <c r="C244" s="448">
        <v>267793841</v>
      </c>
      <c r="D244" s="448">
        <v>280099480</v>
      </c>
      <c r="E244" s="441">
        <f>D244-C244</f>
        <v>12305639</v>
      </c>
      <c r="F244" s="503">
        <f>IF(C244=0,0,E244/C244)</f>
        <v>4.5951911941096511E-2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714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715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716</v>
      </c>
      <c r="C248" s="441">
        <v>1431441</v>
      </c>
      <c r="D248" s="441">
        <v>1302183</v>
      </c>
      <c r="E248" s="441">
        <f>D248-C248</f>
        <v>-129258</v>
      </c>
      <c r="F248" s="449">
        <f>IF(C248=0,0,E248/C248)</f>
        <v>-9.0299215964891322E-2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717</v>
      </c>
      <c r="C249" s="441">
        <v>4545394</v>
      </c>
      <c r="D249" s="441">
        <v>3419884</v>
      </c>
      <c r="E249" s="441">
        <f>D249-C249</f>
        <v>-1125510</v>
      </c>
      <c r="F249" s="449">
        <f>IF(C249=0,0,E249/C249)</f>
        <v>-0.24761549823843654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718</v>
      </c>
      <c r="C250" s="441">
        <f>C248+C249</f>
        <v>5976835</v>
      </c>
      <c r="D250" s="441">
        <f>LN_IH4+LN_IH5</f>
        <v>4722067</v>
      </c>
      <c r="E250" s="441">
        <f>D250-C250</f>
        <v>-1254768</v>
      </c>
      <c r="F250" s="449">
        <f>IF(C250=0,0,E250/C250)</f>
        <v>-0.20993853770432008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719</v>
      </c>
      <c r="C251" s="441">
        <f>C250*C313</f>
        <v>2400375.7507844125</v>
      </c>
      <c r="D251" s="441">
        <f>LN_IH6*LN_III10</f>
        <v>1867901.980616248</v>
      </c>
      <c r="E251" s="441">
        <f>D251-C251</f>
        <v>-532473.77016816451</v>
      </c>
      <c r="F251" s="449">
        <f>IF(C251=0,0,E251/C251)</f>
        <v>-0.2218293406747501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720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656</v>
      </c>
      <c r="C254" s="441">
        <f>C188+C203</f>
        <v>296723068</v>
      </c>
      <c r="D254" s="441">
        <f>LN_IF23</f>
        <v>320694355</v>
      </c>
      <c r="E254" s="441">
        <f>D254-C254</f>
        <v>23971287</v>
      </c>
      <c r="F254" s="449">
        <f>IF(C254=0,0,E254/C254)</f>
        <v>8.0786732091891147E-2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657</v>
      </c>
      <c r="C255" s="441">
        <f>C189+C204</f>
        <v>76613744</v>
      </c>
      <c r="D255" s="441">
        <f>LN_IF24</f>
        <v>81121874</v>
      </c>
      <c r="E255" s="441">
        <f>D255-C255</f>
        <v>4508130</v>
      </c>
      <c r="F255" s="449">
        <f>IF(C255=0,0,E255/C255)</f>
        <v>5.8842314245861685E-2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721</v>
      </c>
      <c r="C256" s="441">
        <f>C254*C313</f>
        <v>119167896.90957744</v>
      </c>
      <c r="D256" s="441">
        <f>LN_IH8*LN_III10</f>
        <v>126856654.27384876</v>
      </c>
      <c r="E256" s="441">
        <f>D256-C256</f>
        <v>7688757.364271313</v>
      </c>
      <c r="F256" s="449">
        <f>IF(C256=0,0,E256/C256)</f>
        <v>6.4520374728987709E-2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722</v>
      </c>
      <c r="C257" s="441">
        <f>C256-C255</f>
        <v>42554152.909577444</v>
      </c>
      <c r="D257" s="441">
        <f>LN_IH10-LN_IH9</f>
        <v>45734780.273848757</v>
      </c>
      <c r="E257" s="441">
        <f>D257-C257</f>
        <v>3180627.364271313</v>
      </c>
      <c r="F257" s="449">
        <f>IF(C257=0,0,E257/C257)</f>
        <v>7.4743054362514771E-2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723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724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346236656</v>
      </c>
      <c r="D261" s="448">
        <f>LN_IA1+LN_IB1+LN_IF1+LN_IG1</f>
        <v>334817086</v>
      </c>
      <c r="E261" s="448">
        <f t="shared" ref="E261:E274" si="26">D261-C261</f>
        <v>-11419570</v>
      </c>
      <c r="F261" s="503">
        <f t="shared" ref="F261:F274" si="27">IF(C261=0,0,E261/C261)</f>
        <v>-3.298197866143901E-2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152046007</v>
      </c>
      <c r="D262" s="448">
        <f>+LN_IA2+LN_IB2+LN_IF2+LN_IG2</f>
        <v>144680482</v>
      </c>
      <c r="E262" s="448">
        <f t="shared" si="26"/>
        <v>-7365525</v>
      </c>
      <c r="F262" s="503">
        <f t="shared" si="27"/>
        <v>-4.8442738782347637E-2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725</v>
      </c>
      <c r="C263" s="453">
        <f>IF(C261=0,0,C262/C261)</f>
        <v>0.43913896569056515</v>
      </c>
      <c r="D263" s="453">
        <f>IF(LN_IIA1=0,0,LN_IIA2/LN_IIA1)</f>
        <v>0.43211797739617147</v>
      </c>
      <c r="E263" s="454">
        <f t="shared" si="26"/>
        <v>-7.0209882943936819E-3</v>
      </c>
      <c r="F263" s="458">
        <f t="shared" si="27"/>
        <v>-1.5988078587726488E-2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6422</v>
      </c>
      <c r="D264" s="456">
        <f>LN_IA4+LN_IB4+LN_IF4+LN_IG3</f>
        <v>5803</v>
      </c>
      <c r="E264" s="456">
        <f t="shared" si="26"/>
        <v>-619</v>
      </c>
      <c r="F264" s="503">
        <f t="shared" si="27"/>
        <v>-9.6387418249766432E-2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726</v>
      </c>
      <c r="C265" s="525">
        <f>IF(C264=0,0,C266/C264)</f>
        <v>1.6228650264715041</v>
      </c>
      <c r="D265" s="525">
        <f>IF(LN_IIA4=0,0,LN_IIA6/LN_IIA4)</f>
        <v>1.7792276408754095</v>
      </c>
      <c r="E265" s="525">
        <f t="shared" si="26"/>
        <v>0.15636261440390542</v>
      </c>
      <c r="F265" s="503">
        <f t="shared" si="27"/>
        <v>9.6349734484003927E-2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727</v>
      </c>
      <c r="C266" s="463">
        <f>C20+C47+C193+C226</f>
        <v>10422.039199999999</v>
      </c>
      <c r="D266" s="463">
        <f>LN_IA6+LN_IB6+LN_IF6+LN_IG5</f>
        <v>10324.858000000002</v>
      </c>
      <c r="E266" s="463">
        <f t="shared" si="26"/>
        <v>-97.181199999997261</v>
      </c>
      <c r="F266" s="503">
        <f t="shared" si="27"/>
        <v>-9.3245859217260738E-3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228576783</v>
      </c>
      <c r="D267" s="448">
        <f>LN_IA11+LN_IB13+LN_IF14+LN_IG9</f>
        <v>261858160</v>
      </c>
      <c r="E267" s="448">
        <f t="shared" si="26"/>
        <v>33281377</v>
      </c>
      <c r="F267" s="503">
        <f t="shared" si="27"/>
        <v>0.14560261354277612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652</v>
      </c>
      <c r="C268" s="453">
        <f>IF(C261=0,0,C267/C261)</f>
        <v>0.66017499602930541</v>
      </c>
      <c r="D268" s="453">
        <f>IF(LN_IIA1=0,0,LN_IIA7/LN_IIA1)</f>
        <v>0.78209318146923956</v>
      </c>
      <c r="E268" s="454">
        <f t="shared" si="26"/>
        <v>0.12191818543993416</v>
      </c>
      <c r="F268" s="458">
        <f t="shared" si="27"/>
        <v>0.18467555750100262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80167847</v>
      </c>
      <c r="D269" s="448">
        <f>LN_IA12+LN_IB14+LN_IF15+LN_IG10</f>
        <v>96067646</v>
      </c>
      <c r="E269" s="448">
        <f t="shared" si="26"/>
        <v>15899799</v>
      </c>
      <c r="F269" s="503">
        <f t="shared" si="27"/>
        <v>0.19833137092979433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651</v>
      </c>
      <c r="C270" s="453">
        <f>IF(C267=0,0,C269/C267)</f>
        <v>0.35072611464656056</v>
      </c>
      <c r="D270" s="453">
        <f>IF(LN_IIA7=0,0,LN_IIA9/LN_IIA7)</f>
        <v>0.36686901794467663</v>
      </c>
      <c r="E270" s="454">
        <f t="shared" si="26"/>
        <v>1.6142903298116074E-2</v>
      </c>
      <c r="F270" s="458">
        <f t="shared" si="27"/>
        <v>4.6027092434744593E-2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728</v>
      </c>
      <c r="C271" s="441">
        <f>C261+C267</f>
        <v>574813439</v>
      </c>
      <c r="D271" s="441">
        <f>LN_IIA1+LN_IIA7</f>
        <v>596675246</v>
      </c>
      <c r="E271" s="441">
        <f t="shared" si="26"/>
        <v>21861807</v>
      </c>
      <c r="F271" s="503">
        <f t="shared" si="27"/>
        <v>3.8032873827781193E-2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729</v>
      </c>
      <c r="C272" s="441">
        <f>C262+C269</f>
        <v>232213854</v>
      </c>
      <c r="D272" s="441">
        <f>LN_IIA2+LN_IIA9</f>
        <v>240748128</v>
      </c>
      <c r="E272" s="441">
        <f t="shared" si="26"/>
        <v>8534274</v>
      </c>
      <c r="F272" s="503">
        <f t="shared" si="27"/>
        <v>3.675178656653276E-2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730</v>
      </c>
      <c r="C273" s="453">
        <f>IF(C271=0,0,C272/C271)</f>
        <v>0.40398125416827635</v>
      </c>
      <c r="D273" s="453">
        <f>IF(LN_IIA11=0,0,LN_IIA12/LN_IIA11)</f>
        <v>0.40348268109651059</v>
      </c>
      <c r="E273" s="454">
        <f t="shared" si="26"/>
        <v>-4.9857307176576215E-4</v>
      </c>
      <c r="F273" s="458">
        <f t="shared" si="27"/>
        <v>-1.2341490270191698E-3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46107</v>
      </c>
      <c r="D274" s="508">
        <f>LN_IA8+LN_IB10+LN_IF11+LN_IG6</f>
        <v>42524</v>
      </c>
      <c r="E274" s="528">
        <f t="shared" si="26"/>
        <v>-3583</v>
      </c>
      <c r="F274" s="458">
        <f t="shared" si="27"/>
        <v>-7.7710542867677354E-2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731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732</v>
      </c>
      <c r="C277" s="448">
        <f>C15+C188+C221</f>
        <v>186095071</v>
      </c>
      <c r="D277" s="448">
        <f>LN_IA1+LN_IF1+LN_IG1</f>
        <v>186736896</v>
      </c>
      <c r="E277" s="448">
        <f t="shared" ref="E277:E291" si="28">D277-C277</f>
        <v>641825</v>
      </c>
      <c r="F277" s="503">
        <f t="shared" ref="F277:F291" si="29">IF(C277=0,0,E277/C277)</f>
        <v>3.4489091868532078E-3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733</v>
      </c>
      <c r="C278" s="448">
        <f>C16+C189+C222</f>
        <v>56313076</v>
      </c>
      <c r="D278" s="448">
        <f>LN_IA2+LN_IF2+LN_IG2</f>
        <v>53140568</v>
      </c>
      <c r="E278" s="448">
        <f t="shared" si="28"/>
        <v>-3172508</v>
      </c>
      <c r="F278" s="503">
        <f t="shared" si="29"/>
        <v>-5.6336968699774101E-2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734</v>
      </c>
      <c r="C279" s="453">
        <f>IF(C277=0,0,C278/C277)</f>
        <v>0.30260380190295316</v>
      </c>
      <c r="D279" s="453">
        <f>IF(D277=0,0,LN_IIB2/D277)</f>
        <v>0.28457454920960024</v>
      </c>
      <c r="E279" s="454">
        <f t="shared" si="28"/>
        <v>-1.8029252693352926E-2</v>
      </c>
      <c r="F279" s="458">
        <f t="shared" si="29"/>
        <v>-5.9580390530370848E-2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735</v>
      </c>
      <c r="C280" s="456">
        <f>C18+C191+C224</f>
        <v>3447</v>
      </c>
      <c r="D280" s="456">
        <f>LN_IA4+LN_IF4+LN_IG3</f>
        <v>3205</v>
      </c>
      <c r="E280" s="456">
        <f t="shared" si="28"/>
        <v>-242</v>
      </c>
      <c r="F280" s="503">
        <f t="shared" si="29"/>
        <v>-7.0205976211198146E-2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736</v>
      </c>
      <c r="C281" s="525">
        <f>IF(C280=0,0,C282/C280)</f>
        <v>1.5754523353640846</v>
      </c>
      <c r="D281" s="525">
        <f>IF(LN_IIB4=0,0,LN_IIB6/LN_IIB4)</f>
        <v>1.6953520748829953</v>
      </c>
      <c r="E281" s="525">
        <f t="shared" si="28"/>
        <v>0.11989973951891075</v>
      </c>
      <c r="F281" s="503">
        <f t="shared" si="29"/>
        <v>7.6104961621198217E-2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737</v>
      </c>
      <c r="C282" s="463">
        <f>C20+C193+C226</f>
        <v>5430.5841999999993</v>
      </c>
      <c r="D282" s="463">
        <f>LN_IA6+LN_IF6+LN_IG5</f>
        <v>5433.6034</v>
      </c>
      <c r="E282" s="463">
        <f t="shared" si="28"/>
        <v>3.0192000000006374</v>
      </c>
      <c r="F282" s="503">
        <f t="shared" si="29"/>
        <v>5.5596228486810644E-4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738</v>
      </c>
      <c r="C283" s="448">
        <f>C27+C203+C233</f>
        <v>117119079</v>
      </c>
      <c r="D283" s="448">
        <f>LN_IA11+LN_IF14+LN_IG9</f>
        <v>137586645</v>
      </c>
      <c r="E283" s="448">
        <f t="shared" si="28"/>
        <v>20467566</v>
      </c>
      <c r="F283" s="503">
        <f t="shared" si="29"/>
        <v>0.17475859761499662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739</v>
      </c>
      <c r="C284" s="453">
        <f>IF(C277=0,0,C283/C277)</f>
        <v>0.62935078490069196</v>
      </c>
      <c r="D284" s="453">
        <f>IF(D277=0,0,LN_IIB7/D277)</f>
        <v>0.736794109504744</v>
      </c>
      <c r="E284" s="454">
        <f t="shared" si="28"/>
        <v>0.10744332460405204</v>
      </c>
      <c r="F284" s="458">
        <f t="shared" si="29"/>
        <v>0.17072088759054457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740</v>
      </c>
      <c r="C285" s="448">
        <f>C28+C204+C234</f>
        <v>25677751</v>
      </c>
      <c r="D285" s="448">
        <f>LN_IA12+LN_IF15+LN_IG10</f>
        <v>31965256</v>
      </c>
      <c r="E285" s="448">
        <f t="shared" si="28"/>
        <v>6287505</v>
      </c>
      <c r="F285" s="503">
        <f t="shared" si="29"/>
        <v>0.24486198187683961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741</v>
      </c>
      <c r="C286" s="453">
        <f>IF(C283=0,0,C285/C283)</f>
        <v>0.21924481663657891</v>
      </c>
      <c r="D286" s="453">
        <f>IF(LN_IIB7=0,0,LN_IIB9/LN_IIB7)</f>
        <v>0.2323281885389385</v>
      </c>
      <c r="E286" s="454">
        <f t="shared" si="28"/>
        <v>1.3083371902359586E-2</v>
      </c>
      <c r="F286" s="458">
        <f t="shared" si="29"/>
        <v>5.9674714791760099E-2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742</v>
      </c>
      <c r="C287" s="441">
        <f>C277+C283</f>
        <v>303214150</v>
      </c>
      <c r="D287" s="441">
        <f>D277+LN_IIB7</f>
        <v>324323541</v>
      </c>
      <c r="E287" s="441">
        <f t="shared" si="28"/>
        <v>21109391</v>
      </c>
      <c r="F287" s="503">
        <f t="shared" si="29"/>
        <v>6.9618752950678583E-2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743</v>
      </c>
      <c r="C288" s="441">
        <f>C278+C285</f>
        <v>81990827</v>
      </c>
      <c r="D288" s="441">
        <f>LN_IIB2+LN_IIB9</f>
        <v>85105824</v>
      </c>
      <c r="E288" s="441">
        <f t="shared" si="28"/>
        <v>3114997</v>
      </c>
      <c r="F288" s="503">
        <f t="shared" si="29"/>
        <v>3.7992018302242518E-2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744</v>
      </c>
      <c r="C289" s="453">
        <f>IF(C287=0,0,C288/C287)</f>
        <v>0.27040567532880638</v>
      </c>
      <c r="D289" s="453">
        <f>IF(LN_IIB11=0,0,LN_IIB12/LN_IIB11)</f>
        <v>0.26241025778637511</v>
      </c>
      <c r="E289" s="454">
        <f t="shared" si="28"/>
        <v>-7.9954175424312712E-3</v>
      </c>
      <c r="F289" s="458">
        <f t="shared" si="29"/>
        <v>-2.9568231261082253E-2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24884</v>
      </c>
      <c r="D290" s="508">
        <f>LN_IA8+LN_IF11+LN_IG6</f>
        <v>23996</v>
      </c>
      <c r="E290" s="528">
        <f t="shared" si="28"/>
        <v>-888</v>
      </c>
      <c r="F290" s="458">
        <f t="shared" si="29"/>
        <v>-3.5685581096286771E-2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745</v>
      </c>
      <c r="C291" s="448">
        <f>C287-C288</f>
        <v>221223323</v>
      </c>
      <c r="D291" s="516">
        <f>LN_IIB11-LN_IIB12</f>
        <v>239217717</v>
      </c>
      <c r="E291" s="441">
        <f t="shared" si="28"/>
        <v>17994394</v>
      </c>
      <c r="F291" s="503">
        <f t="shared" si="29"/>
        <v>8.1340401888818928E-2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647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638</v>
      </c>
      <c r="C294" s="466">
        <f>IF(C18=0,0,C22/C18)</f>
        <v>4.1500000000000004</v>
      </c>
      <c r="D294" s="466">
        <f>IF(LN_IA4=0,0,LN_IA8/LN_IA4)</f>
        <v>5.1111111111111107</v>
      </c>
      <c r="E294" s="466">
        <f t="shared" ref="E294:E300" si="30">D294-C294</f>
        <v>0.96111111111111036</v>
      </c>
      <c r="F294" s="503">
        <f t="shared" ref="F294:F300" si="31">IF(C294=0,0,E294/C294)</f>
        <v>0.23159303882195428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659</v>
      </c>
      <c r="C295" s="466">
        <f>IF(C45=0,0,C51/C45)</f>
        <v>7.1337815126050419</v>
      </c>
      <c r="D295" s="466">
        <f>IF(LN_IB4=0,0,(LN_IB10)/(LN_IB4))</f>
        <v>7.1316397228637411</v>
      </c>
      <c r="E295" s="466">
        <f t="shared" si="30"/>
        <v>-2.1417897413007481E-3</v>
      </c>
      <c r="F295" s="503">
        <f t="shared" si="31"/>
        <v>-3.0023203507372783E-4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674</v>
      </c>
      <c r="C296" s="466">
        <f>IF(C86=0,0,C93/C86)</f>
        <v>4.0212765957446805</v>
      </c>
      <c r="D296" s="466">
        <f>IF(LN_IC4=0,0,LN_IC11/LN_IC4)</f>
        <v>5.2058823529411766</v>
      </c>
      <c r="E296" s="466">
        <f t="shared" si="30"/>
        <v>1.1846057571964961</v>
      </c>
      <c r="F296" s="503">
        <f t="shared" si="31"/>
        <v>0.29458450046685353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7.2100089365504916</v>
      </c>
      <c r="D297" s="466">
        <f>IF(LN_ID4=0,0,LN_ID11/LN_ID4)</f>
        <v>7.5524896923564855</v>
      </c>
      <c r="E297" s="466">
        <f t="shared" si="30"/>
        <v>0.34248075580599391</v>
      </c>
      <c r="F297" s="503">
        <f t="shared" si="31"/>
        <v>4.7500739433181359E-2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746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8.5285714285714285</v>
      </c>
      <c r="D299" s="466">
        <f>IF(LN_IG3=0,0,LN_IG6/LN_IG3)</f>
        <v>3.1860465116279069</v>
      </c>
      <c r="E299" s="466">
        <f t="shared" si="30"/>
        <v>-5.3425249169435212</v>
      </c>
      <c r="F299" s="503">
        <f t="shared" si="31"/>
        <v>-0.62642670717930737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747</v>
      </c>
      <c r="C300" s="466">
        <f>IF(C264=0,0,C274/C264)</f>
        <v>7.1795390843973843</v>
      </c>
      <c r="D300" s="466">
        <f>IF(LN_IIA4=0,0,LN_IIA14/LN_IIA4)</f>
        <v>7.3279338273306909</v>
      </c>
      <c r="E300" s="466">
        <f t="shared" si="30"/>
        <v>0.14839474293330657</v>
      </c>
      <c r="F300" s="503">
        <f t="shared" si="31"/>
        <v>2.066911833599442E-2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748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742</v>
      </c>
      <c r="C304" s="441">
        <f>C35+C66+C214+C221+C233</f>
        <v>574813439</v>
      </c>
      <c r="D304" s="441">
        <f>LN_IIA11</f>
        <v>596675246</v>
      </c>
      <c r="E304" s="441">
        <f t="shared" ref="E304:E316" si="32">D304-C304</f>
        <v>21861807</v>
      </c>
      <c r="F304" s="449">
        <f>IF(C304=0,0,E304/C304)</f>
        <v>3.8032873827781193E-2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745</v>
      </c>
      <c r="C305" s="441">
        <f>C291</f>
        <v>221223323</v>
      </c>
      <c r="D305" s="441">
        <f>LN_IIB14</f>
        <v>239217717</v>
      </c>
      <c r="E305" s="441">
        <f t="shared" si="32"/>
        <v>17994394</v>
      </c>
      <c r="F305" s="449">
        <f>IF(C305=0,0,E305/C305)</f>
        <v>8.1340401888818928E-2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749</v>
      </c>
      <c r="C306" s="441">
        <f>C250</f>
        <v>5976835</v>
      </c>
      <c r="D306" s="441">
        <f>LN_IH6</f>
        <v>4722067</v>
      </c>
      <c r="E306" s="441">
        <f t="shared" si="32"/>
        <v>-1254768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750</v>
      </c>
      <c r="C307" s="441">
        <f>C73-C74</f>
        <v>116760624</v>
      </c>
      <c r="D307" s="441">
        <f>LN_IB32-LN_IB33</f>
        <v>116709401</v>
      </c>
      <c r="E307" s="441">
        <f t="shared" si="32"/>
        <v>-51223</v>
      </c>
      <c r="F307" s="449">
        <f t="shared" ref="F307:F316" si="33">IF(C307=0,0,E307/C307)</f>
        <v>-4.3870097850796003E-4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751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752</v>
      </c>
      <c r="C309" s="441">
        <f>C305+C307+C308+C306</f>
        <v>343960782</v>
      </c>
      <c r="D309" s="441">
        <f>LN_III2+LN_III3+LN_III4+LN_III5</f>
        <v>360649185</v>
      </c>
      <c r="E309" s="441">
        <f t="shared" si="32"/>
        <v>16688403</v>
      </c>
      <c r="F309" s="449">
        <f t="shared" si="33"/>
        <v>4.8518330790398072E-2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753</v>
      </c>
      <c r="C310" s="441">
        <f>C304-C309</f>
        <v>230852657</v>
      </c>
      <c r="D310" s="441">
        <f>LN_III1-LN_III6</f>
        <v>236026061</v>
      </c>
      <c r="E310" s="441">
        <f t="shared" si="32"/>
        <v>5173404</v>
      </c>
      <c r="F310" s="449">
        <f t="shared" si="33"/>
        <v>2.2409982485061888E-2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754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755</v>
      </c>
      <c r="C312" s="441">
        <f>C310+C311</f>
        <v>230852657</v>
      </c>
      <c r="D312" s="441">
        <f>LN_III7+LN_III8</f>
        <v>236026061</v>
      </c>
      <c r="E312" s="441">
        <f t="shared" si="32"/>
        <v>5173404</v>
      </c>
      <c r="F312" s="449">
        <f t="shared" si="33"/>
        <v>2.2409982485061888E-2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756</v>
      </c>
      <c r="C313" s="532">
        <f>IF(C304=0,0,C312/C304)</f>
        <v>0.40161318670908808</v>
      </c>
      <c r="D313" s="532">
        <f>IF(LN_III1=0,0,LN_III9/LN_III1)</f>
        <v>0.39556871611865058</v>
      </c>
      <c r="E313" s="532">
        <f t="shared" si="32"/>
        <v>-6.0444705904375007E-3</v>
      </c>
      <c r="F313" s="449">
        <f t="shared" si="33"/>
        <v>-1.5050478396805891E-2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719</v>
      </c>
      <c r="C314" s="441">
        <f>C306*C313</f>
        <v>2400375.7507844125</v>
      </c>
      <c r="D314" s="441">
        <f>D313*LN_III5</f>
        <v>1867901.980616248</v>
      </c>
      <c r="E314" s="441">
        <f t="shared" si="32"/>
        <v>-532473.77016816451</v>
      </c>
      <c r="F314" s="449">
        <f t="shared" si="33"/>
        <v>-0.2218293406747501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722</v>
      </c>
      <c r="C315" s="441">
        <f>(C214*C313)-C215</f>
        <v>42554152.909577444</v>
      </c>
      <c r="D315" s="441">
        <f>D313*LN_IH8-LN_IH9</f>
        <v>45734780.273848757</v>
      </c>
      <c r="E315" s="441">
        <f t="shared" si="32"/>
        <v>3180627.364271313</v>
      </c>
      <c r="F315" s="449">
        <f t="shared" si="33"/>
        <v>7.4743054362514771E-2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757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758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759</v>
      </c>
      <c r="C318" s="441">
        <f>C314+C315+C316</f>
        <v>44954528.660361856</v>
      </c>
      <c r="D318" s="441">
        <f>D314+D315+D316</f>
        <v>47602682.254465006</v>
      </c>
      <c r="E318" s="441">
        <f>D318-C318</f>
        <v>2648153.5941031501</v>
      </c>
      <c r="F318" s="449">
        <f>IF(C318=0,0,E318/C318)</f>
        <v>5.8907382037310281E-2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760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216275831.73856255</v>
      </c>
      <c r="D322" s="441">
        <f>LN_ID22</f>
        <v>303056826.28001195</v>
      </c>
      <c r="E322" s="441">
        <f>LN_IV2-C322</f>
        <v>86780994.541449398</v>
      </c>
      <c r="F322" s="449">
        <f>IF(C322=0,0,E322/C322)</f>
        <v>0.40125146598142114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746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761</v>
      </c>
      <c r="C324" s="441">
        <f>C92+C106</f>
        <v>10953641.35281755</v>
      </c>
      <c r="D324" s="441">
        <f>LN_IC10+LN_IC22</f>
        <v>10860085.001285966</v>
      </c>
      <c r="E324" s="441">
        <f>LN_IV1-C324</f>
        <v>-93556.351531583816</v>
      </c>
      <c r="F324" s="449">
        <f>IF(C324=0,0,E324/C324)</f>
        <v>-8.5411187492932458E-3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762</v>
      </c>
      <c r="C325" s="516">
        <f>C324+C322+C323</f>
        <v>227229473.09138012</v>
      </c>
      <c r="D325" s="516">
        <f>LN_IV1+LN_IV2+LN_IV3</f>
        <v>313916911.28129792</v>
      </c>
      <c r="E325" s="441">
        <f>LN_IV4-C325</f>
        <v>86687438.189917803</v>
      </c>
      <c r="F325" s="449">
        <f>IF(C325=0,0,E325/C325)</f>
        <v>0.38149733399705826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763</v>
      </c>
      <c r="B327" s="530" t="s">
        <v>764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765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766</v>
      </c>
      <c r="C330" s="516">
        <v>7101022</v>
      </c>
      <c r="D330" s="516">
        <v>12209849</v>
      </c>
      <c r="E330" s="518">
        <f t="shared" si="34"/>
        <v>5108827</v>
      </c>
      <c r="F330" s="543">
        <f t="shared" si="35"/>
        <v>0.71944953839038939</v>
      </c>
    </row>
    <row r="331" spans="1:22" s="420" customFormat="1" ht="15.75" customHeight="1" x14ac:dyDescent="0.2">
      <c r="A331" s="427">
        <v>3</v>
      </c>
      <c r="B331" s="447" t="s">
        <v>767</v>
      </c>
      <c r="C331" s="516">
        <v>239314874</v>
      </c>
      <c r="D331" s="516">
        <v>252957977</v>
      </c>
      <c r="E331" s="518">
        <f t="shared" si="34"/>
        <v>13643103</v>
      </c>
      <c r="F331" s="542">
        <f t="shared" si="35"/>
        <v>5.7009005633306353E-2</v>
      </c>
    </row>
    <row r="332" spans="1:22" s="420" customFormat="1" ht="27" customHeight="1" x14ac:dyDescent="0.2">
      <c r="A332" s="451">
        <v>4</v>
      </c>
      <c r="B332" s="447" t="s">
        <v>768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769</v>
      </c>
      <c r="C333" s="516">
        <v>574813439</v>
      </c>
      <c r="D333" s="516">
        <v>596674847</v>
      </c>
      <c r="E333" s="518">
        <f t="shared" si="34"/>
        <v>21861408</v>
      </c>
      <c r="F333" s="542">
        <f t="shared" si="35"/>
        <v>3.8032179689521835E-2</v>
      </c>
    </row>
    <row r="334" spans="1:22" s="420" customFormat="1" ht="15.75" customHeight="1" x14ac:dyDescent="0.2">
      <c r="A334" s="427">
        <v>6</v>
      </c>
      <c r="B334" s="447" t="s">
        <v>770</v>
      </c>
      <c r="C334" s="516">
        <v>1570481</v>
      </c>
      <c r="D334" s="516">
        <v>1622972</v>
      </c>
      <c r="E334" s="516">
        <f t="shared" si="34"/>
        <v>52491</v>
      </c>
      <c r="F334" s="543">
        <f t="shared" si="35"/>
        <v>3.3423518017728325E-2</v>
      </c>
    </row>
    <row r="335" spans="1:22" s="420" customFormat="1" ht="15.75" customHeight="1" x14ac:dyDescent="0.2">
      <c r="A335" s="451">
        <v>7</v>
      </c>
      <c r="B335" s="447" t="s">
        <v>771</v>
      </c>
      <c r="C335" s="516">
        <v>7547316</v>
      </c>
      <c r="D335" s="516">
        <v>6345039</v>
      </c>
      <c r="E335" s="516">
        <f t="shared" si="34"/>
        <v>-1202277</v>
      </c>
      <c r="F335" s="542">
        <f t="shared" si="35"/>
        <v>-0.15929861688579092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FILING&amp;RCT CHILDREN`S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632</v>
      </c>
      <c r="B3" s="820"/>
      <c r="C3" s="820"/>
      <c r="D3" s="820"/>
      <c r="E3" s="820"/>
    </row>
    <row r="4" spans="1:5" s="428" customFormat="1" ht="15.75" customHeight="1" x14ac:dyDescent="0.25">
      <c r="A4" s="820" t="s">
        <v>772</v>
      </c>
      <c r="B4" s="820"/>
      <c r="C4" s="820"/>
      <c r="D4" s="820"/>
      <c r="E4" s="820"/>
    </row>
    <row r="5" spans="1:5" s="428" customFormat="1" ht="15.75" customHeight="1" x14ac:dyDescent="0.25">
      <c r="A5" s="820" t="s">
        <v>773</v>
      </c>
      <c r="B5" s="820"/>
      <c r="C5" s="820"/>
      <c r="D5" s="820"/>
      <c r="E5" s="820"/>
    </row>
    <row r="6" spans="1:5" s="428" customFormat="1" ht="15.75" customHeight="1" x14ac:dyDescent="0.25">
      <c r="A6" s="820" t="s">
        <v>774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775</v>
      </c>
      <c r="D9" s="573" t="s">
        <v>776</v>
      </c>
      <c r="E9" s="573" t="s">
        <v>777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778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779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659</v>
      </c>
      <c r="C14" s="589">
        <v>160141585</v>
      </c>
      <c r="D14" s="589">
        <v>148080190</v>
      </c>
      <c r="E14" s="590">
        <f t="shared" ref="E14:E22" si="0">D14-C14</f>
        <v>-12061395</v>
      </c>
    </row>
    <row r="15" spans="1:5" s="421" customFormat="1" x14ac:dyDescent="0.2">
      <c r="A15" s="588">
        <v>2</v>
      </c>
      <c r="B15" s="587" t="s">
        <v>638</v>
      </c>
      <c r="C15" s="589">
        <v>776456</v>
      </c>
      <c r="D15" s="591">
        <v>344532</v>
      </c>
      <c r="E15" s="590">
        <f t="shared" si="0"/>
        <v>-431924</v>
      </c>
    </row>
    <row r="16" spans="1:5" s="421" customFormat="1" x14ac:dyDescent="0.2">
      <c r="A16" s="588">
        <v>3</v>
      </c>
      <c r="B16" s="587" t="s">
        <v>780</v>
      </c>
      <c r="C16" s="589">
        <v>181180463</v>
      </c>
      <c r="D16" s="591">
        <v>185270770</v>
      </c>
      <c r="E16" s="590">
        <f t="shared" si="0"/>
        <v>4090307</v>
      </c>
    </row>
    <row r="17" spans="1:5" s="421" customFormat="1" x14ac:dyDescent="0.2">
      <c r="A17" s="588">
        <v>4</v>
      </c>
      <c r="B17" s="587" t="s">
        <v>115</v>
      </c>
      <c r="C17" s="589">
        <v>181180463</v>
      </c>
      <c r="D17" s="591">
        <v>185270770</v>
      </c>
      <c r="E17" s="590">
        <f t="shared" si="0"/>
        <v>4090307</v>
      </c>
    </row>
    <row r="18" spans="1:5" s="421" customFormat="1" x14ac:dyDescent="0.2">
      <c r="A18" s="588">
        <v>5</v>
      </c>
      <c r="B18" s="587" t="s">
        <v>746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4138152</v>
      </c>
      <c r="D19" s="591">
        <v>1121594</v>
      </c>
      <c r="E19" s="590">
        <f t="shared" si="0"/>
        <v>-3016558</v>
      </c>
    </row>
    <row r="20" spans="1:5" s="421" customFormat="1" x14ac:dyDescent="0.2">
      <c r="A20" s="588">
        <v>7</v>
      </c>
      <c r="B20" s="587" t="s">
        <v>761</v>
      </c>
      <c r="C20" s="589">
        <v>1678321</v>
      </c>
      <c r="D20" s="591">
        <v>1436919</v>
      </c>
      <c r="E20" s="590">
        <f t="shared" si="0"/>
        <v>-241402</v>
      </c>
    </row>
    <row r="21" spans="1:5" s="421" customFormat="1" x14ac:dyDescent="0.2">
      <c r="A21" s="588"/>
      <c r="B21" s="592" t="s">
        <v>781</v>
      </c>
      <c r="C21" s="593">
        <f>SUM(C15+C16+C19)</f>
        <v>186095071</v>
      </c>
      <c r="D21" s="593">
        <f>SUM(D15+D16+D19)</f>
        <v>186736896</v>
      </c>
      <c r="E21" s="593">
        <f t="shared" si="0"/>
        <v>641825</v>
      </c>
    </row>
    <row r="22" spans="1:5" s="421" customFormat="1" x14ac:dyDescent="0.2">
      <c r="A22" s="588"/>
      <c r="B22" s="592" t="s">
        <v>465</v>
      </c>
      <c r="C22" s="593">
        <f>SUM(C14+C21)</f>
        <v>346236656</v>
      </c>
      <c r="D22" s="593">
        <f>SUM(D14+D21)</f>
        <v>334817086</v>
      </c>
      <c r="E22" s="593">
        <f t="shared" si="0"/>
        <v>-11419570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782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659</v>
      </c>
      <c r="C25" s="589">
        <v>111457704</v>
      </c>
      <c r="D25" s="589">
        <v>124271515</v>
      </c>
      <c r="E25" s="590">
        <f t="shared" ref="E25:E33" si="1">D25-C25</f>
        <v>12813811</v>
      </c>
    </row>
    <row r="26" spans="1:5" s="421" customFormat="1" x14ac:dyDescent="0.2">
      <c r="A26" s="588">
        <v>2</v>
      </c>
      <c r="B26" s="587" t="s">
        <v>638</v>
      </c>
      <c r="C26" s="589">
        <v>267448</v>
      </c>
      <c r="D26" s="591">
        <v>364729</v>
      </c>
      <c r="E26" s="590">
        <f t="shared" si="1"/>
        <v>97281</v>
      </c>
    </row>
    <row r="27" spans="1:5" s="421" customFormat="1" x14ac:dyDescent="0.2">
      <c r="A27" s="588">
        <v>3</v>
      </c>
      <c r="B27" s="587" t="s">
        <v>780</v>
      </c>
      <c r="C27" s="589">
        <v>115542605</v>
      </c>
      <c r="D27" s="591">
        <v>135423585</v>
      </c>
      <c r="E27" s="590">
        <f t="shared" si="1"/>
        <v>19880980</v>
      </c>
    </row>
    <row r="28" spans="1:5" s="421" customFormat="1" x14ac:dyDescent="0.2">
      <c r="A28" s="588">
        <v>4</v>
      </c>
      <c r="B28" s="587" t="s">
        <v>115</v>
      </c>
      <c r="C28" s="589">
        <v>115542605</v>
      </c>
      <c r="D28" s="591">
        <v>135423585</v>
      </c>
      <c r="E28" s="590">
        <f t="shared" si="1"/>
        <v>19880980</v>
      </c>
    </row>
    <row r="29" spans="1:5" s="421" customFormat="1" x14ac:dyDescent="0.2">
      <c r="A29" s="588">
        <v>5</v>
      </c>
      <c r="B29" s="587" t="s">
        <v>746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1309026</v>
      </c>
      <c r="D30" s="591">
        <v>1798331</v>
      </c>
      <c r="E30" s="590">
        <f t="shared" si="1"/>
        <v>489305</v>
      </c>
    </row>
    <row r="31" spans="1:5" s="421" customFormat="1" x14ac:dyDescent="0.2">
      <c r="A31" s="588">
        <v>7</v>
      </c>
      <c r="B31" s="587" t="s">
        <v>761</v>
      </c>
      <c r="C31" s="590">
        <v>2696509</v>
      </c>
      <c r="D31" s="594">
        <v>2050876</v>
      </c>
      <c r="E31" s="590">
        <f t="shared" si="1"/>
        <v>-645633</v>
      </c>
    </row>
    <row r="32" spans="1:5" s="421" customFormat="1" x14ac:dyDescent="0.2">
      <c r="A32" s="588"/>
      <c r="B32" s="592" t="s">
        <v>783</v>
      </c>
      <c r="C32" s="593">
        <f>SUM(C26+C27+C30)</f>
        <v>117119079</v>
      </c>
      <c r="D32" s="593">
        <f>SUM(D26+D27+D30)</f>
        <v>137586645</v>
      </c>
      <c r="E32" s="593">
        <f t="shared" si="1"/>
        <v>20467566</v>
      </c>
    </row>
    <row r="33" spans="1:5" s="421" customFormat="1" x14ac:dyDescent="0.2">
      <c r="A33" s="588"/>
      <c r="B33" s="592" t="s">
        <v>467</v>
      </c>
      <c r="C33" s="593">
        <f>SUM(C25+C32)</f>
        <v>228576783</v>
      </c>
      <c r="D33" s="593">
        <f>SUM(D25+D32)</f>
        <v>261858160</v>
      </c>
      <c r="E33" s="593">
        <f t="shared" si="1"/>
        <v>33281377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656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784</v>
      </c>
      <c r="C36" s="590">
        <f t="shared" ref="C36:D42" si="2">C14+C25</f>
        <v>271599289</v>
      </c>
      <c r="D36" s="590">
        <f t="shared" si="2"/>
        <v>272351705</v>
      </c>
      <c r="E36" s="590">
        <f t="shared" ref="E36:E44" si="3">D36-C36</f>
        <v>752416</v>
      </c>
    </row>
    <row r="37" spans="1:5" s="421" customFormat="1" x14ac:dyDescent="0.2">
      <c r="A37" s="588">
        <v>2</v>
      </c>
      <c r="B37" s="587" t="s">
        <v>785</v>
      </c>
      <c r="C37" s="590">
        <f t="shared" si="2"/>
        <v>1043904</v>
      </c>
      <c r="D37" s="590">
        <f t="shared" si="2"/>
        <v>709261</v>
      </c>
      <c r="E37" s="590">
        <f t="shared" si="3"/>
        <v>-334643</v>
      </c>
    </row>
    <row r="38" spans="1:5" s="421" customFormat="1" x14ac:dyDescent="0.2">
      <c r="A38" s="588">
        <v>3</v>
      </c>
      <c r="B38" s="587" t="s">
        <v>786</v>
      </c>
      <c r="C38" s="590">
        <f t="shared" si="2"/>
        <v>296723068</v>
      </c>
      <c r="D38" s="590">
        <f t="shared" si="2"/>
        <v>320694355</v>
      </c>
      <c r="E38" s="590">
        <f t="shared" si="3"/>
        <v>23971287</v>
      </c>
    </row>
    <row r="39" spans="1:5" s="421" customFormat="1" x14ac:dyDescent="0.2">
      <c r="A39" s="588">
        <v>4</v>
      </c>
      <c r="B39" s="587" t="s">
        <v>787</v>
      </c>
      <c r="C39" s="590">
        <f t="shared" si="2"/>
        <v>296723068</v>
      </c>
      <c r="D39" s="590">
        <f t="shared" si="2"/>
        <v>320694355</v>
      </c>
      <c r="E39" s="590">
        <f t="shared" si="3"/>
        <v>23971287</v>
      </c>
    </row>
    <row r="40" spans="1:5" s="421" customFormat="1" x14ac:dyDescent="0.2">
      <c r="A40" s="588">
        <v>5</v>
      </c>
      <c r="B40" s="587" t="s">
        <v>788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789</v>
      </c>
      <c r="C41" s="590">
        <f t="shared" si="2"/>
        <v>5447178</v>
      </c>
      <c r="D41" s="590">
        <f t="shared" si="2"/>
        <v>2919925</v>
      </c>
      <c r="E41" s="590">
        <f t="shared" si="3"/>
        <v>-2527253</v>
      </c>
    </row>
    <row r="42" spans="1:5" s="421" customFormat="1" x14ac:dyDescent="0.2">
      <c r="A42" s="588">
        <v>7</v>
      </c>
      <c r="B42" s="587" t="s">
        <v>790</v>
      </c>
      <c r="C42" s="590">
        <f t="shared" si="2"/>
        <v>4374830</v>
      </c>
      <c r="D42" s="590">
        <f t="shared" si="2"/>
        <v>3487795</v>
      </c>
      <c r="E42" s="590">
        <f t="shared" si="3"/>
        <v>-887035</v>
      </c>
    </row>
    <row r="43" spans="1:5" s="421" customFormat="1" x14ac:dyDescent="0.2">
      <c r="A43" s="588"/>
      <c r="B43" s="592" t="s">
        <v>791</v>
      </c>
      <c r="C43" s="593">
        <f>SUM(C37+C38+C41)</f>
        <v>303214150</v>
      </c>
      <c r="D43" s="593">
        <f>SUM(D37+D38+D41)</f>
        <v>324323541</v>
      </c>
      <c r="E43" s="593">
        <f t="shared" si="3"/>
        <v>21109391</v>
      </c>
    </row>
    <row r="44" spans="1:5" s="421" customFormat="1" x14ac:dyDescent="0.2">
      <c r="A44" s="588"/>
      <c r="B44" s="592" t="s">
        <v>728</v>
      </c>
      <c r="C44" s="593">
        <f>SUM(C36+C43)</f>
        <v>574813439</v>
      </c>
      <c r="D44" s="593">
        <f>SUM(D36+D43)</f>
        <v>596675246</v>
      </c>
      <c r="E44" s="593">
        <f t="shared" si="3"/>
        <v>21861807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792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659</v>
      </c>
      <c r="C47" s="589">
        <v>95732931</v>
      </c>
      <c r="D47" s="589">
        <v>91539914</v>
      </c>
      <c r="E47" s="590">
        <f t="shared" ref="E47:E55" si="4">D47-C47</f>
        <v>-4193017</v>
      </c>
    </row>
    <row r="48" spans="1:5" s="421" customFormat="1" x14ac:dyDescent="0.2">
      <c r="A48" s="588">
        <v>2</v>
      </c>
      <c r="B48" s="587" t="s">
        <v>638</v>
      </c>
      <c r="C48" s="589">
        <v>2018068</v>
      </c>
      <c r="D48" s="591">
        <v>1402653</v>
      </c>
      <c r="E48" s="590">
        <f t="shared" si="4"/>
        <v>-615415</v>
      </c>
    </row>
    <row r="49" spans="1:5" s="421" customFormat="1" x14ac:dyDescent="0.2">
      <c r="A49" s="588">
        <v>3</v>
      </c>
      <c r="B49" s="587" t="s">
        <v>780</v>
      </c>
      <c r="C49" s="589">
        <v>52573260</v>
      </c>
      <c r="D49" s="591">
        <v>51354904</v>
      </c>
      <c r="E49" s="590">
        <f t="shared" si="4"/>
        <v>-1218356</v>
      </c>
    </row>
    <row r="50" spans="1:5" s="421" customFormat="1" x14ac:dyDescent="0.2">
      <c r="A50" s="588">
        <v>4</v>
      </c>
      <c r="B50" s="587" t="s">
        <v>115</v>
      </c>
      <c r="C50" s="589">
        <v>52573260</v>
      </c>
      <c r="D50" s="591">
        <v>51354904</v>
      </c>
      <c r="E50" s="590">
        <f t="shared" si="4"/>
        <v>-1218356</v>
      </c>
    </row>
    <row r="51" spans="1:5" s="421" customFormat="1" x14ac:dyDescent="0.2">
      <c r="A51" s="588">
        <v>5</v>
      </c>
      <c r="B51" s="587" t="s">
        <v>746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1721748</v>
      </c>
      <c r="D52" s="591">
        <v>383011</v>
      </c>
      <c r="E52" s="590">
        <f t="shared" si="4"/>
        <v>-1338737</v>
      </c>
    </row>
    <row r="53" spans="1:5" s="421" customFormat="1" x14ac:dyDescent="0.2">
      <c r="A53" s="588">
        <v>7</v>
      </c>
      <c r="B53" s="587" t="s">
        <v>761</v>
      </c>
      <c r="C53" s="589">
        <v>373932</v>
      </c>
      <c r="D53" s="591">
        <v>362139</v>
      </c>
      <c r="E53" s="590">
        <f t="shared" si="4"/>
        <v>-11793</v>
      </c>
    </row>
    <row r="54" spans="1:5" s="421" customFormat="1" x14ac:dyDescent="0.2">
      <c r="A54" s="588"/>
      <c r="B54" s="592" t="s">
        <v>793</v>
      </c>
      <c r="C54" s="593">
        <f>SUM(C48+C49+C52)</f>
        <v>56313076</v>
      </c>
      <c r="D54" s="593">
        <f>SUM(D48+D49+D52)</f>
        <v>53140568</v>
      </c>
      <c r="E54" s="593">
        <f t="shared" si="4"/>
        <v>-3172508</v>
      </c>
    </row>
    <row r="55" spans="1:5" s="421" customFormat="1" x14ac:dyDescent="0.2">
      <c r="A55" s="588"/>
      <c r="B55" s="592" t="s">
        <v>466</v>
      </c>
      <c r="C55" s="593">
        <f>SUM(C47+C54)</f>
        <v>152046007</v>
      </c>
      <c r="D55" s="593">
        <f>SUM(D47+D54)</f>
        <v>144680482</v>
      </c>
      <c r="E55" s="593">
        <f t="shared" si="4"/>
        <v>-7365525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794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659</v>
      </c>
      <c r="C58" s="589">
        <v>54490096</v>
      </c>
      <c r="D58" s="589">
        <v>64102390</v>
      </c>
      <c r="E58" s="590">
        <f t="shared" ref="E58:E66" si="5">D58-C58</f>
        <v>9612294</v>
      </c>
    </row>
    <row r="59" spans="1:5" s="421" customFormat="1" x14ac:dyDescent="0.2">
      <c r="A59" s="588">
        <v>2</v>
      </c>
      <c r="B59" s="587" t="s">
        <v>638</v>
      </c>
      <c r="C59" s="589">
        <v>773310</v>
      </c>
      <c r="D59" s="591">
        <v>1375898</v>
      </c>
      <c r="E59" s="590">
        <f t="shared" si="5"/>
        <v>602588</v>
      </c>
    </row>
    <row r="60" spans="1:5" s="421" customFormat="1" x14ac:dyDescent="0.2">
      <c r="A60" s="588">
        <v>3</v>
      </c>
      <c r="B60" s="587" t="s">
        <v>780</v>
      </c>
      <c r="C60" s="589">
        <f>C61+C62</f>
        <v>24040484</v>
      </c>
      <c r="D60" s="591">
        <f>D61+D62</f>
        <v>29766970</v>
      </c>
      <c r="E60" s="590">
        <f t="shared" si="5"/>
        <v>5726486</v>
      </c>
    </row>
    <row r="61" spans="1:5" s="421" customFormat="1" x14ac:dyDescent="0.2">
      <c r="A61" s="588">
        <v>4</v>
      </c>
      <c r="B61" s="587" t="s">
        <v>115</v>
      </c>
      <c r="C61" s="589">
        <v>24040484</v>
      </c>
      <c r="D61" s="591">
        <v>29766970</v>
      </c>
      <c r="E61" s="590">
        <f t="shared" si="5"/>
        <v>5726486</v>
      </c>
    </row>
    <row r="62" spans="1:5" s="421" customFormat="1" x14ac:dyDescent="0.2">
      <c r="A62" s="588">
        <v>5</v>
      </c>
      <c r="B62" s="587" t="s">
        <v>746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863957</v>
      </c>
      <c r="D63" s="591">
        <v>822388</v>
      </c>
      <c r="E63" s="590">
        <f t="shared" si="5"/>
        <v>-41569</v>
      </c>
    </row>
    <row r="64" spans="1:5" s="421" customFormat="1" x14ac:dyDescent="0.2">
      <c r="A64" s="588">
        <v>7</v>
      </c>
      <c r="B64" s="587" t="s">
        <v>761</v>
      </c>
      <c r="C64" s="589">
        <v>452476</v>
      </c>
      <c r="D64" s="591">
        <v>1095326</v>
      </c>
      <c r="E64" s="590">
        <f t="shared" si="5"/>
        <v>642850</v>
      </c>
    </row>
    <row r="65" spans="1:5" s="421" customFormat="1" x14ac:dyDescent="0.2">
      <c r="A65" s="588"/>
      <c r="B65" s="592" t="s">
        <v>795</v>
      </c>
      <c r="C65" s="593">
        <f>SUM(C59+C60+C63)</f>
        <v>25677751</v>
      </c>
      <c r="D65" s="593">
        <f>SUM(D59+D60+D63)</f>
        <v>31965256</v>
      </c>
      <c r="E65" s="593">
        <f t="shared" si="5"/>
        <v>6287505</v>
      </c>
    </row>
    <row r="66" spans="1:5" s="421" customFormat="1" x14ac:dyDescent="0.2">
      <c r="A66" s="588"/>
      <c r="B66" s="592" t="s">
        <v>468</v>
      </c>
      <c r="C66" s="593">
        <f>SUM(C58+C65)</f>
        <v>80167847</v>
      </c>
      <c r="D66" s="593">
        <f>SUM(D58+D65)</f>
        <v>96067646</v>
      </c>
      <c r="E66" s="593">
        <f t="shared" si="5"/>
        <v>15899799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657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784</v>
      </c>
      <c r="C69" s="590">
        <f t="shared" ref="C69:D75" si="6">C47+C58</f>
        <v>150223027</v>
      </c>
      <c r="D69" s="590">
        <f t="shared" si="6"/>
        <v>155642304</v>
      </c>
      <c r="E69" s="590">
        <f t="shared" ref="E69:E77" si="7">D69-C69</f>
        <v>5419277</v>
      </c>
    </row>
    <row r="70" spans="1:5" s="421" customFormat="1" x14ac:dyDescent="0.2">
      <c r="A70" s="588">
        <v>2</v>
      </c>
      <c r="B70" s="587" t="s">
        <v>785</v>
      </c>
      <c r="C70" s="590">
        <f t="shared" si="6"/>
        <v>2791378</v>
      </c>
      <c r="D70" s="590">
        <f t="shared" si="6"/>
        <v>2778551</v>
      </c>
      <c r="E70" s="590">
        <f t="shared" si="7"/>
        <v>-12827</v>
      </c>
    </row>
    <row r="71" spans="1:5" s="421" customFormat="1" x14ac:dyDescent="0.2">
      <c r="A71" s="588">
        <v>3</v>
      </c>
      <c r="B71" s="587" t="s">
        <v>786</v>
      </c>
      <c r="C71" s="590">
        <f t="shared" si="6"/>
        <v>76613744</v>
      </c>
      <c r="D71" s="590">
        <f t="shared" si="6"/>
        <v>81121874</v>
      </c>
      <c r="E71" s="590">
        <f t="shared" si="7"/>
        <v>4508130</v>
      </c>
    </row>
    <row r="72" spans="1:5" s="421" customFormat="1" x14ac:dyDescent="0.2">
      <c r="A72" s="588">
        <v>4</v>
      </c>
      <c r="B72" s="587" t="s">
        <v>787</v>
      </c>
      <c r="C72" s="590">
        <f t="shared" si="6"/>
        <v>76613744</v>
      </c>
      <c r="D72" s="590">
        <f t="shared" si="6"/>
        <v>81121874</v>
      </c>
      <c r="E72" s="590">
        <f t="shared" si="7"/>
        <v>4508130</v>
      </c>
    </row>
    <row r="73" spans="1:5" s="421" customFormat="1" x14ac:dyDescent="0.2">
      <c r="A73" s="588">
        <v>5</v>
      </c>
      <c r="B73" s="587" t="s">
        <v>788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789</v>
      </c>
      <c r="C74" s="590">
        <f t="shared" si="6"/>
        <v>2585705</v>
      </c>
      <c r="D74" s="590">
        <f t="shared" si="6"/>
        <v>1205399</v>
      </c>
      <c r="E74" s="590">
        <f t="shared" si="7"/>
        <v>-1380306</v>
      </c>
    </row>
    <row r="75" spans="1:5" s="421" customFormat="1" x14ac:dyDescent="0.2">
      <c r="A75" s="588">
        <v>7</v>
      </c>
      <c r="B75" s="587" t="s">
        <v>790</v>
      </c>
      <c r="C75" s="590">
        <f t="shared" si="6"/>
        <v>826408</v>
      </c>
      <c r="D75" s="590">
        <f t="shared" si="6"/>
        <v>1457465</v>
      </c>
      <c r="E75" s="590">
        <f t="shared" si="7"/>
        <v>631057</v>
      </c>
    </row>
    <row r="76" spans="1:5" s="421" customFormat="1" x14ac:dyDescent="0.2">
      <c r="A76" s="588"/>
      <c r="B76" s="592" t="s">
        <v>796</v>
      </c>
      <c r="C76" s="593">
        <f>SUM(C70+C71+C74)</f>
        <v>81990827</v>
      </c>
      <c r="D76" s="593">
        <f>SUM(D70+D71+D74)</f>
        <v>85105824</v>
      </c>
      <c r="E76" s="593">
        <f t="shared" si="7"/>
        <v>3114997</v>
      </c>
    </row>
    <row r="77" spans="1:5" s="421" customFormat="1" x14ac:dyDescent="0.2">
      <c r="A77" s="588"/>
      <c r="B77" s="592" t="s">
        <v>729</v>
      </c>
      <c r="C77" s="593">
        <f>SUM(C69+C76)</f>
        <v>232213854</v>
      </c>
      <c r="D77" s="593">
        <f>SUM(D69+D76)</f>
        <v>240748128</v>
      </c>
      <c r="E77" s="593">
        <f t="shared" si="7"/>
        <v>8534274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797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798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659</v>
      </c>
      <c r="C83" s="599">
        <f t="shared" ref="C83:D89" si="8">IF(C$44=0,0,C14/C$44)</f>
        <v>0.27859749639569581</v>
      </c>
      <c r="D83" s="599">
        <f t="shared" si="8"/>
        <v>0.24817552092650413</v>
      </c>
      <c r="E83" s="599">
        <f t="shared" ref="E83:E91" si="9">D83-C83</f>
        <v>-3.0421975469191676E-2</v>
      </c>
    </row>
    <row r="84" spans="1:5" s="421" customFormat="1" x14ac:dyDescent="0.2">
      <c r="A84" s="588">
        <v>2</v>
      </c>
      <c r="B84" s="587" t="s">
        <v>638</v>
      </c>
      <c r="C84" s="599">
        <f t="shared" si="8"/>
        <v>1.3507965320901274E-3</v>
      </c>
      <c r="D84" s="599">
        <f t="shared" si="8"/>
        <v>5.7741963037628678E-4</v>
      </c>
      <c r="E84" s="599">
        <f t="shared" si="9"/>
        <v>-7.7337690171384063E-4</v>
      </c>
    </row>
    <row r="85" spans="1:5" s="421" customFormat="1" x14ac:dyDescent="0.2">
      <c r="A85" s="588">
        <v>3</v>
      </c>
      <c r="B85" s="587" t="s">
        <v>780</v>
      </c>
      <c r="C85" s="599">
        <f t="shared" si="8"/>
        <v>0.31519872485096856</v>
      </c>
      <c r="D85" s="599">
        <f t="shared" si="8"/>
        <v>0.31050520570782986</v>
      </c>
      <c r="E85" s="599">
        <f t="shared" si="9"/>
        <v>-4.6935191431387024E-3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0.31519872485096856</v>
      </c>
      <c r="D86" s="599">
        <f t="shared" si="8"/>
        <v>0.31050520570782986</v>
      </c>
      <c r="E86" s="599">
        <f t="shared" si="9"/>
        <v>-4.6935191431387024E-3</v>
      </c>
    </row>
    <row r="87" spans="1:5" s="421" customFormat="1" x14ac:dyDescent="0.2">
      <c r="A87" s="588">
        <v>5</v>
      </c>
      <c r="B87" s="587" t="s">
        <v>746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7.1991218702177904E-3</v>
      </c>
      <c r="D88" s="599">
        <f t="shared" si="8"/>
        <v>1.8797394521039004E-3</v>
      </c>
      <c r="E88" s="599">
        <f t="shared" si="9"/>
        <v>-5.31938241811389E-3</v>
      </c>
    </row>
    <row r="89" spans="1:5" s="421" customFormat="1" x14ac:dyDescent="0.2">
      <c r="A89" s="588">
        <v>7</v>
      </c>
      <c r="B89" s="587" t="s">
        <v>761</v>
      </c>
      <c r="C89" s="599">
        <f t="shared" si="8"/>
        <v>2.9197664600879311E-3</v>
      </c>
      <c r="D89" s="599">
        <f t="shared" si="8"/>
        <v>2.4082095069853124E-3</v>
      </c>
      <c r="E89" s="599">
        <f t="shared" si="9"/>
        <v>-5.1155695310261878E-4</v>
      </c>
    </row>
    <row r="90" spans="1:5" s="421" customFormat="1" x14ac:dyDescent="0.2">
      <c r="A90" s="588"/>
      <c r="B90" s="592" t="s">
        <v>799</v>
      </c>
      <c r="C90" s="600">
        <f>SUM(C84+C85+C88)</f>
        <v>0.32374864325327651</v>
      </c>
      <c r="D90" s="600">
        <f>SUM(D84+D85+D88)</f>
        <v>0.31296236479031003</v>
      </c>
      <c r="E90" s="601">
        <f t="shared" si="9"/>
        <v>-1.0786278462966481E-2</v>
      </c>
    </row>
    <row r="91" spans="1:5" s="421" customFormat="1" x14ac:dyDescent="0.2">
      <c r="A91" s="588"/>
      <c r="B91" s="592" t="s">
        <v>800</v>
      </c>
      <c r="C91" s="600">
        <f>SUM(C83+C90)</f>
        <v>0.60234613964897232</v>
      </c>
      <c r="D91" s="600">
        <f>SUM(D83+D90)</f>
        <v>0.56113788571681411</v>
      </c>
      <c r="E91" s="601">
        <f t="shared" si="9"/>
        <v>-4.1208253932158212E-2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801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659</v>
      </c>
      <c r="C95" s="599">
        <f t="shared" ref="C95:D101" si="10">IF(C$44=0,0,C25/C$44)</f>
        <v>0.19390239760904407</v>
      </c>
      <c r="D95" s="599">
        <f t="shared" si="10"/>
        <v>0.20827328740901044</v>
      </c>
      <c r="E95" s="599">
        <f t="shared" ref="E95:E103" si="11">D95-C95</f>
        <v>1.4370889799966369E-2</v>
      </c>
    </row>
    <row r="96" spans="1:5" s="421" customFormat="1" x14ac:dyDescent="0.2">
      <c r="A96" s="588">
        <v>2</v>
      </c>
      <c r="B96" s="587" t="s">
        <v>638</v>
      </c>
      <c r="C96" s="599">
        <f t="shared" si="10"/>
        <v>4.6527791776280997E-4</v>
      </c>
      <c r="D96" s="599">
        <f t="shared" si="10"/>
        <v>6.1126886433629588E-4</v>
      </c>
      <c r="E96" s="599">
        <f t="shared" si="11"/>
        <v>1.4599094657348591E-4</v>
      </c>
    </row>
    <row r="97" spans="1:5" s="421" customFormat="1" x14ac:dyDescent="0.2">
      <c r="A97" s="588">
        <v>3</v>
      </c>
      <c r="B97" s="587" t="s">
        <v>780</v>
      </c>
      <c r="C97" s="599">
        <f t="shared" si="10"/>
        <v>0.201008878986909</v>
      </c>
      <c r="D97" s="599">
        <f t="shared" si="10"/>
        <v>0.226963638776461</v>
      </c>
      <c r="E97" s="599">
        <f t="shared" si="11"/>
        <v>2.5954759789552001E-2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0.201008878986909</v>
      </c>
      <c r="D98" s="599">
        <f t="shared" si="10"/>
        <v>0.226963638776461</v>
      </c>
      <c r="E98" s="599">
        <f t="shared" si="11"/>
        <v>2.5954759789552001E-2</v>
      </c>
    </row>
    <row r="99" spans="1:5" s="421" customFormat="1" x14ac:dyDescent="0.2">
      <c r="A99" s="588">
        <v>5</v>
      </c>
      <c r="B99" s="587" t="s">
        <v>746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2.2773058373118517E-3</v>
      </c>
      <c r="D100" s="599">
        <f t="shared" si="10"/>
        <v>3.0139192333780845E-3</v>
      </c>
      <c r="E100" s="599">
        <f t="shared" si="11"/>
        <v>7.3661339606623287E-4</v>
      </c>
    </row>
    <row r="101" spans="1:5" s="421" customFormat="1" x14ac:dyDescent="0.2">
      <c r="A101" s="588">
        <v>7</v>
      </c>
      <c r="B101" s="587" t="s">
        <v>761</v>
      </c>
      <c r="C101" s="599">
        <f t="shared" si="10"/>
        <v>4.6911029162628884E-3</v>
      </c>
      <c r="D101" s="599">
        <f t="shared" si="10"/>
        <v>3.4371729240465256E-3</v>
      </c>
      <c r="E101" s="599">
        <f t="shared" si="11"/>
        <v>-1.2539299922163629E-3</v>
      </c>
    </row>
    <row r="102" spans="1:5" s="421" customFormat="1" x14ac:dyDescent="0.2">
      <c r="A102" s="588"/>
      <c r="B102" s="592" t="s">
        <v>802</v>
      </c>
      <c r="C102" s="600">
        <f>SUM(C96+C97+C100)</f>
        <v>0.20375146274198364</v>
      </c>
      <c r="D102" s="600">
        <f>SUM(D96+D97+D100)</f>
        <v>0.23058882687417537</v>
      </c>
      <c r="E102" s="601">
        <f t="shared" si="11"/>
        <v>2.6837364132191732E-2</v>
      </c>
    </row>
    <row r="103" spans="1:5" s="421" customFormat="1" x14ac:dyDescent="0.2">
      <c r="A103" s="588"/>
      <c r="B103" s="592" t="s">
        <v>803</v>
      </c>
      <c r="C103" s="600">
        <f>SUM(C95+C102)</f>
        <v>0.39765386035102768</v>
      </c>
      <c r="D103" s="600">
        <f>SUM(D95+D102)</f>
        <v>0.43886211428318578</v>
      </c>
      <c r="E103" s="601">
        <f t="shared" si="11"/>
        <v>4.1208253932158101E-2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804</v>
      </c>
      <c r="C105" s="601">
        <f>C91+C103</f>
        <v>1</v>
      </c>
      <c r="D105" s="601">
        <f>D91+D103</f>
        <v>0.99999999999999989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805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659</v>
      </c>
      <c r="C109" s="599">
        <f t="shared" ref="C109:D115" si="12">IF(C$77=0,0,C47/C$77)</f>
        <v>0.41226192731808325</v>
      </c>
      <c r="D109" s="599">
        <f t="shared" si="12"/>
        <v>0.38023105209773428</v>
      </c>
      <c r="E109" s="599">
        <f t="shared" ref="E109:E117" si="13">D109-C109</f>
        <v>-3.2030875220348975E-2</v>
      </c>
    </row>
    <row r="110" spans="1:5" s="421" customFormat="1" x14ac:dyDescent="0.2">
      <c r="A110" s="588">
        <v>2</v>
      </c>
      <c r="B110" s="587" t="s">
        <v>638</v>
      </c>
      <c r="C110" s="599">
        <f t="shared" si="12"/>
        <v>8.6905581438737074E-3</v>
      </c>
      <c r="D110" s="599">
        <f t="shared" si="12"/>
        <v>5.8262259883491178E-3</v>
      </c>
      <c r="E110" s="599">
        <f t="shared" si="13"/>
        <v>-2.8643321555245896E-3</v>
      </c>
    </row>
    <row r="111" spans="1:5" s="421" customFormat="1" x14ac:dyDescent="0.2">
      <c r="A111" s="588">
        <v>3</v>
      </c>
      <c r="B111" s="587" t="s">
        <v>780</v>
      </c>
      <c r="C111" s="599">
        <f t="shared" si="12"/>
        <v>0.22640018713095386</v>
      </c>
      <c r="D111" s="599">
        <f t="shared" si="12"/>
        <v>0.21331382481196282</v>
      </c>
      <c r="E111" s="599">
        <f t="shared" si="13"/>
        <v>-1.3086362318991046E-2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0.22640018713095386</v>
      </c>
      <c r="D112" s="599">
        <f t="shared" si="12"/>
        <v>0.21331382481196282</v>
      </c>
      <c r="E112" s="599">
        <f t="shared" si="13"/>
        <v>-1.3086362318991046E-2</v>
      </c>
    </row>
    <row r="113" spans="1:5" s="421" customFormat="1" x14ac:dyDescent="0.2">
      <c r="A113" s="588">
        <v>5</v>
      </c>
      <c r="B113" s="587" t="s">
        <v>746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7.4144930215920713E-3</v>
      </c>
      <c r="D114" s="599">
        <f t="shared" si="12"/>
        <v>1.5909199509954238E-3</v>
      </c>
      <c r="E114" s="599">
        <f t="shared" si="13"/>
        <v>-5.8235730705966477E-3</v>
      </c>
    </row>
    <row r="115" spans="1:5" s="421" customFormat="1" x14ac:dyDescent="0.2">
      <c r="A115" s="588">
        <v>7</v>
      </c>
      <c r="B115" s="587" t="s">
        <v>761</v>
      </c>
      <c r="C115" s="599">
        <f t="shared" si="12"/>
        <v>1.6102915203328049E-3</v>
      </c>
      <c r="D115" s="599">
        <f t="shared" si="12"/>
        <v>1.5042235343985728E-3</v>
      </c>
      <c r="E115" s="599">
        <f t="shared" si="13"/>
        <v>-1.060679859342321E-4</v>
      </c>
    </row>
    <row r="116" spans="1:5" s="421" customFormat="1" x14ac:dyDescent="0.2">
      <c r="A116" s="588"/>
      <c r="B116" s="592" t="s">
        <v>799</v>
      </c>
      <c r="C116" s="600">
        <f>SUM(C110+C111+C114)</f>
        <v>0.24250523829641965</v>
      </c>
      <c r="D116" s="600">
        <f>SUM(D110+D111+D114)</f>
        <v>0.22073097075130735</v>
      </c>
      <c r="E116" s="601">
        <f t="shared" si="13"/>
        <v>-2.1774267545112302E-2</v>
      </c>
    </row>
    <row r="117" spans="1:5" s="421" customFormat="1" x14ac:dyDescent="0.2">
      <c r="A117" s="588"/>
      <c r="B117" s="592" t="s">
        <v>800</v>
      </c>
      <c r="C117" s="600">
        <f>SUM(C109+C116)</f>
        <v>0.65476716561450288</v>
      </c>
      <c r="D117" s="600">
        <f>SUM(D109+D116)</f>
        <v>0.60096202284904165</v>
      </c>
      <c r="E117" s="601">
        <f t="shared" si="13"/>
        <v>-5.3805142765461222E-2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806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659</v>
      </c>
      <c r="C121" s="599">
        <f t="shared" ref="C121:D127" si="14">IF(C$77=0,0,C58/C$77)</f>
        <v>0.23465480229271765</v>
      </c>
      <c r="D121" s="599">
        <f t="shared" si="14"/>
        <v>0.26626329572124441</v>
      </c>
      <c r="E121" s="599">
        <f t="shared" ref="E121:E129" si="15">D121-C121</f>
        <v>3.1608493428526757E-2</v>
      </c>
    </row>
    <row r="122" spans="1:5" s="421" customFormat="1" x14ac:dyDescent="0.2">
      <c r="A122" s="588">
        <v>2</v>
      </c>
      <c r="B122" s="587" t="s">
        <v>638</v>
      </c>
      <c r="C122" s="599">
        <f t="shared" si="14"/>
        <v>3.3301630659814123E-3</v>
      </c>
      <c r="D122" s="599">
        <f t="shared" si="14"/>
        <v>5.7150932446710448E-3</v>
      </c>
      <c r="E122" s="599">
        <f t="shared" si="15"/>
        <v>2.3849301786896325E-3</v>
      </c>
    </row>
    <row r="123" spans="1:5" s="421" customFormat="1" x14ac:dyDescent="0.2">
      <c r="A123" s="588">
        <v>3</v>
      </c>
      <c r="B123" s="587" t="s">
        <v>780</v>
      </c>
      <c r="C123" s="599">
        <f t="shared" si="14"/>
        <v>0.10352734596102091</v>
      </c>
      <c r="D123" s="599">
        <f t="shared" si="14"/>
        <v>0.12364361977510371</v>
      </c>
      <c r="E123" s="599">
        <f t="shared" si="15"/>
        <v>2.0116273814082805E-2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0.10352734596102091</v>
      </c>
      <c r="D124" s="599">
        <f t="shared" si="14"/>
        <v>0.12364361977510371</v>
      </c>
      <c r="E124" s="599">
        <f t="shared" si="15"/>
        <v>2.0116273814082805E-2</v>
      </c>
    </row>
    <row r="125" spans="1:5" s="421" customFormat="1" x14ac:dyDescent="0.2">
      <c r="A125" s="588">
        <v>5</v>
      </c>
      <c r="B125" s="587" t="s">
        <v>746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3.7205230657771176E-3</v>
      </c>
      <c r="D126" s="599">
        <f t="shared" si="14"/>
        <v>3.4159684099392042E-3</v>
      </c>
      <c r="E126" s="599">
        <f t="shared" si="15"/>
        <v>-3.0455465583791334E-4</v>
      </c>
    </row>
    <row r="127" spans="1:5" s="421" customFormat="1" x14ac:dyDescent="0.2">
      <c r="A127" s="588">
        <v>7</v>
      </c>
      <c r="B127" s="587" t="s">
        <v>761</v>
      </c>
      <c r="C127" s="599">
        <f t="shared" si="14"/>
        <v>1.9485314601427699E-3</v>
      </c>
      <c r="D127" s="599">
        <f t="shared" si="14"/>
        <v>4.5496760830472582E-3</v>
      </c>
      <c r="E127" s="599">
        <f t="shared" si="15"/>
        <v>2.6011446229044881E-3</v>
      </c>
    </row>
    <row r="128" spans="1:5" s="421" customFormat="1" x14ac:dyDescent="0.2">
      <c r="A128" s="588"/>
      <c r="B128" s="592" t="s">
        <v>802</v>
      </c>
      <c r="C128" s="600">
        <f>SUM(C122+C123+C126)</f>
        <v>0.11057803209277944</v>
      </c>
      <c r="D128" s="600">
        <f>SUM(D122+D123+D126)</f>
        <v>0.13277468142971396</v>
      </c>
      <c r="E128" s="601">
        <f t="shared" si="15"/>
        <v>2.2196649336934521E-2</v>
      </c>
    </row>
    <row r="129" spans="1:5" s="421" customFormat="1" x14ac:dyDescent="0.2">
      <c r="A129" s="588"/>
      <c r="B129" s="592" t="s">
        <v>803</v>
      </c>
      <c r="C129" s="600">
        <f>SUM(C121+C128)</f>
        <v>0.34523283438549712</v>
      </c>
      <c r="D129" s="600">
        <f>SUM(D121+D128)</f>
        <v>0.39903797715095835</v>
      </c>
      <c r="E129" s="601">
        <f t="shared" si="15"/>
        <v>5.3805142765461222E-2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807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808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809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659</v>
      </c>
      <c r="C137" s="606">
        <v>2975</v>
      </c>
      <c r="D137" s="606">
        <v>2598</v>
      </c>
      <c r="E137" s="607">
        <f t="shared" ref="E137:E145" si="16">D137-C137</f>
        <v>-377</v>
      </c>
    </row>
    <row r="138" spans="1:5" s="421" customFormat="1" x14ac:dyDescent="0.2">
      <c r="A138" s="588">
        <v>2</v>
      </c>
      <c r="B138" s="587" t="s">
        <v>638</v>
      </c>
      <c r="C138" s="606">
        <v>20</v>
      </c>
      <c r="D138" s="606">
        <v>9</v>
      </c>
      <c r="E138" s="607">
        <f t="shared" si="16"/>
        <v>-11</v>
      </c>
    </row>
    <row r="139" spans="1:5" s="421" customFormat="1" x14ac:dyDescent="0.2">
      <c r="A139" s="588">
        <v>3</v>
      </c>
      <c r="B139" s="587" t="s">
        <v>780</v>
      </c>
      <c r="C139" s="606">
        <f>C140+C141</f>
        <v>3357</v>
      </c>
      <c r="D139" s="606">
        <f>D140+D141</f>
        <v>3153</v>
      </c>
      <c r="E139" s="607">
        <f t="shared" si="16"/>
        <v>-204</v>
      </c>
    </row>
    <row r="140" spans="1:5" s="421" customFormat="1" x14ac:dyDescent="0.2">
      <c r="A140" s="588">
        <v>4</v>
      </c>
      <c r="B140" s="587" t="s">
        <v>115</v>
      </c>
      <c r="C140" s="606">
        <v>3357</v>
      </c>
      <c r="D140" s="606">
        <v>3153</v>
      </c>
      <c r="E140" s="607">
        <f t="shared" si="16"/>
        <v>-204</v>
      </c>
    </row>
    <row r="141" spans="1:5" s="421" customFormat="1" x14ac:dyDescent="0.2">
      <c r="A141" s="588">
        <v>5</v>
      </c>
      <c r="B141" s="587" t="s">
        <v>746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70</v>
      </c>
      <c r="D142" s="606">
        <v>43</v>
      </c>
      <c r="E142" s="607">
        <f t="shared" si="16"/>
        <v>-27</v>
      </c>
    </row>
    <row r="143" spans="1:5" s="421" customFormat="1" x14ac:dyDescent="0.2">
      <c r="A143" s="588">
        <v>7</v>
      </c>
      <c r="B143" s="587" t="s">
        <v>761</v>
      </c>
      <c r="C143" s="606">
        <v>47</v>
      </c>
      <c r="D143" s="606">
        <v>34</v>
      </c>
      <c r="E143" s="607">
        <f t="shared" si="16"/>
        <v>-13</v>
      </c>
    </row>
    <row r="144" spans="1:5" s="421" customFormat="1" x14ac:dyDescent="0.2">
      <c r="A144" s="588"/>
      <c r="B144" s="592" t="s">
        <v>810</v>
      </c>
      <c r="C144" s="608">
        <f>SUM(C138+C139+C142)</f>
        <v>3447</v>
      </c>
      <c r="D144" s="608">
        <f>SUM(D138+D139+D142)</f>
        <v>3205</v>
      </c>
      <c r="E144" s="609">
        <f t="shared" si="16"/>
        <v>-242</v>
      </c>
    </row>
    <row r="145" spans="1:5" s="421" customFormat="1" x14ac:dyDescent="0.2">
      <c r="A145" s="588"/>
      <c r="B145" s="592" t="s">
        <v>138</v>
      </c>
      <c r="C145" s="608">
        <f>SUM(C137+C144)</f>
        <v>6422</v>
      </c>
      <c r="D145" s="608">
        <f>SUM(D137+D144)</f>
        <v>5803</v>
      </c>
      <c r="E145" s="609">
        <f t="shared" si="16"/>
        <v>-619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659</v>
      </c>
      <c r="C149" s="610">
        <v>21223</v>
      </c>
      <c r="D149" s="610">
        <v>18528</v>
      </c>
      <c r="E149" s="607">
        <f t="shared" ref="E149:E157" si="17">D149-C149</f>
        <v>-2695</v>
      </c>
    </row>
    <row r="150" spans="1:5" s="421" customFormat="1" x14ac:dyDescent="0.2">
      <c r="A150" s="588">
        <v>2</v>
      </c>
      <c r="B150" s="587" t="s">
        <v>638</v>
      </c>
      <c r="C150" s="610">
        <v>83</v>
      </c>
      <c r="D150" s="610">
        <v>46</v>
      </c>
      <c r="E150" s="607">
        <f t="shared" si="17"/>
        <v>-37</v>
      </c>
    </row>
    <row r="151" spans="1:5" s="421" customFormat="1" x14ac:dyDescent="0.2">
      <c r="A151" s="588">
        <v>3</v>
      </c>
      <c r="B151" s="587" t="s">
        <v>780</v>
      </c>
      <c r="C151" s="610">
        <f>C152+C153</f>
        <v>24204</v>
      </c>
      <c r="D151" s="610">
        <f>D152+D153</f>
        <v>23813</v>
      </c>
      <c r="E151" s="607">
        <f t="shared" si="17"/>
        <v>-391</v>
      </c>
    </row>
    <row r="152" spans="1:5" s="421" customFormat="1" x14ac:dyDescent="0.2">
      <c r="A152" s="588">
        <v>4</v>
      </c>
      <c r="B152" s="587" t="s">
        <v>115</v>
      </c>
      <c r="C152" s="610">
        <v>24204</v>
      </c>
      <c r="D152" s="610">
        <v>23813</v>
      </c>
      <c r="E152" s="607">
        <f t="shared" si="17"/>
        <v>-391</v>
      </c>
    </row>
    <row r="153" spans="1:5" s="421" customFormat="1" x14ac:dyDescent="0.2">
      <c r="A153" s="588">
        <v>5</v>
      </c>
      <c r="B153" s="587" t="s">
        <v>746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597</v>
      </c>
      <c r="D154" s="610">
        <v>137</v>
      </c>
      <c r="E154" s="607">
        <f t="shared" si="17"/>
        <v>-460</v>
      </c>
    </row>
    <row r="155" spans="1:5" s="421" customFormat="1" x14ac:dyDescent="0.2">
      <c r="A155" s="588">
        <v>7</v>
      </c>
      <c r="B155" s="587" t="s">
        <v>761</v>
      </c>
      <c r="C155" s="610">
        <v>189</v>
      </c>
      <c r="D155" s="610">
        <v>177</v>
      </c>
      <c r="E155" s="607">
        <f t="shared" si="17"/>
        <v>-12</v>
      </c>
    </row>
    <row r="156" spans="1:5" s="421" customFormat="1" x14ac:dyDescent="0.2">
      <c r="A156" s="588"/>
      <c r="B156" s="592" t="s">
        <v>811</v>
      </c>
      <c r="C156" s="608">
        <f>SUM(C150+C151+C154)</f>
        <v>24884</v>
      </c>
      <c r="D156" s="608">
        <f>SUM(D150+D151+D154)</f>
        <v>23996</v>
      </c>
      <c r="E156" s="609">
        <f t="shared" si="17"/>
        <v>-888</v>
      </c>
    </row>
    <row r="157" spans="1:5" s="421" customFormat="1" x14ac:dyDescent="0.2">
      <c r="A157" s="588"/>
      <c r="B157" s="592" t="s">
        <v>140</v>
      </c>
      <c r="C157" s="608">
        <f>SUM(C149+C156)</f>
        <v>46107</v>
      </c>
      <c r="D157" s="608">
        <f>SUM(D149+D156)</f>
        <v>42524</v>
      </c>
      <c r="E157" s="609">
        <f t="shared" si="17"/>
        <v>-3583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812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659</v>
      </c>
      <c r="C161" s="612">
        <f t="shared" ref="C161:D169" si="18">IF(C137=0,0,C149/C137)</f>
        <v>7.1337815126050419</v>
      </c>
      <c r="D161" s="612">
        <f t="shared" si="18"/>
        <v>7.1316397228637411</v>
      </c>
      <c r="E161" s="613">
        <f t="shared" ref="E161:E169" si="19">D161-C161</f>
        <v>-2.1417897413007481E-3</v>
      </c>
    </row>
    <row r="162" spans="1:5" s="421" customFormat="1" x14ac:dyDescent="0.2">
      <c r="A162" s="588">
        <v>2</v>
      </c>
      <c r="B162" s="587" t="s">
        <v>638</v>
      </c>
      <c r="C162" s="612">
        <f t="shared" si="18"/>
        <v>4.1500000000000004</v>
      </c>
      <c r="D162" s="612">
        <f t="shared" si="18"/>
        <v>5.1111111111111107</v>
      </c>
      <c r="E162" s="613">
        <f t="shared" si="19"/>
        <v>0.96111111111111036</v>
      </c>
    </row>
    <row r="163" spans="1:5" s="421" customFormat="1" x14ac:dyDescent="0.2">
      <c r="A163" s="588">
        <v>3</v>
      </c>
      <c r="B163" s="587" t="s">
        <v>780</v>
      </c>
      <c r="C163" s="612">
        <f t="shared" si="18"/>
        <v>7.2100089365504916</v>
      </c>
      <c r="D163" s="612">
        <f t="shared" si="18"/>
        <v>7.5524896923564855</v>
      </c>
      <c r="E163" s="613">
        <f t="shared" si="19"/>
        <v>0.34248075580599391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7.2100089365504916</v>
      </c>
      <c r="D164" s="612">
        <f t="shared" si="18"/>
        <v>7.5524896923564855</v>
      </c>
      <c r="E164" s="613">
        <f t="shared" si="19"/>
        <v>0.34248075580599391</v>
      </c>
    </row>
    <row r="165" spans="1:5" s="421" customFormat="1" x14ac:dyDescent="0.2">
      <c r="A165" s="588">
        <v>5</v>
      </c>
      <c r="B165" s="587" t="s">
        <v>746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8.5285714285714285</v>
      </c>
      <c r="D166" s="612">
        <f t="shared" si="18"/>
        <v>3.1860465116279069</v>
      </c>
      <c r="E166" s="613">
        <f t="shared" si="19"/>
        <v>-5.3425249169435212</v>
      </c>
    </row>
    <row r="167" spans="1:5" s="421" customFormat="1" x14ac:dyDescent="0.2">
      <c r="A167" s="588">
        <v>7</v>
      </c>
      <c r="B167" s="587" t="s">
        <v>761</v>
      </c>
      <c r="C167" s="612">
        <f t="shared" si="18"/>
        <v>4.0212765957446805</v>
      </c>
      <c r="D167" s="612">
        <f t="shared" si="18"/>
        <v>5.2058823529411766</v>
      </c>
      <c r="E167" s="613">
        <f t="shared" si="19"/>
        <v>1.1846057571964961</v>
      </c>
    </row>
    <row r="168" spans="1:5" s="421" customFormat="1" x14ac:dyDescent="0.2">
      <c r="A168" s="588"/>
      <c r="B168" s="592" t="s">
        <v>813</v>
      </c>
      <c r="C168" s="614">
        <f t="shared" si="18"/>
        <v>7.2190310414853496</v>
      </c>
      <c r="D168" s="614">
        <f t="shared" si="18"/>
        <v>7.4870514820592824</v>
      </c>
      <c r="E168" s="615">
        <f t="shared" si="19"/>
        <v>0.26802044057393282</v>
      </c>
    </row>
    <row r="169" spans="1:5" s="421" customFormat="1" x14ac:dyDescent="0.2">
      <c r="A169" s="588"/>
      <c r="B169" s="592" t="s">
        <v>747</v>
      </c>
      <c r="C169" s="614">
        <f t="shared" si="18"/>
        <v>7.1795390843973843</v>
      </c>
      <c r="D169" s="614">
        <f t="shared" si="18"/>
        <v>7.3279338273306909</v>
      </c>
      <c r="E169" s="615">
        <f t="shared" si="19"/>
        <v>0.14839474293330657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814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659</v>
      </c>
      <c r="C173" s="617">
        <f t="shared" ref="C173:D181" si="20">IF(C137=0,0,C203/C137)</f>
        <v>1.6778</v>
      </c>
      <c r="D173" s="617">
        <f t="shared" si="20"/>
        <v>1.8827</v>
      </c>
      <c r="E173" s="618">
        <f t="shared" ref="E173:E181" si="21">D173-C173</f>
        <v>0.20490000000000008</v>
      </c>
    </row>
    <row r="174" spans="1:5" s="421" customFormat="1" x14ac:dyDescent="0.2">
      <c r="A174" s="588">
        <v>2</v>
      </c>
      <c r="B174" s="587" t="s">
        <v>638</v>
      </c>
      <c r="C174" s="617">
        <f t="shared" si="20"/>
        <v>1.7544999999999997</v>
      </c>
      <c r="D174" s="617">
        <f t="shared" si="20"/>
        <v>1.038</v>
      </c>
      <c r="E174" s="618">
        <f t="shared" si="21"/>
        <v>-0.71649999999999969</v>
      </c>
    </row>
    <row r="175" spans="1:5" s="421" customFormat="1" x14ac:dyDescent="0.2">
      <c r="A175" s="588">
        <v>3</v>
      </c>
      <c r="B175" s="587" t="s">
        <v>780</v>
      </c>
      <c r="C175" s="617">
        <f t="shared" si="20"/>
        <v>1.5775999999999997</v>
      </c>
      <c r="D175" s="617">
        <f t="shared" si="20"/>
        <v>1.7053</v>
      </c>
      <c r="E175" s="618">
        <f t="shared" si="21"/>
        <v>0.12770000000000037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1.5775999999999997</v>
      </c>
      <c r="D176" s="617">
        <f t="shared" si="20"/>
        <v>1.7053</v>
      </c>
      <c r="E176" s="618">
        <f t="shared" si="21"/>
        <v>0.12770000000000037</v>
      </c>
    </row>
    <row r="177" spans="1:5" s="421" customFormat="1" x14ac:dyDescent="0.2">
      <c r="A177" s="588">
        <v>5</v>
      </c>
      <c r="B177" s="587" t="s">
        <v>746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1.4213</v>
      </c>
      <c r="D178" s="617">
        <f t="shared" si="20"/>
        <v>1.1034999999999999</v>
      </c>
      <c r="E178" s="618">
        <f t="shared" si="21"/>
        <v>-0.31780000000000008</v>
      </c>
    </row>
    <row r="179" spans="1:5" s="421" customFormat="1" x14ac:dyDescent="0.2">
      <c r="A179" s="588">
        <v>7</v>
      </c>
      <c r="B179" s="587" t="s">
        <v>761</v>
      </c>
      <c r="C179" s="617">
        <f t="shared" si="20"/>
        <v>1.2221</v>
      </c>
      <c r="D179" s="617">
        <f t="shared" si="20"/>
        <v>1.0401</v>
      </c>
      <c r="E179" s="618">
        <f t="shared" si="21"/>
        <v>-0.18199999999999994</v>
      </c>
    </row>
    <row r="180" spans="1:5" s="421" customFormat="1" x14ac:dyDescent="0.2">
      <c r="A180" s="588"/>
      <c r="B180" s="592" t="s">
        <v>815</v>
      </c>
      <c r="C180" s="619">
        <f t="shared" si="20"/>
        <v>1.5754523353640846</v>
      </c>
      <c r="D180" s="619">
        <f t="shared" si="20"/>
        <v>1.6953520748829953</v>
      </c>
      <c r="E180" s="620">
        <f t="shared" si="21"/>
        <v>0.11989973951891075</v>
      </c>
    </row>
    <row r="181" spans="1:5" s="421" customFormat="1" x14ac:dyDescent="0.2">
      <c r="A181" s="588"/>
      <c r="B181" s="592" t="s">
        <v>726</v>
      </c>
      <c r="C181" s="619">
        <f t="shared" si="20"/>
        <v>1.6228650264715041</v>
      </c>
      <c r="D181" s="619">
        <f t="shared" si="20"/>
        <v>1.7792276408754093</v>
      </c>
      <c r="E181" s="620">
        <f t="shared" si="21"/>
        <v>0.1563626144039052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816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817</v>
      </c>
      <c r="C185" s="589">
        <v>267224459</v>
      </c>
      <c r="D185" s="589">
        <v>272351705</v>
      </c>
      <c r="E185" s="590">
        <f>D185-C185</f>
        <v>5127246</v>
      </c>
    </row>
    <row r="186" spans="1:5" s="421" customFormat="1" ht="25.5" x14ac:dyDescent="0.2">
      <c r="A186" s="588">
        <v>2</v>
      </c>
      <c r="B186" s="587" t="s">
        <v>818</v>
      </c>
      <c r="C186" s="589">
        <v>150463835</v>
      </c>
      <c r="D186" s="589">
        <v>155642304</v>
      </c>
      <c r="E186" s="590">
        <f>D186-C186</f>
        <v>5178469</v>
      </c>
    </row>
    <row r="187" spans="1:5" s="421" customFormat="1" x14ac:dyDescent="0.2">
      <c r="A187" s="588"/>
      <c r="B187" s="587" t="s">
        <v>671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750</v>
      </c>
      <c r="C188" s="622">
        <f>+C185-C186</f>
        <v>116760624</v>
      </c>
      <c r="D188" s="622">
        <f>+D185-D186</f>
        <v>116709401</v>
      </c>
      <c r="E188" s="590">
        <f t="shared" ref="E188:E197" si="22">D188-C188</f>
        <v>-51223</v>
      </c>
    </row>
    <row r="189" spans="1:5" s="421" customFormat="1" x14ac:dyDescent="0.2">
      <c r="A189" s="588">
        <v>4</v>
      </c>
      <c r="B189" s="587" t="s">
        <v>673</v>
      </c>
      <c r="C189" s="623">
        <f>IF(C185=0,0,+C188/C185)</f>
        <v>0.43693838669161644</v>
      </c>
      <c r="D189" s="623">
        <f>IF(D185=0,0,+D188/D185)</f>
        <v>0.42852458368123675</v>
      </c>
      <c r="E189" s="599">
        <f t="shared" si="22"/>
        <v>-8.4138030103796946E-3</v>
      </c>
    </row>
    <row r="190" spans="1:5" s="421" customFormat="1" x14ac:dyDescent="0.2">
      <c r="A190" s="588">
        <v>5</v>
      </c>
      <c r="B190" s="587" t="s">
        <v>765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751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819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820</v>
      </c>
      <c r="C193" s="589">
        <v>1431441</v>
      </c>
      <c r="D193" s="589">
        <v>1302183</v>
      </c>
      <c r="E193" s="622">
        <f t="shared" si="22"/>
        <v>-129258</v>
      </c>
    </row>
    <row r="194" spans="1:5" s="421" customFormat="1" x14ac:dyDescent="0.2">
      <c r="A194" s="588">
        <v>9</v>
      </c>
      <c r="B194" s="587" t="s">
        <v>821</v>
      </c>
      <c r="C194" s="589">
        <v>4545394</v>
      </c>
      <c r="D194" s="589">
        <v>3419884</v>
      </c>
      <c r="E194" s="622">
        <f t="shared" si="22"/>
        <v>-1125510</v>
      </c>
    </row>
    <row r="195" spans="1:5" s="421" customFormat="1" x14ac:dyDescent="0.2">
      <c r="A195" s="588">
        <v>10</v>
      </c>
      <c r="B195" s="587" t="s">
        <v>822</v>
      </c>
      <c r="C195" s="589">
        <f>+C193+C194</f>
        <v>5976835</v>
      </c>
      <c r="D195" s="589">
        <f>+D193+D194</f>
        <v>4722067</v>
      </c>
      <c r="E195" s="625">
        <f t="shared" si="22"/>
        <v>-1254768</v>
      </c>
    </row>
    <row r="196" spans="1:5" s="421" customFormat="1" x14ac:dyDescent="0.2">
      <c r="A196" s="588">
        <v>11</v>
      </c>
      <c r="B196" s="587" t="s">
        <v>823</v>
      </c>
      <c r="C196" s="589">
        <v>28586425</v>
      </c>
      <c r="D196" s="589">
        <v>31932692</v>
      </c>
      <c r="E196" s="622">
        <f t="shared" si="22"/>
        <v>3346267</v>
      </c>
    </row>
    <row r="197" spans="1:5" s="421" customFormat="1" x14ac:dyDescent="0.2">
      <c r="A197" s="588">
        <v>12</v>
      </c>
      <c r="B197" s="587" t="s">
        <v>713</v>
      </c>
      <c r="C197" s="589">
        <v>267793841</v>
      </c>
      <c r="D197" s="589">
        <v>280099480</v>
      </c>
      <c r="E197" s="622">
        <f t="shared" si="22"/>
        <v>12305639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824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825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659</v>
      </c>
      <c r="C203" s="629">
        <v>4991.4549999999999</v>
      </c>
      <c r="D203" s="629">
        <v>4891.2546000000002</v>
      </c>
      <c r="E203" s="630">
        <f t="shared" ref="E203:E211" si="23">D203-C203</f>
        <v>-100.20039999999972</v>
      </c>
    </row>
    <row r="204" spans="1:5" s="421" customFormat="1" x14ac:dyDescent="0.2">
      <c r="A204" s="588">
        <v>2</v>
      </c>
      <c r="B204" s="587" t="s">
        <v>638</v>
      </c>
      <c r="C204" s="629">
        <v>35.089999999999996</v>
      </c>
      <c r="D204" s="629">
        <v>9.3420000000000005</v>
      </c>
      <c r="E204" s="630">
        <f t="shared" si="23"/>
        <v>-25.747999999999998</v>
      </c>
    </row>
    <row r="205" spans="1:5" s="421" customFormat="1" x14ac:dyDescent="0.2">
      <c r="A205" s="588">
        <v>3</v>
      </c>
      <c r="B205" s="587" t="s">
        <v>780</v>
      </c>
      <c r="C205" s="629">
        <f>C206+C207</f>
        <v>5296.0031999999992</v>
      </c>
      <c r="D205" s="629">
        <f>D206+D207</f>
        <v>5376.8109000000004</v>
      </c>
      <c r="E205" s="630">
        <f t="shared" si="23"/>
        <v>80.807700000001205</v>
      </c>
    </row>
    <row r="206" spans="1:5" s="421" customFormat="1" x14ac:dyDescent="0.2">
      <c r="A206" s="588">
        <v>4</v>
      </c>
      <c r="B206" s="587" t="s">
        <v>115</v>
      </c>
      <c r="C206" s="629">
        <v>5296.0031999999992</v>
      </c>
      <c r="D206" s="629">
        <v>5376.8109000000004</v>
      </c>
      <c r="E206" s="630">
        <f t="shared" si="23"/>
        <v>80.807700000001205</v>
      </c>
    </row>
    <row r="207" spans="1:5" s="421" customFormat="1" x14ac:dyDescent="0.2">
      <c r="A207" s="588">
        <v>5</v>
      </c>
      <c r="B207" s="587" t="s">
        <v>746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99.491</v>
      </c>
      <c r="D208" s="629">
        <v>47.450499999999998</v>
      </c>
      <c r="E208" s="630">
        <f t="shared" si="23"/>
        <v>-52.040500000000002</v>
      </c>
    </row>
    <row r="209" spans="1:5" s="421" customFormat="1" x14ac:dyDescent="0.2">
      <c r="A209" s="588">
        <v>7</v>
      </c>
      <c r="B209" s="587" t="s">
        <v>761</v>
      </c>
      <c r="C209" s="629">
        <v>57.438699999999997</v>
      </c>
      <c r="D209" s="629">
        <v>35.363399999999999</v>
      </c>
      <c r="E209" s="630">
        <f t="shared" si="23"/>
        <v>-22.075299999999999</v>
      </c>
    </row>
    <row r="210" spans="1:5" s="421" customFormat="1" x14ac:dyDescent="0.2">
      <c r="A210" s="588"/>
      <c r="B210" s="592" t="s">
        <v>826</v>
      </c>
      <c r="C210" s="631">
        <f>C204+C205+C208</f>
        <v>5430.5841999999993</v>
      </c>
      <c r="D210" s="631">
        <f>D204+D205+D208</f>
        <v>5433.6034</v>
      </c>
      <c r="E210" s="632">
        <f t="shared" si="23"/>
        <v>3.0192000000006374</v>
      </c>
    </row>
    <row r="211" spans="1:5" s="421" customFormat="1" x14ac:dyDescent="0.2">
      <c r="A211" s="588"/>
      <c r="B211" s="592" t="s">
        <v>727</v>
      </c>
      <c r="C211" s="631">
        <f>C210+C203</f>
        <v>10422.039199999999</v>
      </c>
      <c r="D211" s="631">
        <f>D210+D203</f>
        <v>10324.858</v>
      </c>
      <c r="E211" s="632">
        <f t="shared" si="23"/>
        <v>-97.18119999999908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827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659</v>
      </c>
      <c r="C215" s="633">
        <f>IF(C14*C137=0,0,C25/C14*C137)</f>
        <v>2070.584410663851</v>
      </c>
      <c r="D215" s="633">
        <f>IF(D14*D137=0,0,D25/D14*D137)</f>
        <v>2180.2875588557795</v>
      </c>
      <c r="E215" s="633">
        <f t="shared" ref="E215:E223" si="24">D215-C215</f>
        <v>109.70314819192845</v>
      </c>
    </row>
    <row r="216" spans="1:5" s="421" customFormat="1" x14ac:dyDescent="0.2">
      <c r="A216" s="588">
        <v>2</v>
      </c>
      <c r="B216" s="587" t="s">
        <v>638</v>
      </c>
      <c r="C216" s="633">
        <f>IF(C15*C138=0,0,C26/C15*C138)</f>
        <v>6.8889415498109363</v>
      </c>
      <c r="D216" s="633">
        <f>IF(D15*D138=0,0,D26/D15*D138)</f>
        <v>9.5275939535369716</v>
      </c>
      <c r="E216" s="633">
        <f t="shared" si="24"/>
        <v>2.6386524037260353</v>
      </c>
    </row>
    <row r="217" spans="1:5" s="421" customFormat="1" x14ac:dyDescent="0.2">
      <c r="A217" s="588">
        <v>3</v>
      </c>
      <c r="B217" s="587" t="s">
        <v>780</v>
      </c>
      <c r="C217" s="633">
        <f>C218+C219</f>
        <v>2140.829748210766</v>
      </c>
      <c r="D217" s="633">
        <f>D218+D219</f>
        <v>2304.6839148182953</v>
      </c>
      <c r="E217" s="633">
        <f t="shared" si="24"/>
        <v>163.85416660752935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2140.829748210766</v>
      </c>
      <c r="D218" s="633">
        <f t="shared" si="25"/>
        <v>2304.6839148182953</v>
      </c>
      <c r="E218" s="633">
        <f t="shared" si="24"/>
        <v>163.85416660752935</v>
      </c>
    </row>
    <row r="219" spans="1:5" s="421" customFormat="1" x14ac:dyDescent="0.2">
      <c r="A219" s="588">
        <v>5</v>
      </c>
      <c r="B219" s="587" t="s">
        <v>746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22.14317405450549</v>
      </c>
      <c r="D220" s="633">
        <f t="shared" si="25"/>
        <v>68.944941752541467</v>
      </c>
      <c r="E220" s="633">
        <f t="shared" si="24"/>
        <v>46.801767698035974</v>
      </c>
    </row>
    <row r="221" spans="1:5" s="421" customFormat="1" x14ac:dyDescent="0.2">
      <c r="A221" s="588">
        <v>7</v>
      </c>
      <c r="B221" s="587" t="s">
        <v>761</v>
      </c>
      <c r="C221" s="633">
        <f t="shared" si="25"/>
        <v>75.513517974213514</v>
      </c>
      <c r="D221" s="633">
        <f t="shared" si="25"/>
        <v>48.527289290488888</v>
      </c>
      <c r="E221" s="633">
        <f t="shared" si="24"/>
        <v>-26.986228683724626</v>
      </c>
    </row>
    <row r="222" spans="1:5" s="421" customFormat="1" x14ac:dyDescent="0.2">
      <c r="A222" s="588"/>
      <c r="B222" s="592" t="s">
        <v>828</v>
      </c>
      <c r="C222" s="634">
        <f>C216+C218+C219+C220</f>
        <v>2169.8618638150824</v>
      </c>
      <c r="D222" s="634">
        <f>D216+D218+D219+D220</f>
        <v>2383.1564505243737</v>
      </c>
      <c r="E222" s="634">
        <f t="shared" si="24"/>
        <v>213.29458670929125</v>
      </c>
    </row>
    <row r="223" spans="1:5" s="421" customFormat="1" x14ac:dyDescent="0.2">
      <c r="A223" s="588"/>
      <c r="B223" s="592" t="s">
        <v>829</v>
      </c>
      <c r="C223" s="634">
        <f>C215+C222</f>
        <v>4240.4462744789334</v>
      </c>
      <c r="D223" s="634">
        <f>D215+D222</f>
        <v>4563.4440093801531</v>
      </c>
      <c r="E223" s="634">
        <f t="shared" si="24"/>
        <v>322.9977349012197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830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659</v>
      </c>
      <c r="C227" s="636">
        <f t="shared" ref="C227:D235" si="26">IF(C203=0,0,C47/C203)</f>
        <v>19179.363732619047</v>
      </c>
      <c r="D227" s="636">
        <f t="shared" si="26"/>
        <v>18715.01720642389</v>
      </c>
      <c r="E227" s="636">
        <f t="shared" ref="E227:E235" si="27">D227-C227</f>
        <v>-464.34652619515691</v>
      </c>
    </row>
    <row r="228" spans="1:5" s="421" customFormat="1" x14ac:dyDescent="0.2">
      <c r="A228" s="588">
        <v>2</v>
      </c>
      <c r="B228" s="587" t="s">
        <v>638</v>
      </c>
      <c r="C228" s="636">
        <f t="shared" si="26"/>
        <v>57511.199772014828</v>
      </c>
      <c r="D228" s="636">
        <f t="shared" si="26"/>
        <v>150144.82980089917</v>
      </c>
      <c r="E228" s="636">
        <f t="shared" si="27"/>
        <v>92633.630028884334</v>
      </c>
    </row>
    <row r="229" spans="1:5" s="421" customFormat="1" x14ac:dyDescent="0.2">
      <c r="A229" s="588">
        <v>3</v>
      </c>
      <c r="B229" s="587" t="s">
        <v>780</v>
      </c>
      <c r="C229" s="636">
        <f t="shared" si="26"/>
        <v>9926.969077360076</v>
      </c>
      <c r="D229" s="636">
        <f t="shared" si="26"/>
        <v>9551.1828396271103</v>
      </c>
      <c r="E229" s="636">
        <f t="shared" si="27"/>
        <v>-375.78623773296567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9926.969077360076</v>
      </c>
      <c r="D230" s="636">
        <f t="shared" si="26"/>
        <v>9551.1828396271103</v>
      </c>
      <c r="E230" s="636">
        <f t="shared" si="27"/>
        <v>-375.78623773296567</v>
      </c>
    </row>
    <row r="231" spans="1:5" s="421" customFormat="1" x14ac:dyDescent="0.2">
      <c r="A231" s="588">
        <v>5</v>
      </c>
      <c r="B231" s="587" t="s">
        <v>746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17305.565327517063</v>
      </c>
      <c r="D232" s="636">
        <f t="shared" si="26"/>
        <v>8071.8011401355097</v>
      </c>
      <c r="E232" s="636">
        <f t="shared" si="27"/>
        <v>-9233.7641873815519</v>
      </c>
    </row>
    <row r="233" spans="1:5" s="421" customFormat="1" x14ac:dyDescent="0.2">
      <c r="A233" s="588">
        <v>7</v>
      </c>
      <c r="B233" s="587" t="s">
        <v>761</v>
      </c>
      <c r="C233" s="636">
        <f t="shared" si="26"/>
        <v>6510.1055560101468</v>
      </c>
      <c r="D233" s="636">
        <f t="shared" si="26"/>
        <v>10240.502892821392</v>
      </c>
      <c r="E233" s="636">
        <f t="shared" si="27"/>
        <v>3730.3973368112456</v>
      </c>
    </row>
    <row r="234" spans="1:5" x14ac:dyDescent="0.2">
      <c r="A234" s="588"/>
      <c r="B234" s="592" t="s">
        <v>831</v>
      </c>
      <c r="C234" s="637">
        <f t="shared" si="26"/>
        <v>10369.616587475066</v>
      </c>
      <c r="D234" s="637">
        <f t="shared" si="26"/>
        <v>9779.9865187069045</v>
      </c>
      <c r="E234" s="637">
        <f t="shared" si="27"/>
        <v>-589.63006876816144</v>
      </c>
    </row>
    <row r="235" spans="1:5" s="421" customFormat="1" x14ac:dyDescent="0.2">
      <c r="A235" s="588"/>
      <c r="B235" s="592" t="s">
        <v>832</v>
      </c>
      <c r="C235" s="637">
        <f t="shared" si="26"/>
        <v>14588.892258244434</v>
      </c>
      <c r="D235" s="637">
        <f t="shared" si="26"/>
        <v>14012.830200667166</v>
      </c>
      <c r="E235" s="637">
        <f t="shared" si="27"/>
        <v>-576.06205757726821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833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659</v>
      </c>
      <c r="C239" s="636">
        <f t="shared" ref="C239:D247" si="28">IF(C215=0,0,C58/C215)</f>
        <v>26316.288154864407</v>
      </c>
      <c r="D239" s="636">
        <f t="shared" si="28"/>
        <v>29400.887850610448</v>
      </c>
      <c r="E239" s="638">
        <f t="shared" ref="E239:E247" si="29">D239-C239</f>
        <v>3084.5996957460411</v>
      </c>
    </row>
    <row r="240" spans="1:5" s="421" customFormat="1" x14ac:dyDescent="0.2">
      <c r="A240" s="588">
        <v>2</v>
      </c>
      <c r="B240" s="587" t="s">
        <v>638</v>
      </c>
      <c r="C240" s="636">
        <f t="shared" si="28"/>
        <v>112253.81931440877</v>
      </c>
      <c r="D240" s="636">
        <f t="shared" si="28"/>
        <v>144411.90574554441</v>
      </c>
      <c r="E240" s="638">
        <f t="shared" si="29"/>
        <v>32158.086431135642</v>
      </c>
    </row>
    <row r="241" spans="1:5" x14ac:dyDescent="0.2">
      <c r="A241" s="588">
        <v>3</v>
      </c>
      <c r="B241" s="587" t="s">
        <v>780</v>
      </c>
      <c r="C241" s="636">
        <f t="shared" si="28"/>
        <v>11229.516975879205</v>
      </c>
      <c r="D241" s="636">
        <f t="shared" si="28"/>
        <v>12915.857922472145</v>
      </c>
      <c r="E241" s="638">
        <f t="shared" si="29"/>
        <v>1686.3409465929399</v>
      </c>
    </row>
    <row r="242" spans="1:5" x14ac:dyDescent="0.2">
      <c r="A242" s="588">
        <v>4</v>
      </c>
      <c r="B242" s="587" t="s">
        <v>115</v>
      </c>
      <c r="C242" s="636">
        <f t="shared" si="28"/>
        <v>11229.516975879205</v>
      </c>
      <c r="D242" s="636">
        <f t="shared" si="28"/>
        <v>12915.857922472145</v>
      </c>
      <c r="E242" s="638">
        <f t="shared" si="29"/>
        <v>1686.3409465929399</v>
      </c>
    </row>
    <row r="243" spans="1:5" x14ac:dyDescent="0.2">
      <c r="A243" s="588">
        <v>5</v>
      </c>
      <c r="B243" s="587" t="s">
        <v>746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39016.854488582678</v>
      </c>
      <c r="D244" s="636">
        <f t="shared" si="28"/>
        <v>11928.184709354475</v>
      </c>
      <c r="E244" s="638">
        <f t="shared" si="29"/>
        <v>-27088.669779228203</v>
      </c>
    </row>
    <row r="245" spans="1:5" x14ac:dyDescent="0.2">
      <c r="A245" s="588">
        <v>7</v>
      </c>
      <c r="B245" s="587" t="s">
        <v>761</v>
      </c>
      <c r="C245" s="636">
        <f t="shared" si="28"/>
        <v>5991.9867612910348</v>
      </c>
      <c r="D245" s="636">
        <f t="shared" si="28"/>
        <v>22571.341115784897</v>
      </c>
      <c r="E245" s="638">
        <f t="shared" si="29"/>
        <v>16579.354354493862</v>
      </c>
    </row>
    <row r="246" spans="1:5" ht="25.5" x14ac:dyDescent="0.2">
      <c r="A246" s="588"/>
      <c r="B246" s="592" t="s">
        <v>834</v>
      </c>
      <c r="C246" s="637">
        <f t="shared" si="28"/>
        <v>11833.818285028065</v>
      </c>
      <c r="D246" s="637">
        <f t="shared" si="28"/>
        <v>13412.990990569075</v>
      </c>
      <c r="E246" s="639">
        <f t="shared" si="29"/>
        <v>1579.1727055410101</v>
      </c>
    </row>
    <row r="247" spans="1:5" x14ac:dyDescent="0.2">
      <c r="A247" s="588"/>
      <c r="B247" s="592" t="s">
        <v>835</v>
      </c>
      <c r="C247" s="637">
        <f t="shared" si="28"/>
        <v>18905.521214238477</v>
      </c>
      <c r="D247" s="637">
        <f t="shared" si="28"/>
        <v>21051.566712012482</v>
      </c>
      <c r="E247" s="639">
        <f t="shared" si="29"/>
        <v>2146.0454977740046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763</v>
      </c>
      <c r="B249" s="626" t="s">
        <v>760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216275831.73856255</v>
      </c>
      <c r="D251" s="622">
        <f>((IF((IF(D15=0,0,D26/D15)*D138)=0,0,D59/(IF(D15=0,0,D26/D15)*D138)))-(IF((IF(D17=0,0,D28/D17)*D140)=0,0,D61/(IF(D17=0,0,D28/D17)*D140))))*(IF(D17=0,0,D28/D17)*D140)</f>
        <v>303056826.28001195</v>
      </c>
      <c r="E251" s="622">
        <f>D251-C251</f>
        <v>86780994.541449398</v>
      </c>
    </row>
    <row r="252" spans="1:5" x14ac:dyDescent="0.2">
      <c r="A252" s="588">
        <v>2</v>
      </c>
      <c r="B252" s="587" t="s">
        <v>746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761</v>
      </c>
      <c r="C253" s="622">
        <f>IF(C233=0,0,(C228-C233)*C209+IF(C221=0,0,(C240-C245)*C221))</f>
        <v>10953641.35281755</v>
      </c>
      <c r="D253" s="622">
        <f>IF(D233=0,0,(D228-D233)*D209+IF(D221=0,0,(D240-D245)*D221))</f>
        <v>10860085.001285966</v>
      </c>
      <c r="E253" s="622">
        <f>D253-C253</f>
        <v>-93556.351531583816</v>
      </c>
    </row>
    <row r="254" spans="1:5" ht="15" customHeight="1" x14ac:dyDescent="0.2">
      <c r="A254" s="588"/>
      <c r="B254" s="592" t="s">
        <v>762</v>
      </c>
      <c r="C254" s="640">
        <f>+C251+C252+C253</f>
        <v>227229473.09138012</v>
      </c>
      <c r="D254" s="640">
        <f>+D251+D252+D253</f>
        <v>313916911.28129792</v>
      </c>
      <c r="E254" s="640">
        <f>D254-C254</f>
        <v>86687438.189917803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836</v>
      </c>
      <c r="B256" s="626" t="s">
        <v>837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728</v>
      </c>
      <c r="C258" s="622">
        <f>+C44</f>
        <v>574813439</v>
      </c>
      <c r="D258" s="625">
        <f>+D44</f>
        <v>596675246</v>
      </c>
      <c r="E258" s="622">
        <f t="shared" ref="E258:E271" si="30">D258-C258</f>
        <v>21861807</v>
      </c>
    </row>
    <row r="259" spans="1:5" x14ac:dyDescent="0.2">
      <c r="A259" s="588">
        <v>2</v>
      </c>
      <c r="B259" s="587" t="s">
        <v>745</v>
      </c>
      <c r="C259" s="622">
        <f>+(C43-C76)</f>
        <v>221223323</v>
      </c>
      <c r="D259" s="625">
        <f>+(D43-D76)</f>
        <v>239217717</v>
      </c>
      <c r="E259" s="622">
        <f t="shared" si="30"/>
        <v>17994394</v>
      </c>
    </row>
    <row r="260" spans="1:5" x14ac:dyDescent="0.2">
      <c r="A260" s="588">
        <v>3</v>
      </c>
      <c r="B260" s="587" t="s">
        <v>749</v>
      </c>
      <c r="C260" s="622">
        <f>C195</f>
        <v>5976835</v>
      </c>
      <c r="D260" s="622">
        <f>D195</f>
        <v>4722067</v>
      </c>
      <c r="E260" s="622">
        <f t="shared" si="30"/>
        <v>-1254768</v>
      </c>
    </row>
    <row r="261" spans="1:5" x14ac:dyDescent="0.2">
      <c r="A261" s="588">
        <v>4</v>
      </c>
      <c r="B261" s="587" t="s">
        <v>750</v>
      </c>
      <c r="C261" s="622">
        <f>C188</f>
        <v>116760624</v>
      </c>
      <c r="D261" s="622">
        <f>D188</f>
        <v>116709401</v>
      </c>
      <c r="E261" s="622">
        <f t="shared" si="30"/>
        <v>-51223</v>
      </c>
    </row>
    <row r="262" spans="1:5" x14ac:dyDescent="0.2">
      <c r="A262" s="588">
        <v>5</v>
      </c>
      <c r="B262" s="587" t="s">
        <v>751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752</v>
      </c>
      <c r="C263" s="622">
        <f>+C259+C260+C261+C262</f>
        <v>343960782</v>
      </c>
      <c r="D263" s="622">
        <f>+D259+D260+D261+D262</f>
        <v>360649185</v>
      </c>
      <c r="E263" s="622">
        <f t="shared" si="30"/>
        <v>16688403</v>
      </c>
    </row>
    <row r="264" spans="1:5" x14ac:dyDescent="0.2">
      <c r="A264" s="588">
        <v>7</v>
      </c>
      <c r="B264" s="587" t="s">
        <v>657</v>
      </c>
      <c r="C264" s="622">
        <f>+C258-C263</f>
        <v>230852657</v>
      </c>
      <c r="D264" s="622">
        <f>+D258-D263</f>
        <v>236026061</v>
      </c>
      <c r="E264" s="622">
        <f t="shared" si="30"/>
        <v>5173404</v>
      </c>
    </row>
    <row r="265" spans="1:5" x14ac:dyDescent="0.2">
      <c r="A265" s="588">
        <v>8</v>
      </c>
      <c r="B265" s="587" t="s">
        <v>838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839</v>
      </c>
      <c r="C266" s="622">
        <f>+C264+C265</f>
        <v>230852657</v>
      </c>
      <c r="D266" s="622">
        <f>+D264+D265</f>
        <v>236026061</v>
      </c>
      <c r="E266" s="641">
        <f t="shared" si="30"/>
        <v>5173404</v>
      </c>
    </row>
    <row r="267" spans="1:5" x14ac:dyDescent="0.2">
      <c r="A267" s="588">
        <v>10</v>
      </c>
      <c r="B267" s="587" t="s">
        <v>840</v>
      </c>
      <c r="C267" s="642">
        <f>IF(C258=0,0,C266/C258)</f>
        <v>0.40161318670908808</v>
      </c>
      <c r="D267" s="642">
        <f>IF(D258=0,0,D266/D258)</f>
        <v>0.39556871611865058</v>
      </c>
      <c r="E267" s="643">
        <f t="shared" si="30"/>
        <v>-6.0444705904375007E-3</v>
      </c>
    </row>
    <row r="268" spans="1:5" x14ac:dyDescent="0.2">
      <c r="A268" s="588">
        <v>11</v>
      </c>
      <c r="B268" s="587" t="s">
        <v>719</v>
      </c>
      <c r="C268" s="622">
        <f>+C260*C267</f>
        <v>2400375.7507844125</v>
      </c>
      <c r="D268" s="644">
        <f>+D260*D267</f>
        <v>1867901.980616248</v>
      </c>
      <c r="E268" s="622">
        <f t="shared" si="30"/>
        <v>-532473.77016816451</v>
      </c>
    </row>
    <row r="269" spans="1:5" x14ac:dyDescent="0.2">
      <c r="A269" s="588">
        <v>12</v>
      </c>
      <c r="B269" s="587" t="s">
        <v>841</v>
      </c>
      <c r="C269" s="622">
        <f>((C17+C18+C28+C29)*C267)-(C50+C51+C61+C62)</f>
        <v>42554152.909577444</v>
      </c>
      <c r="D269" s="644">
        <f>((D17+D18+D28+D29)*D267)-(D50+D51+D61+D62)</f>
        <v>45734780.273848757</v>
      </c>
      <c r="E269" s="622">
        <f t="shared" si="30"/>
        <v>3180627.364271313</v>
      </c>
    </row>
    <row r="270" spans="1:5" s="648" customFormat="1" x14ac:dyDescent="0.2">
      <c r="A270" s="645">
        <v>13</v>
      </c>
      <c r="B270" s="646" t="s">
        <v>842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843</v>
      </c>
      <c r="C271" s="622">
        <f>+C268+C269+C270</f>
        <v>44954528.660361856</v>
      </c>
      <c r="D271" s="622">
        <f>+D268+D269+D270</f>
        <v>47602682.254465006</v>
      </c>
      <c r="E271" s="625">
        <f t="shared" si="30"/>
        <v>2648153.5941031501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844</v>
      </c>
      <c r="B273" s="626" t="s">
        <v>845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846</v>
      </c>
      <c r="C275" s="425"/>
      <c r="D275" s="425"/>
      <c r="E275" s="596"/>
    </row>
    <row r="276" spans="1:5" x14ac:dyDescent="0.2">
      <c r="A276" s="588">
        <v>1</v>
      </c>
      <c r="B276" s="587" t="s">
        <v>659</v>
      </c>
      <c r="C276" s="623">
        <f t="shared" ref="C276:D284" si="31">IF(C14=0,0,+C47/C14)</f>
        <v>0.59780182018305861</v>
      </c>
      <c r="D276" s="623">
        <f t="shared" si="31"/>
        <v>0.61817798856146799</v>
      </c>
      <c r="E276" s="650">
        <f t="shared" ref="E276:E284" si="32">D276-C276</f>
        <v>2.0376168378409387E-2</v>
      </c>
    </row>
    <row r="277" spans="1:5" x14ac:dyDescent="0.2">
      <c r="A277" s="588">
        <v>2</v>
      </c>
      <c r="B277" s="587" t="s">
        <v>638</v>
      </c>
      <c r="C277" s="623">
        <f t="shared" si="31"/>
        <v>2.5990758008180759</v>
      </c>
      <c r="D277" s="623">
        <f t="shared" si="31"/>
        <v>4.0711835185120684</v>
      </c>
      <c r="E277" s="650">
        <f t="shared" si="32"/>
        <v>1.4721077176939925</v>
      </c>
    </row>
    <row r="278" spans="1:5" x14ac:dyDescent="0.2">
      <c r="A278" s="588">
        <v>3</v>
      </c>
      <c r="B278" s="587" t="s">
        <v>780</v>
      </c>
      <c r="C278" s="623">
        <f t="shared" si="31"/>
        <v>0.29017069020294978</v>
      </c>
      <c r="D278" s="623">
        <f t="shared" si="31"/>
        <v>0.2771883767741668</v>
      </c>
      <c r="E278" s="650">
        <f t="shared" si="32"/>
        <v>-1.2982313428782977E-2</v>
      </c>
    </row>
    <row r="279" spans="1:5" x14ac:dyDescent="0.2">
      <c r="A279" s="588">
        <v>4</v>
      </c>
      <c r="B279" s="587" t="s">
        <v>115</v>
      </c>
      <c r="C279" s="623">
        <f t="shared" si="31"/>
        <v>0.29017069020294978</v>
      </c>
      <c r="D279" s="623">
        <f t="shared" si="31"/>
        <v>0.2771883767741668</v>
      </c>
      <c r="E279" s="650">
        <f t="shared" si="32"/>
        <v>-1.2982313428782977E-2</v>
      </c>
    </row>
    <row r="280" spans="1:5" x14ac:dyDescent="0.2">
      <c r="A280" s="588">
        <v>5</v>
      </c>
      <c r="B280" s="587" t="s">
        <v>746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0.41606688202849967</v>
      </c>
      <c r="D281" s="623">
        <f t="shared" si="31"/>
        <v>0.34148809640565125</v>
      </c>
      <c r="E281" s="650">
        <f t="shared" si="32"/>
        <v>-7.457878562284842E-2</v>
      </c>
    </row>
    <row r="282" spans="1:5" x14ac:dyDescent="0.2">
      <c r="A282" s="588">
        <v>7</v>
      </c>
      <c r="B282" s="587" t="s">
        <v>761</v>
      </c>
      <c r="C282" s="623">
        <f t="shared" si="31"/>
        <v>0.22280124004883453</v>
      </c>
      <c r="D282" s="623">
        <f t="shared" si="31"/>
        <v>0.25202464439540434</v>
      </c>
      <c r="E282" s="650">
        <f t="shared" si="32"/>
        <v>2.9223404346569809E-2</v>
      </c>
    </row>
    <row r="283" spans="1:5" ht="29.25" customHeight="1" x14ac:dyDescent="0.2">
      <c r="A283" s="588"/>
      <c r="B283" s="592" t="s">
        <v>847</v>
      </c>
      <c r="C283" s="651">
        <f t="shared" si="31"/>
        <v>0.30260380190295316</v>
      </c>
      <c r="D283" s="651">
        <f t="shared" si="31"/>
        <v>0.28457454920960024</v>
      </c>
      <c r="E283" s="652">
        <f t="shared" si="32"/>
        <v>-1.8029252693352926E-2</v>
      </c>
    </row>
    <row r="284" spans="1:5" x14ac:dyDescent="0.2">
      <c r="A284" s="588"/>
      <c r="B284" s="592" t="s">
        <v>848</v>
      </c>
      <c r="C284" s="651">
        <f t="shared" si="31"/>
        <v>0.43913896569056515</v>
      </c>
      <c r="D284" s="651">
        <f t="shared" si="31"/>
        <v>0.43211797739617147</v>
      </c>
      <c r="E284" s="652">
        <f t="shared" si="32"/>
        <v>-7.0209882943936819E-3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849</v>
      </c>
      <c r="C286" s="596"/>
      <c r="D286" s="596"/>
      <c r="E286" s="596"/>
    </row>
    <row r="287" spans="1:5" x14ac:dyDescent="0.2">
      <c r="A287" s="588">
        <v>1</v>
      </c>
      <c r="B287" s="587" t="s">
        <v>659</v>
      </c>
      <c r="C287" s="623">
        <f t="shared" ref="C287:D295" si="33">IF(C25=0,0,+C58/C25)</f>
        <v>0.48888586472228068</v>
      </c>
      <c r="D287" s="623">
        <f t="shared" si="33"/>
        <v>0.51582528787872262</v>
      </c>
      <c r="E287" s="650">
        <f t="shared" ref="E287:E295" si="34">D287-C287</f>
        <v>2.6939423156441933E-2</v>
      </c>
    </row>
    <row r="288" spans="1:5" x14ac:dyDescent="0.2">
      <c r="A288" s="588">
        <v>2</v>
      </c>
      <c r="B288" s="587" t="s">
        <v>638</v>
      </c>
      <c r="C288" s="623">
        <f t="shared" si="33"/>
        <v>2.8914405791032274</v>
      </c>
      <c r="D288" s="623">
        <f t="shared" si="33"/>
        <v>3.7723844278902967</v>
      </c>
      <c r="E288" s="650">
        <f t="shared" si="34"/>
        <v>0.88094384878706933</v>
      </c>
    </row>
    <row r="289" spans="1:5" x14ac:dyDescent="0.2">
      <c r="A289" s="588">
        <v>3</v>
      </c>
      <c r="B289" s="587" t="s">
        <v>780</v>
      </c>
      <c r="C289" s="623">
        <f t="shared" si="33"/>
        <v>0.20806596839321737</v>
      </c>
      <c r="D289" s="623">
        <f t="shared" si="33"/>
        <v>0.21980639487575226</v>
      </c>
      <c r="E289" s="650">
        <f t="shared" si="34"/>
        <v>1.1740426482534899E-2</v>
      </c>
    </row>
    <row r="290" spans="1:5" x14ac:dyDescent="0.2">
      <c r="A290" s="588">
        <v>4</v>
      </c>
      <c r="B290" s="587" t="s">
        <v>115</v>
      </c>
      <c r="C290" s="623">
        <f t="shared" si="33"/>
        <v>0.20806596839321737</v>
      </c>
      <c r="D290" s="623">
        <f t="shared" si="33"/>
        <v>0.21980639487575226</v>
      </c>
      <c r="E290" s="650">
        <f t="shared" si="34"/>
        <v>1.1740426482534899E-2</v>
      </c>
    </row>
    <row r="291" spans="1:5" x14ac:dyDescent="0.2">
      <c r="A291" s="588">
        <v>5</v>
      </c>
      <c r="B291" s="587" t="s">
        <v>746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0.65999987777171731</v>
      </c>
      <c r="D292" s="623">
        <f t="shared" si="33"/>
        <v>0.4573062467365574</v>
      </c>
      <c r="E292" s="650">
        <f t="shared" si="34"/>
        <v>-0.20269363103515992</v>
      </c>
    </row>
    <row r="293" spans="1:5" x14ac:dyDescent="0.2">
      <c r="A293" s="588">
        <v>7</v>
      </c>
      <c r="B293" s="587" t="s">
        <v>761</v>
      </c>
      <c r="C293" s="623">
        <f t="shared" si="33"/>
        <v>0.1678006637470893</v>
      </c>
      <c r="D293" s="623">
        <f t="shared" si="33"/>
        <v>0.53407714557096575</v>
      </c>
      <c r="E293" s="650">
        <f t="shared" si="34"/>
        <v>0.36627648182387645</v>
      </c>
    </row>
    <row r="294" spans="1:5" ht="29.25" customHeight="1" x14ac:dyDescent="0.2">
      <c r="A294" s="588"/>
      <c r="B294" s="592" t="s">
        <v>850</v>
      </c>
      <c r="C294" s="651">
        <f t="shared" si="33"/>
        <v>0.21924481663657891</v>
      </c>
      <c r="D294" s="651">
        <f t="shared" si="33"/>
        <v>0.2323281885389385</v>
      </c>
      <c r="E294" s="652">
        <f t="shared" si="34"/>
        <v>1.3083371902359586E-2</v>
      </c>
    </row>
    <row r="295" spans="1:5" x14ac:dyDescent="0.2">
      <c r="A295" s="588"/>
      <c r="B295" s="592" t="s">
        <v>851</v>
      </c>
      <c r="C295" s="651">
        <f t="shared" si="33"/>
        <v>0.35072611464656056</v>
      </c>
      <c r="D295" s="651">
        <f t="shared" si="33"/>
        <v>0.36686901794467663</v>
      </c>
      <c r="E295" s="652">
        <f t="shared" si="34"/>
        <v>1.6142903298116074E-2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852</v>
      </c>
      <c r="B297" s="579" t="s">
        <v>853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854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657</v>
      </c>
      <c r="C301" s="590">
        <f>+C48+C47+C50+C51+C52+C59+C58+C61+C62+C63</f>
        <v>232213854</v>
      </c>
      <c r="D301" s="590">
        <f>+D48+D47+D50+D51+D52+D59+D58+D61+D62+D63</f>
        <v>240748128</v>
      </c>
      <c r="E301" s="590">
        <f>D301-C301</f>
        <v>8534274</v>
      </c>
    </row>
    <row r="302" spans="1:5" ht="25.5" x14ac:dyDescent="0.2">
      <c r="A302" s="588">
        <v>2</v>
      </c>
      <c r="B302" s="587" t="s">
        <v>855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856</v>
      </c>
      <c r="C303" s="593">
        <f>+C301+C302</f>
        <v>232213854</v>
      </c>
      <c r="D303" s="593">
        <f>+D301+D302</f>
        <v>240748128</v>
      </c>
      <c r="E303" s="593">
        <f>D303-C303</f>
        <v>8534274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857</v>
      </c>
      <c r="C305" s="589">
        <v>7101022</v>
      </c>
      <c r="D305" s="654">
        <v>12209849</v>
      </c>
      <c r="E305" s="655">
        <f>D305-C305</f>
        <v>5108827</v>
      </c>
    </row>
    <row r="306" spans="1:5" x14ac:dyDescent="0.2">
      <c r="A306" s="588">
        <v>4</v>
      </c>
      <c r="B306" s="592" t="s">
        <v>858</v>
      </c>
      <c r="C306" s="593">
        <f>+C303+C305+C194+C190-C191</f>
        <v>243860270</v>
      </c>
      <c r="D306" s="593">
        <f>+D303+D305</f>
        <v>252957977</v>
      </c>
      <c r="E306" s="656">
        <f>D306-C306</f>
        <v>9097707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859</v>
      </c>
      <c r="C308" s="589">
        <v>239314874</v>
      </c>
      <c r="D308" s="589">
        <v>252957977</v>
      </c>
      <c r="E308" s="590">
        <f>D308-C308</f>
        <v>13643103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860</v>
      </c>
      <c r="C310" s="657">
        <f>C306-C308</f>
        <v>4545396</v>
      </c>
      <c r="D310" s="658">
        <f>D306-D308</f>
        <v>0</v>
      </c>
      <c r="E310" s="656">
        <f>D310-C310</f>
        <v>-4545396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861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862</v>
      </c>
      <c r="C314" s="590">
        <f>+C14+C15+C16+C19+C25+C26+C27+C30</f>
        <v>574813439</v>
      </c>
      <c r="D314" s="590">
        <f>+D14+D15+D16+D19+D25+D26+D27+D30</f>
        <v>596675246</v>
      </c>
      <c r="E314" s="590">
        <f>D314-C314</f>
        <v>21861807</v>
      </c>
    </row>
    <row r="315" spans="1:5" x14ac:dyDescent="0.2">
      <c r="A315" s="588">
        <v>2</v>
      </c>
      <c r="B315" s="659" t="s">
        <v>863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864</v>
      </c>
      <c r="C316" s="657">
        <f>C314+C315</f>
        <v>574813439</v>
      </c>
      <c r="D316" s="657">
        <f>D314+D315</f>
        <v>596675246</v>
      </c>
      <c r="E316" s="593">
        <f>D316-C316</f>
        <v>21861807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865</v>
      </c>
      <c r="C318" s="589">
        <v>574813439</v>
      </c>
      <c r="D318" s="589">
        <v>596674847</v>
      </c>
      <c r="E318" s="590">
        <f>D318-C318</f>
        <v>21861408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860</v>
      </c>
      <c r="C320" s="657">
        <f>C316-C318</f>
        <v>0</v>
      </c>
      <c r="D320" s="657">
        <f>D316-D318</f>
        <v>399</v>
      </c>
      <c r="E320" s="593">
        <f>D320-C320</f>
        <v>399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866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867</v>
      </c>
      <c r="C324" s="589">
        <f>+C193+C194</f>
        <v>5976835</v>
      </c>
      <c r="D324" s="589">
        <f>+D193+D194</f>
        <v>4722067</v>
      </c>
      <c r="E324" s="590">
        <f>D324-C324</f>
        <v>-1254768</v>
      </c>
    </row>
    <row r="325" spans="1:5" x14ac:dyDescent="0.2">
      <c r="A325" s="588">
        <v>2</v>
      </c>
      <c r="B325" s="587" t="s">
        <v>868</v>
      </c>
      <c r="C325" s="589">
        <v>1570481</v>
      </c>
      <c r="D325" s="589">
        <v>1622972</v>
      </c>
      <c r="E325" s="590">
        <f>D325-C325</f>
        <v>52491</v>
      </c>
    </row>
    <row r="326" spans="1:5" x14ac:dyDescent="0.2">
      <c r="A326" s="588"/>
      <c r="B326" s="592" t="s">
        <v>869</v>
      </c>
      <c r="C326" s="657">
        <f>C324+C325</f>
        <v>7547316</v>
      </c>
      <c r="D326" s="657">
        <f>D324+D325</f>
        <v>6345039</v>
      </c>
      <c r="E326" s="593">
        <f>D326-C326</f>
        <v>-1202277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870</v>
      </c>
      <c r="C328" s="589">
        <v>7547316</v>
      </c>
      <c r="D328" s="589">
        <v>6345039</v>
      </c>
      <c r="E328" s="590">
        <f>D328-C328</f>
        <v>-1202277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871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FILING&amp;RCT CHILDREN`S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632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872</v>
      </c>
      <c r="B5" s="824"/>
      <c r="C5" s="825"/>
      <c r="D5" s="661"/>
    </row>
    <row r="6" spans="1:58" s="662" customFormat="1" ht="15.75" customHeight="1" x14ac:dyDescent="0.25">
      <c r="A6" s="823" t="s">
        <v>873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874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875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779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659</v>
      </c>
      <c r="C14" s="589">
        <v>148080190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638</v>
      </c>
      <c r="C15" s="591">
        <v>344532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780</v>
      </c>
      <c r="C16" s="591">
        <v>185270770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185270770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746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1121594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761</v>
      </c>
      <c r="C20" s="591">
        <v>1436919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781</v>
      </c>
      <c r="C21" s="593">
        <f>SUM(C15+C16+C19)</f>
        <v>186736896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334817086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782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659</v>
      </c>
      <c r="C25" s="589">
        <v>124271515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638</v>
      </c>
      <c r="C26" s="591">
        <v>364729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780</v>
      </c>
      <c r="C27" s="591">
        <v>135423585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135423585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746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1798331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761</v>
      </c>
      <c r="C31" s="594">
        <v>2050876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783</v>
      </c>
      <c r="C32" s="593">
        <f>SUM(C26+C27+C30)</f>
        <v>137586645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261858160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656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876</v>
      </c>
      <c r="C36" s="590">
        <f>SUM(C14+C25)</f>
        <v>272351705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877</v>
      </c>
      <c r="C37" s="594">
        <f>SUM(C21+C32)</f>
        <v>324323541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656</v>
      </c>
      <c r="C38" s="593">
        <f>SUM(+C36+C37)</f>
        <v>596675246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792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659</v>
      </c>
      <c r="C41" s="589">
        <v>91539914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638</v>
      </c>
      <c r="C42" s="591">
        <v>1402653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780</v>
      </c>
      <c r="C43" s="591">
        <v>51354904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51354904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746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383011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761</v>
      </c>
      <c r="C47" s="591">
        <v>362139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793</v>
      </c>
      <c r="C48" s="593">
        <f>SUM(C42+C43+C46)</f>
        <v>53140568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144680482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794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659</v>
      </c>
      <c r="C52" s="589">
        <v>64102390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638</v>
      </c>
      <c r="C53" s="591">
        <v>1375898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780</v>
      </c>
      <c r="C54" s="591">
        <v>29766970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29766970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746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822388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761</v>
      </c>
      <c r="C58" s="591">
        <v>1095326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795</v>
      </c>
      <c r="C59" s="593">
        <f>SUM(C53+C54+C57)</f>
        <v>31965256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96067646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657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878</v>
      </c>
      <c r="C63" s="590">
        <f>SUM(C41+C52)</f>
        <v>155642304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879</v>
      </c>
      <c r="C64" s="594">
        <f>SUM(C48+C59)</f>
        <v>85105824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657</v>
      </c>
      <c r="C65" s="593">
        <f>SUM(+C63+C64)</f>
        <v>240748128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880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881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659</v>
      </c>
      <c r="C70" s="606">
        <v>2598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638</v>
      </c>
      <c r="C71" s="606">
        <v>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780</v>
      </c>
      <c r="C72" s="606">
        <v>3153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3153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746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43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761</v>
      </c>
      <c r="C76" s="621">
        <v>34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810</v>
      </c>
      <c r="C77" s="608">
        <f>SUM(C71+C72+C75)</f>
        <v>3205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5803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814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659</v>
      </c>
      <c r="C81" s="617">
        <v>1.8827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638</v>
      </c>
      <c r="C82" s="617">
        <v>1.038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780</v>
      </c>
      <c r="C83" s="617">
        <f>((C73*C84)+(C74*C85))/(C73+C74)</f>
        <v>1.7053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1.7053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746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1.1034999999999999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761</v>
      </c>
      <c r="C87" s="617">
        <v>1.0401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815</v>
      </c>
      <c r="C88" s="619">
        <f>((C71*C82)+(C73*C84)+(C74*C85)+(C75*C86))/(C71+C73+C74+C75)</f>
        <v>1.6953520748829953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726</v>
      </c>
      <c r="C89" s="619">
        <f>((C70*C81)+(C71*C82)+(C73*C84)+(C74*C85)+(C75*C86))/(C70+C71+C73+C74+C75)</f>
        <v>1.7792276408754095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816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817</v>
      </c>
      <c r="C92" s="589">
        <v>272351705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818</v>
      </c>
      <c r="C93" s="622">
        <v>155642304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671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750</v>
      </c>
      <c r="C95" s="589">
        <f>+C92-C93</f>
        <v>116709401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673</v>
      </c>
      <c r="C96" s="681">
        <f>(+C92-C93)/C92</f>
        <v>0.42852458368123675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765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751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882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820</v>
      </c>
      <c r="C103" s="589">
        <v>1302183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821</v>
      </c>
      <c r="C104" s="589">
        <v>3419884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822</v>
      </c>
      <c r="C105" s="654">
        <f>+C103+C104</f>
        <v>4722067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823</v>
      </c>
      <c r="C107" s="589">
        <v>31932692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713</v>
      </c>
      <c r="C108" s="589">
        <v>280099480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853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854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657</v>
      </c>
      <c r="C114" s="590">
        <f>+C65</f>
        <v>240748128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855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856</v>
      </c>
      <c r="C116" s="593">
        <f>+C114+C115</f>
        <v>240748128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857</v>
      </c>
      <c r="C118" s="654">
        <v>12209849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858</v>
      </c>
      <c r="C119" s="656">
        <f>+C116+C118</f>
        <v>252957977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859</v>
      </c>
      <c r="C121" s="589">
        <v>252957977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860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861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862</v>
      </c>
      <c r="C127" s="590">
        <f>C38</f>
        <v>596675246</v>
      </c>
      <c r="D127" s="664"/>
      <c r="AR127" s="485"/>
    </row>
    <row r="128" spans="1:58" s="421" customFormat="1" ht="12.75" x14ac:dyDescent="0.2">
      <c r="A128" s="588">
        <v>2</v>
      </c>
      <c r="B128" s="659" t="s">
        <v>863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864</v>
      </c>
      <c r="C129" s="657">
        <f>C127+C128</f>
        <v>596675246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865</v>
      </c>
      <c r="C131" s="589">
        <v>596674847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860</v>
      </c>
      <c r="C133" s="657">
        <f>C129-C131</f>
        <v>399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866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867</v>
      </c>
      <c r="C137" s="589">
        <f>C105</f>
        <v>4722067</v>
      </c>
      <c r="D137" s="664"/>
      <c r="AR137" s="485"/>
    </row>
    <row r="138" spans="1:44" s="421" customFormat="1" ht="12.75" x14ac:dyDescent="0.2">
      <c r="A138" s="588">
        <v>2</v>
      </c>
      <c r="B138" s="669" t="s">
        <v>883</v>
      </c>
      <c r="C138" s="589">
        <v>1622972</v>
      </c>
      <c r="D138" s="664"/>
      <c r="AR138" s="485"/>
    </row>
    <row r="139" spans="1:44" s="421" customFormat="1" ht="12.75" x14ac:dyDescent="0.2">
      <c r="A139" s="588"/>
      <c r="B139" s="671" t="s">
        <v>869</v>
      </c>
      <c r="C139" s="657">
        <f>C137+C138</f>
        <v>6345039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884</v>
      </c>
      <c r="C141" s="589">
        <v>6345039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871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FILING&amp;RCT CHILDREN`S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632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885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635</v>
      </c>
      <c r="D8" s="177" t="s">
        <v>635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886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887</v>
      </c>
      <c r="C12" s="185">
        <v>591</v>
      </c>
      <c r="D12" s="185">
        <v>450</v>
      </c>
      <c r="E12" s="185">
        <f>+D12-C12</f>
        <v>-141</v>
      </c>
      <c r="F12" s="77">
        <f>IF(C12=0,0,+E12/C12)</f>
        <v>-0.23857868020304568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888</v>
      </c>
      <c r="C13" s="185">
        <v>492</v>
      </c>
      <c r="D13" s="185">
        <v>419</v>
      </c>
      <c r="E13" s="185">
        <f>+D13-C13</f>
        <v>-73</v>
      </c>
      <c r="F13" s="77">
        <f>IF(C13=0,0,+E13/C13)</f>
        <v>-0.1483739837398374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889</v>
      </c>
      <c r="C15" s="76">
        <v>1431441</v>
      </c>
      <c r="D15" s="76">
        <v>1302183</v>
      </c>
      <c r="E15" s="76">
        <f>+D15-C15</f>
        <v>-129258</v>
      </c>
      <c r="F15" s="77">
        <f>IF(C15=0,0,+E15/C15)</f>
        <v>-9.0299215964891322E-2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890</v>
      </c>
      <c r="C16" s="79">
        <f>IF(C13=0,0,+C15/+C13)</f>
        <v>2909.4329268292681</v>
      </c>
      <c r="D16" s="79">
        <f>IF(D13=0,0,+D15/+D13)</f>
        <v>3107.8353221957041</v>
      </c>
      <c r="E16" s="79">
        <f>+D16-C16</f>
        <v>198.40239536643594</v>
      </c>
      <c r="F16" s="80">
        <f>IF(C16=0,0,+E16/C16)</f>
        <v>6.8192806074638415E-2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891</v>
      </c>
      <c r="C18" s="704">
        <v>0.46916000000000002</v>
      </c>
      <c r="D18" s="704">
        <v>0.44380799999999998</v>
      </c>
      <c r="E18" s="704">
        <f>+D18-C18</f>
        <v>-2.5352000000000041E-2</v>
      </c>
      <c r="F18" s="77">
        <f>IF(C18=0,0,+E18/C18)</f>
        <v>-5.4037002301986617E-2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892</v>
      </c>
      <c r="C19" s="79">
        <f>+C15*C18</f>
        <v>671574.85956000001</v>
      </c>
      <c r="D19" s="79">
        <f>+D15*D18</f>
        <v>577919.23286400002</v>
      </c>
      <c r="E19" s="79">
        <f>+D19-C19</f>
        <v>-93655.626695999992</v>
      </c>
      <c r="F19" s="80">
        <f>IF(C19=0,0,+E19/C19)</f>
        <v>-0.13945671932591544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893</v>
      </c>
      <c r="C20" s="79">
        <f>IF(C13=0,0,+C19/C13)</f>
        <v>1364.9895519512195</v>
      </c>
      <c r="D20" s="79">
        <f>IF(D13=0,0,+D19/D13)</f>
        <v>1379.282178673031</v>
      </c>
      <c r="E20" s="79">
        <f>+D20-C20</f>
        <v>14.29262672181153</v>
      </c>
      <c r="F20" s="80">
        <f>IF(C20=0,0,+E20/C20)</f>
        <v>1.0470868953817681E-2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894</v>
      </c>
      <c r="C22" s="76">
        <v>1005529</v>
      </c>
      <c r="D22" s="76">
        <v>892532</v>
      </c>
      <c r="E22" s="76">
        <f>+D22-C22</f>
        <v>-112997</v>
      </c>
      <c r="F22" s="77">
        <f>IF(C22=0,0,+E22/C22)</f>
        <v>-0.11237567489351376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895</v>
      </c>
      <c r="C23" s="185">
        <v>132833</v>
      </c>
      <c r="D23" s="185">
        <v>53800</v>
      </c>
      <c r="E23" s="185">
        <f>+D23-C23</f>
        <v>-79033</v>
      </c>
      <c r="F23" s="77">
        <f>IF(C23=0,0,+E23/C23)</f>
        <v>-0.59498016306188972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896</v>
      </c>
      <c r="C24" s="185">
        <v>293079</v>
      </c>
      <c r="D24" s="185">
        <v>355851</v>
      </c>
      <c r="E24" s="185">
        <f>+D24-C24</f>
        <v>62772</v>
      </c>
      <c r="F24" s="77">
        <f>IF(C24=0,0,+E24/C24)</f>
        <v>0.21418115934611487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897</v>
      </c>
      <c r="C25" s="79">
        <f>+C22+C23+C24</f>
        <v>1431441</v>
      </c>
      <c r="D25" s="79">
        <f>+D22+D23+D24</f>
        <v>1302183</v>
      </c>
      <c r="E25" s="79">
        <f>+E22+E23+E24</f>
        <v>-129258</v>
      </c>
      <c r="F25" s="80">
        <f>IF(C25=0,0,+E25/C25)</f>
        <v>-9.0299215964891322E-2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898</v>
      </c>
      <c r="C27" s="185">
        <v>706</v>
      </c>
      <c r="D27" s="185">
        <v>499</v>
      </c>
      <c r="E27" s="185">
        <f>+D27-C27</f>
        <v>-207</v>
      </c>
      <c r="F27" s="77">
        <f>IF(C27=0,0,+E27/C27)</f>
        <v>-0.29320113314447593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899</v>
      </c>
      <c r="C28" s="185">
        <v>75</v>
      </c>
      <c r="D28" s="185">
        <v>68</v>
      </c>
      <c r="E28" s="185">
        <f>+D28-C28</f>
        <v>-7</v>
      </c>
      <c r="F28" s="77">
        <f>IF(C28=0,0,+E28/C28)</f>
        <v>-9.3333333333333338E-2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900</v>
      </c>
      <c r="C29" s="185">
        <v>125</v>
      </c>
      <c r="D29" s="185">
        <v>94</v>
      </c>
      <c r="E29" s="185">
        <f>+D29-C29</f>
        <v>-31</v>
      </c>
      <c r="F29" s="77">
        <f>IF(C29=0,0,+E29/C29)</f>
        <v>-0.248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901</v>
      </c>
      <c r="C30" s="185">
        <v>321</v>
      </c>
      <c r="D30" s="185">
        <v>258</v>
      </c>
      <c r="E30" s="185">
        <f>+D30-C30</f>
        <v>-63</v>
      </c>
      <c r="F30" s="77">
        <f>IF(C30=0,0,+E30/C30)</f>
        <v>-0.19626168224299065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902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903</v>
      </c>
      <c r="C33" s="76">
        <v>1081804</v>
      </c>
      <c r="D33" s="76">
        <v>813932</v>
      </c>
      <c r="E33" s="76">
        <f>+D33-C33</f>
        <v>-267872</v>
      </c>
      <c r="F33" s="77">
        <f>IF(C33=0,0,+E33/C33)</f>
        <v>-0.24761601916798237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904</v>
      </c>
      <c r="C34" s="185">
        <v>1499979</v>
      </c>
      <c r="D34" s="185">
        <v>1128562</v>
      </c>
      <c r="E34" s="185">
        <f>+D34-C34</f>
        <v>-371417</v>
      </c>
      <c r="F34" s="77">
        <f>IF(C34=0,0,+E34/C34)</f>
        <v>-0.24761479994053251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905</v>
      </c>
      <c r="C35" s="185">
        <v>1963611</v>
      </c>
      <c r="D35" s="185">
        <v>1477390</v>
      </c>
      <c r="E35" s="185">
        <f>+D35-C35</f>
        <v>-486221</v>
      </c>
      <c r="F35" s="77">
        <f>IF(C35=0,0,+E35/C35)</f>
        <v>-0.24761574466633157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906</v>
      </c>
      <c r="C36" s="79">
        <f>+C33+C34+C35</f>
        <v>4545394</v>
      </c>
      <c r="D36" s="79">
        <f>+D33+D34+D35</f>
        <v>3419884</v>
      </c>
      <c r="E36" s="79">
        <f>+E33+E34+E35</f>
        <v>-1125510</v>
      </c>
      <c r="F36" s="80">
        <f>IF(C36=0,0,+E36/C36)</f>
        <v>-0.24761549823843654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907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908</v>
      </c>
      <c r="C39" s="76">
        <f>+C25</f>
        <v>1431441</v>
      </c>
      <c r="D39" s="76">
        <f>+D25</f>
        <v>1302183</v>
      </c>
      <c r="E39" s="76">
        <f>+D39-C39</f>
        <v>-129258</v>
      </c>
      <c r="F39" s="77">
        <f>IF(C39=0,0,+E39/C39)</f>
        <v>-9.0299215964891322E-2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909</v>
      </c>
      <c r="C40" s="185">
        <f>+C36</f>
        <v>4545394</v>
      </c>
      <c r="D40" s="185">
        <f>+D36</f>
        <v>3419884</v>
      </c>
      <c r="E40" s="185">
        <f>+D40-C40</f>
        <v>-1125510</v>
      </c>
      <c r="F40" s="77">
        <f>IF(C40=0,0,+E40/C40)</f>
        <v>-0.24761549823843654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910</v>
      </c>
      <c r="C41" s="79">
        <f>+C39+C40</f>
        <v>5976835</v>
      </c>
      <c r="D41" s="79">
        <f>+D39+D40</f>
        <v>4722067</v>
      </c>
      <c r="E41" s="79">
        <f>+E39+E40</f>
        <v>-1254768</v>
      </c>
      <c r="F41" s="80">
        <f>IF(C41=0,0,+E41/C41)</f>
        <v>-0.20993853770432008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911</v>
      </c>
      <c r="C43" s="76">
        <f t="shared" ref="C43:D45" si="0">+C22+C33</f>
        <v>2087333</v>
      </c>
      <c r="D43" s="76">
        <f t="shared" si="0"/>
        <v>1706464</v>
      </c>
      <c r="E43" s="76">
        <f>+D43-C43</f>
        <v>-380869</v>
      </c>
      <c r="F43" s="77">
        <f>IF(C43=0,0,+E43/C43)</f>
        <v>-0.18246681291389538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912</v>
      </c>
      <c r="C44" s="185">
        <f t="shared" si="0"/>
        <v>1632812</v>
      </c>
      <c r="D44" s="185">
        <f t="shared" si="0"/>
        <v>1182362</v>
      </c>
      <c r="E44" s="185">
        <f>+D44-C44</f>
        <v>-450450</v>
      </c>
      <c r="F44" s="77">
        <f>IF(C44=0,0,+E44/C44)</f>
        <v>-0.27587376868861818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913</v>
      </c>
      <c r="C45" s="185">
        <f t="shared" si="0"/>
        <v>2256690</v>
      </c>
      <c r="D45" s="185">
        <f t="shared" si="0"/>
        <v>1833241</v>
      </c>
      <c r="E45" s="185">
        <f>+D45-C45</f>
        <v>-423449</v>
      </c>
      <c r="F45" s="77">
        <f>IF(C45=0,0,+E45/C45)</f>
        <v>-0.1876416344291861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910</v>
      </c>
      <c r="C46" s="79">
        <f>+C43+C44+C45</f>
        <v>5976835</v>
      </c>
      <c r="D46" s="79">
        <f>+D43+D44+D45</f>
        <v>4722067</v>
      </c>
      <c r="E46" s="79">
        <f>+E43+E44+E45</f>
        <v>-1254768</v>
      </c>
      <c r="F46" s="80">
        <f>IF(C46=0,0,+E46/C46)</f>
        <v>-0.20993853770432008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914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FILING&amp;RCT CHILDREN`S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632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915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916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917</v>
      </c>
      <c r="D10" s="177" t="s">
        <v>917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918</v>
      </c>
      <c r="D11" s="693" t="s">
        <v>918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919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267224459</v>
      </c>
      <c r="D15" s="76">
        <v>272351705</v>
      </c>
      <c r="E15" s="76">
        <f>+D15-C15</f>
        <v>5127246</v>
      </c>
      <c r="F15" s="77">
        <f>IF(C15=0,0,E15/C15)</f>
        <v>1.9187038563711716E-2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920</v>
      </c>
      <c r="C17" s="76">
        <v>116760624</v>
      </c>
      <c r="D17" s="76">
        <v>116709401</v>
      </c>
      <c r="E17" s="76">
        <f>+D17-C17</f>
        <v>-51223</v>
      </c>
      <c r="F17" s="77">
        <f>IF(C17=0,0,E17/C17)</f>
        <v>-4.3870097850796003E-4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921</v>
      </c>
      <c r="C19" s="79">
        <f>+C15-C17</f>
        <v>150463835</v>
      </c>
      <c r="D19" s="79">
        <f>+D15-D17</f>
        <v>155642304</v>
      </c>
      <c r="E19" s="79">
        <f>+D19-C19</f>
        <v>5178469</v>
      </c>
      <c r="F19" s="80">
        <f>IF(C19=0,0,E19/C19)</f>
        <v>3.4416702192922304E-2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922</v>
      </c>
      <c r="C21" s="720">
        <f>IF(C15=0,0,C17/C15)</f>
        <v>0.43693838669161644</v>
      </c>
      <c r="D21" s="720">
        <f>IF(D15=0,0,D17/D15)</f>
        <v>0.42852458368123675</v>
      </c>
      <c r="E21" s="720">
        <f>+D21-C21</f>
        <v>-8.4138030103796946E-3</v>
      </c>
      <c r="F21" s="80">
        <f>IF(C21=0,0,E21/C21)</f>
        <v>-1.9256268770722614E-2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923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FILING&amp;R&amp;12CT CHILDREN`S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924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925</v>
      </c>
      <c r="B6" s="734" t="s">
        <v>926</v>
      </c>
      <c r="C6" s="734" t="s">
        <v>927</v>
      </c>
      <c r="D6" s="734" t="s">
        <v>928</v>
      </c>
      <c r="E6" s="734" t="s">
        <v>929</v>
      </c>
    </row>
    <row r="7" spans="1:6" ht="37.5" customHeight="1" x14ac:dyDescent="0.25">
      <c r="A7" s="735" t="s">
        <v>8</v>
      </c>
      <c r="B7" s="736" t="s">
        <v>9</v>
      </c>
      <c r="C7" s="737" t="s">
        <v>930</v>
      </c>
      <c r="D7" s="737" t="s">
        <v>931</v>
      </c>
      <c r="E7" s="737" t="s">
        <v>932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933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934</v>
      </c>
      <c r="C10" s="744">
        <v>298461735</v>
      </c>
      <c r="D10" s="744">
        <v>346236656</v>
      </c>
      <c r="E10" s="744">
        <v>334817086</v>
      </c>
    </row>
    <row r="11" spans="1:6" ht="26.1" customHeight="1" x14ac:dyDescent="0.25">
      <c r="A11" s="742">
        <v>2</v>
      </c>
      <c r="B11" s="743" t="s">
        <v>935</v>
      </c>
      <c r="C11" s="744">
        <v>208119766</v>
      </c>
      <c r="D11" s="744">
        <v>228576783</v>
      </c>
      <c r="E11" s="744">
        <v>261858160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506581501</v>
      </c>
      <c r="D12" s="744">
        <f>+D11+D10</f>
        <v>574813439</v>
      </c>
      <c r="E12" s="744">
        <f>+E11+E10</f>
        <v>596675246</v>
      </c>
    </row>
    <row r="13" spans="1:6" ht="26.1" customHeight="1" x14ac:dyDescent="0.25">
      <c r="A13" s="742">
        <v>4</v>
      </c>
      <c r="B13" s="743" t="s">
        <v>507</v>
      </c>
      <c r="C13" s="744">
        <v>231197635</v>
      </c>
      <c r="D13" s="744">
        <v>239314874</v>
      </c>
      <c r="E13" s="744">
        <v>252957977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936</v>
      </c>
      <c r="C16" s="744">
        <v>251662045</v>
      </c>
      <c r="D16" s="744">
        <v>267793841</v>
      </c>
      <c r="E16" s="744">
        <v>280099480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937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44449</v>
      </c>
      <c r="D19" s="747">
        <v>46107</v>
      </c>
      <c r="E19" s="747">
        <v>42524</v>
      </c>
    </row>
    <row r="20" spans="1:5" ht="26.1" customHeight="1" x14ac:dyDescent="0.25">
      <c r="A20" s="742">
        <v>2</v>
      </c>
      <c r="B20" s="743" t="s">
        <v>381</v>
      </c>
      <c r="C20" s="748">
        <v>6642</v>
      </c>
      <c r="D20" s="748">
        <v>6422</v>
      </c>
      <c r="E20" s="748">
        <v>5803</v>
      </c>
    </row>
    <row r="21" spans="1:5" ht="26.1" customHeight="1" x14ac:dyDescent="0.25">
      <c r="A21" s="742">
        <v>3</v>
      </c>
      <c r="B21" s="743" t="s">
        <v>938</v>
      </c>
      <c r="C21" s="749">
        <f>IF(C20=0,0,+C19/C20)</f>
        <v>6.692110809996989</v>
      </c>
      <c r="D21" s="749">
        <f>IF(D20=0,0,+D19/D20)</f>
        <v>7.1795390843973843</v>
      </c>
      <c r="E21" s="749">
        <f>IF(E20=0,0,+E19/E20)</f>
        <v>7.3279338273306909</v>
      </c>
    </row>
    <row r="22" spans="1:5" ht="26.1" customHeight="1" x14ac:dyDescent="0.25">
      <c r="A22" s="742">
        <v>4</v>
      </c>
      <c r="B22" s="743" t="s">
        <v>939</v>
      </c>
      <c r="C22" s="748">
        <f>IF(C10=0,0,C19*(C12/C10))</f>
        <v>75443.644854336177</v>
      </c>
      <c r="D22" s="748">
        <f>IF(D10=0,0,D19*(D12/D10))</f>
        <v>76545.688541923184</v>
      </c>
      <c r="E22" s="748">
        <f>IF(E10=0,0,E19*(E12/E10))</f>
        <v>75781.730448797942</v>
      </c>
    </row>
    <row r="23" spans="1:5" ht="26.1" customHeight="1" x14ac:dyDescent="0.25">
      <c r="A23" s="742">
        <v>0</v>
      </c>
      <c r="B23" s="743" t="s">
        <v>940</v>
      </c>
      <c r="C23" s="748">
        <f>IF(C10=0,0,C20*(C12/C10))</f>
        <v>11273.519969459401</v>
      </c>
      <c r="D23" s="748">
        <f>IF(D10=0,0,D20*(D12/D10))</f>
        <v>10661.643824500199</v>
      </c>
      <c r="E23" s="748">
        <f>IF(E10=0,0,E20*(E12/E10))</f>
        <v>10341.486732065998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941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1.5617833333333333</v>
      </c>
      <c r="D26" s="750">
        <v>1.6228650264715041</v>
      </c>
      <c r="E26" s="750">
        <v>1.7792276408754095</v>
      </c>
    </row>
    <row r="27" spans="1:5" ht="26.1" customHeight="1" x14ac:dyDescent="0.25">
      <c r="A27" s="742">
        <v>2</v>
      </c>
      <c r="B27" s="743" t="s">
        <v>942</v>
      </c>
      <c r="C27" s="748">
        <f>C19*C26</f>
        <v>69419.707383333327</v>
      </c>
      <c r="D27" s="748">
        <f>D19*D26</f>
        <v>74825.437775521641</v>
      </c>
      <c r="E27" s="748">
        <f>E19*E26</f>
        <v>75659.876200585917</v>
      </c>
    </row>
    <row r="28" spans="1:5" ht="26.1" customHeight="1" x14ac:dyDescent="0.25">
      <c r="A28" s="742">
        <v>3</v>
      </c>
      <c r="B28" s="743" t="s">
        <v>943</v>
      </c>
      <c r="C28" s="748">
        <f>C20*C26</f>
        <v>10373.3649</v>
      </c>
      <c r="D28" s="748">
        <f>D20*D26</f>
        <v>10422.039199999999</v>
      </c>
      <c r="E28" s="748">
        <f>E20*E26</f>
        <v>10324.858000000002</v>
      </c>
    </row>
    <row r="29" spans="1:5" ht="26.1" customHeight="1" x14ac:dyDescent="0.25">
      <c r="A29" s="742">
        <v>4</v>
      </c>
      <c r="B29" s="743" t="s">
        <v>944</v>
      </c>
      <c r="C29" s="748">
        <f>C22*C26</f>
        <v>117826.62713942133</v>
      </c>
      <c r="D29" s="748">
        <f>D22*D26</f>
        <v>124223.32086186767</v>
      </c>
      <c r="E29" s="748">
        <f>E22*E26</f>
        <v>134832.94948787094</v>
      </c>
    </row>
    <row r="30" spans="1:5" ht="26.1" customHeight="1" x14ac:dyDescent="0.25">
      <c r="A30" s="742">
        <v>5</v>
      </c>
      <c r="B30" s="743" t="s">
        <v>945</v>
      </c>
      <c r="C30" s="748">
        <f>C23*C26</f>
        <v>17606.795596302203</v>
      </c>
      <c r="D30" s="748">
        <f>D23*D26</f>
        <v>17302.408887477264</v>
      </c>
      <c r="E30" s="748">
        <f>E23*E26</f>
        <v>18399.859041438132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946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947</v>
      </c>
      <c r="C33" s="744">
        <f>IF(C19=0,0,C12/C19)</f>
        <v>11396.915588652164</v>
      </c>
      <c r="D33" s="744">
        <f>IF(D19=0,0,D12/D19)</f>
        <v>12466.945127637886</v>
      </c>
      <c r="E33" s="744">
        <f>IF(E19=0,0,E12/E19)</f>
        <v>14031.493885805663</v>
      </c>
    </row>
    <row r="34" spans="1:5" ht="26.1" customHeight="1" x14ac:dyDescent="0.25">
      <c r="A34" s="742">
        <v>2</v>
      </c>
      <c r="B34" s="743" t="s">
        <v>948</v>
      </c>
      <c r="C34" s="744">
        <f>IF(C20=0,0,C12/C20)</f>
        <v>76269.422011442337</v>
      </c>
      <c r="D34" s="744">
        <f>IF(D20=0,0,D12/D20)</f>
        <v>89506.919806913735</v>
      </c>
      <c r="E34" s="744">
        <f>IF(E20=0,0,E12/E20)</f>
        <v>102821.85869377908</v>
      </c>
    </row>
    <row r="35" spans="1:5" ht="26.1" customHeight="1" x14ac:dyDescent="0.25">
      <c r="A35" s="742">
        <v>3</v>
      </c>
      <c r="B35" s="743" t="s">
        <v>949</v>
      </c>
      <c r="C35" s="744">
        <f>IF(C22=0,0,C12/C22)</f>
        <v>6714.7007806699821</v>
      </c>
      <c r="D35" s="744">
        <f>IF(D22=0,0,D12/D22)</f>
        <v>7509.4162708482445</v>
      </c>
      <c r="E35" s="744">
        <f>IF(E22=0,0,E12/E22)</f>
        <v>7873.6028125293951</v>
      </c>
    </row>
    <row r="36" spans="1:5" ht="26.1" customHeight="1" x14ac:dyDescent="0.25">
      <c r="A36" s="742">
        <v>4</v>
      </c>
      <c r="B36" s="743" t="s">
        <v>950</v>
      </c>
      <c r="C36" s="744">
        <f>IF(C23=0,0,C12/C23)</f>
        <v>44935.521680216807</v>
      </c>
      <c r="D36" s="744">
        <f>IF(D23=0,0,D12/D23)</f>
        <v>53914.147617564624</v>
      </c>
      <c r="E36" s="744">
        <f>IF(E23=0,0,E12/E23)</f>
        <v>57697.240392900225</v>
      </c>
    </row>
    <row r="37" spans="1:5" ht="26.1" customHeight="1" x14ac:dyDescent="0.25">
      <c r="A37" s="742">
        <v>5</v>
      </c>
      <c r="B37" s="743" t="s">
        <v>951</v>
      </c>
      <c r="C37" s="744">
        <f>IF(C29=0,0,C12/C29)</f>
        <v>4299.380482143265</v>
      </c>
      <c r="D37" s="744">
        <f>IF(D29=0,0,D12/D29)</f>
        <v>4627.2586742321437</v>
      </c>
      <c r="E37" s="744">
        <f>IF(E29=0,0,E12/E29)</f>
        <v>4425.2925435979923</v>
      </c>
    </row>
    <row r="38" spans="1:5" ht="26.1" customHeight="1" x14ac:dyDescent="0.25">
      <c r="A38" s="742">
        <v>6</v>
      </c>
      <c r="B38" s="743" t="s">
        <v>952</v>
      </c>
      <c r="C38" s="744">
        <f>IF(C30=0,0,C12/C30)</f>
        <v>28771.930600841006</v>
      </c>
      <c r="D38" s="744">
        <f>IF(D30=0,0,D12/D30)</f>
        <v>33221.584505266495</v>
      </c>
      <c r="E38" s="744">
        <f>IF(E30=0,0,E12/E30)</f>
        <v>32428.250926066001</v>
      </c>
    </row>
    <row r="39" spans="1:5" ht="26.1" customHeight="1" x14ac:dyDescent="0.25">
      <c r="A39" s="742">
        <v>7</v>
      </c>
      <c r="B39" s="743" t="s">
        <v>953</v>
      </c>
      <c r="C39" s="744">
        <f>IF(C22=0,0,C10/C22)</f>
        <v>3956.0884893122407</v>
      </c>
      <c r="D39" s="744">
        <f>IF(D22=0,0,D10/D22)</f>
        <v>4523.2679017626215</v>
      </c>
      <c r="E39" s="744">
        <f>IF(E22=0,0,E10/E22)</f>
        <v>4418.1768351967066</v>
      </c>
    </row>
    <row r="40" spans="1:5" ht="26.1" customHeight="1" x14ac:dyDescent="0.25">
      <c r="A40" s="742">
        <v>8</v>
      </c>
      <c r="B40" s="743" t="s">
        <v>954</v>
      </c>
      <c r="C40" s="744">
        <f>IF(C23=0,0,C10/C23)</f>
        <v>26474.582544631099</v>
      </c>
      <c r="D40" s="744">
        <f>IF(D23=0,0,D10/D23)</f>
        <v>32474.978689904885</v>
      </c>
      <c r="E40" s="744">
        <f>IF(E23=0,0,E10/E23)</f>
        <v>32376.107485766799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955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956</v>
      </c>
      <c r="C43" s="744">
        <f>IF(C19=0,0,C13/C19)</f>
        <v>5201.413642601633</v>
      </c>
      <c r="D43" s="744">
        <f>IF(D19=0,0,D13/D19)</f>
        <v>5190.4238835751621</v>
      </c>
      <c r="E43" s="744">
        <f>IF(E19=0,0,E13/E19)</f>
        <v>5948.5931944313797</v>
      </c>
    </row>
    <row r="44" spans="1:5" ht="26.1" customHeight="1" x14ac:dyDescent="0.25">
      <c r="A44" s="742">
        <v>2</v>
      </c>
      <c r="B44" s="743" t="s">
        <v>957</v>
      </c>
      <c r="C44" s="744">
        <f>IF(C20=0,0,C13/C20)</f>
        <v>34808.436464920203</v>
      </c>
      <c r="D44" s="744">
        <f>IF(D20=0,0,D13/D20)</f>
        <v>37264.851136717531</v>
      </c>
      <c r="E44" s="744">
        <f>IF(E20=0,0,E13/E20)</f>
        <v>43590.897294502844</v>
      </c>
    </row>
    <row r="45" spans="1:5" ht="26.1" customHeight="1" x14ac:dyDescent="0.25">
      <c r="A45" s="742">
        <v>3</v>
      </c>
      <c r="B45" s="743" t="s">
        <v>958</v>
      </c>
      <c r="C45" s="744">
        <f>IF(C22=0,0,C13/C22)</f>
        <v>3064.507758690449</v>
      </c>
      <c r="D45" s="744">
        <f>IF(D22=0,0,D13/D22)</f>
        <v>3126.4317894133255</v>
      </c>
      <c r="E45" s="744">
        <f>IF(E22=0,0,E13/E22)</f>
        <v>3337.9810081126543</v>
      </c>
    </row>
    <row r="46" spans="1:5" ht="26.1" customHeight="1" x14ac:dyDescent="0.25">
      <c r="A46" s="742">
        <v>4</v>
      </c>
      <c r="B46" s="743" t="s">
        <v>959</v>
      </c>
      <c r="C46" s="744">
        <f>IF(C23=0,0,C13/C23)</f>
        <v>20508.025499251999</v>
      </c>
      <c r="D46" s="744">
        <f>IF(D23=0,0,D13/D23)</f>
        <v>22446.339226795422</v>
      </c>
      <c r="E46" s="744">
        <f>IF(E23=0,0,E13/E23)</f>
        <v>24460.50394433612</v>
      </c>
    </row>
    <row r="47" spans="1:5" ht="26.1" customHeight="1" x14ac:dyDescent="0.25">
      <c r="A47" s="742">
        <v>5</v>
      </c>
      <c r="B47" s="743" t="s">
        <v>960</v>
      </c>
      <c r="C47" s="744">
        <f>IF(C29=0,0,C13/C29)</f>
        <v>1962.1849543943033</v>
      </c>
      <c r="D47" s="744">
        <f>IF(D29=0,0,D13/D29)</f>
        <v>1926.4891031701723</v>
      </c>
      <c r="E47" s="744">
        <f>IF(E29=0,0,E13/E29)</f>
        <v>1876.0842802949671</v>
      </c>
    </row>
    <row r="48" spans="1:5" ht="26.1" customHeight="1" x14ac:dyDescent="0.25">
      <c r="A48" s="742">
        <v>6</v>
      </c>
      <c r="B48" s="743" t="s">
        <v>961</v>
      </c>
      <c r="C48" s="744">
        <f>IF(C30=0,0,C13/C30)</f>
        <v>13131.159144515563</v>
      </c>
      <c r="D48" s="744">
        <f>IF(D30=0,0,D13/D30)</f>
        <v>13831.303811875916</v>
      </c>
      <c r="E48" s="744">
        <f>IF(E30=0,0,E13/E30)</f>
        <v>13747.821460496842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962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963</v>
      </c>
      <c r="C51" s="744">
        <f>IF(C19=0,0,C16/C19)</f>
        <v>5661.8156763931693</v>
      </c>
      <c r="D51" s="744">
        <f>IF(D19=0,0,D16/D19)</f>
        <v>5808.0951048647712</v>
      </c>
      <c r="E51" s="744">
        <f>IF(E19=0,0,E16/E19)</f>
        <v>6586.8563634653374</v>
      </c>
    </row>
    <row r="52" spans="1:6" ht="26.1" customHeight="1" x14ac:dyDescent="0.25">
      <c r="A52" s="742">
        <v>2</v>
      </c>
      <c r="B52" s="743" t="s">
        <v>964</v>
      </c>
      <c r="C52" s="744">
        <f>IF(C20=0,0,C16/C20)</f>
        <v>37889.497892201143</v>
      </c>
      <c r="D52" s="744">
        <f>IF(D20=0,0,D16/D20)</f>
        <v>41699.445811273748</v>
      </c>
      <c r="E52" s="744">
        <f>IF(E20=0,0,E16/E20)</f>
        <v>48268.047561606065</v>
      </c>
    </row>
    <row r="53" spans="1:6" ht="26.1" customHeight="1" x14ac:dyDescent="0.25">
      <c r="A53" s="742">
        <v>3</v>
      </c>
      <c r="B53" s="743" t="s">
        <v>965</v>
      </c>
      <c r="C53" s="744">
        <f>IF(C22=0,0,C16/C22)</f>
        <v>3335.7620179393484</v>
      </c>
      <c r="D53" s="744">
        <f>IF(D22=0,0,D16/D22)</f>
        <v>3498.4836651293876</v>
      </c>
      <c r="E53" s="744">
        <f>IF(E22=0,0,E16/E22)</f>
        <v>3696.1346533152828</v>
      </c>
    </row>
    <row r="54" spans="1:6" ht="26.1" customHeight="1" x14ac:dyDescent="0.25">
      <c r="A54" s="742">
        <v>4</v>
      </c>
      <c r="B54" s="743" t="s">
        <v>966</v>
      </c>
      <c r="C54" s="744">
        <f>IF(C23=0,0,C16/C23)</f>
        <v>22323.289059829283</v>
      </c>
      <c r="D54" s="744">
        <f>IF(D23=0,0,D16/D23)</f>
        <v>25117.500209922247</v>
      </c>
      <c r="E54" s="744">
        <f>IF(E23=0,0,E16/E23)</f>
        <v>27085.030156398258</v>
      </c>
    </row>
    <row r="55" spans="1:6" ht="26.1" customHeight="1" x14ac:dyDescent="0.25">
      <c r="A55" s="742">
        <v>5</v>
      </c>
      <c r="B55" s="743" t="s">
        <v>967</v>
      </c>
      <c r="C55" s="744">
        <f>IF(C29=0,0,C16/C29)</f>
        <v>2135.8673426356722</v>
      </c>
      <c r="D55" s="744">
        <f>IF(D29=0,0,D16/D29)</f>
        <v>2155.745307258193</v>
      </c>
      <c r="E55" s="744">
        <f>IF(E29=0,0,E16/E29)</f>
        <v>2077.3815381469253</v>
      </c>
    </row>
    <row r="56" spans="1:6" ht="26.1" customHeight="1" x14ac:dyDescent="0.25">
      <c r="A56" s="742">
        <v>6</v>
      </c>
      <c r="B56" s="743" t="s">
        <v>968</v>
      </c>
      <c r="C56" s="744">
        <f>IF(C30=0,0,C16/C30)</f>
        <v>14293.460932371721</v>
      </c>
      <c r="D56" s="744">
        <f>IF(D30=0,0,D16/D30)</f>
        <v>15477.257689466442</v>
      </c>
      <c r="E56" s="744">
        <f>IF(E30=0,0,E16/E30)</f>
        <v>15222.914445659113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969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970</v>
      </c>
      <c r="C59" s="752">
        <v>30614095</v>
      </c>
      <c r="D59" s="752">
        <v>29967685</v>
      </c>
      <c r="E59" s="752">
        <v>29168523</v>
      </c>
    </row>
    <row r="60" spans="1:6" ht="26.1" customHeight="1" x14ac:dyDescent="0.25">
      <c r="A60" s="742">
        <v>2</v>
      </c>
      <c r="B60" s="743" t="s">
        <v>971</v>
      </c>
      <c r="C60" s="752">
        <v>8158437</v>
      </c>
      <c r="D60" s="752">
        <v>8711626</v>
      </c>
      <c r="E60" s="752">
        <v>8007981</v>
      </c>
    </row>
    <row r="61" spans="1:6" ht="26.1" customHeight="1" x14ac:dyDescent="0.25">
      <c r="A61" s="753">
        <v>3</v>
      </c>
      <c r="B61" s="754" t="s">
        <v>972</v>
      </c>
      <c r="C61" s="755">
        <f>C59+C60</f>
        <v>38772532</v>
      </c>
      <c r="D61" s="755">
        <f>D59+D60</f>
        <v>38679311</v>
      </c>
      <c r="E61" s="755">
        <f>E59+E60</f>
        <v>37176504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973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974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975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976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977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978</v>
      </c>
      <c r="C69" s="752">
        <v>67858609</v>
      </c>
      <c r="D69" s="752">
        <v>77662593</v>
      </c>
      <c r="E69" s="752">
        <v>80702121</v>
      </c>
    </row>
    <row r="70" spans="1:6" ht="26.1" customHeight="1" x14ac:dyDescent="0.25">
      <c r="A70" s="742">
        <v>2</v>
      </c>
      <c r="B70" s="743" t="s">
        <v>979</v>
      </c>
      <c r="C70" s="752">
        <v>18083833</v>
      </c>
      <c r="D70" s="752">
        <v>22576569</v>
      </c>
      <c r="E70" s="752">
        <v>22156113</v>
      </c>
    </row>
    <row r="71" spans="1:6" ht="26.1" customHeight="1" x14ac:dyDescent="0.25">
      <c r="A71" s="753">
        <v>3</v>
      </c>
      <c r="B71" s="754" t="s">
        <v>980</v>
      </c>
      <c r="C71" s="755">
        <f>C69+C70</f>
        <v>85942442</v>
      </c>
      <c r="D71" s="755">
        <f>D69+D70</f>
        <v>100239162</v>
      </c>
      <c r="E71" s="755">
        <f>E69+E70</f>
        <v>102858234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981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982</v>
      </c>
      <c r="C75" s="744">
        <f t="shared" ref="C75:E76" si="0">+C59+C64+C69</f>
        <v>98472704</v>
      </c>
      <c r="D75" s="744">
        <f t="shared" si="0"/>
        <v>107630278</v>
      </c>
      <c r="E75" s="744">
        <f t="shared" si="0"/>
        <v>109870644</v>
      </c>
    </row>
    <row r="76" spans="1:6" ht="26.1" customHeight="1" x14ac:dyDescent="0.25">
      <c r="A76" s="742">
        <v>2</v>
      </c>
      <c r="B76" s="743" t="s">
        <v>983</v>
      </c>
      <c r="C76" s="744">
        <f t="shared" si="0"/>
        <v>26242270</v>
      </c>
      <c r="D76" s="744">
        <f t="shared" si="0"/>
        <v>31288195</v>
      </c>
      <c r="E76" s="744">
        <f t="shared" si="0"/>
        <v>30164094</v>
      </c>
    </row>
    <row r="77" spans="1:6" ht="26.1" customHeight="1" x14ac:dyDescent="0.25">
      <c r="A77" s="753">
        <v>3</v>
      </c>
      <c r="B77" s="754" t="s">
        <v>981</v>
      </c>
      <c r="C77" s="757">
        <f>C75+C76</f>
        <v>124714974</v>
      </c>
      <c r="D77" s="757">
        <f>D75+D76</f>
        <v>138918473</v>
      </c>
      <c r="E77" s="757">
        <f>E75+E76</f>
        <v>140034738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984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341.1</v>
      </c>
      <c r="D80" s="749">
        <v>329.6</v>
      </c>
      <c r="E80" s="749">
        <v>327.3</v>
      </c>
    </row>
    <row r="81" spans="1:5" ht="26.1" customHeight="1" x14ac:dyDescent="0.25">
      <c r="A81" s="742">
        <v>2</v>
      </c>
      <c r="B81" s="743" t="s">
        <v>617</v>
      </c>
      <c r="C81" s="749">
        <v>42.9</v>
      </c>
      <c r="D81" s="749">
        <v>43.6</v>
      </c>
      <c r="E81" s="749">
        <v>44.4</v>
      </c>
    </row>
    <row r="82" spans="1:5" ht="26.1" customHeight="1" x14ac:dyDescent="0.25">
      <c r="A82" s="742">
        <v>3</v>
      </c>
      <c r="B82" s="743" t="s">
        <v>985</v>
      </c>
      <c r="C82" s="749">
        <v>947.9</v>
      </c>
      <c r="D82" s="749">
        <v>1056.5</v>
      </c>
      <c r="E82" s="749">
        <v>1082.7</v>
      </c>
    </row>
    <row r="83" spans="1:5" ht="26.1" customHeight="1" x14ac:dyDescent="0.25">
      <c r="A83" s="753">
        <v>4</v>
      </c>
      <c r="B83" s="754" t="s">
        <v>984</v>
      </c>
      <c r="C83" s="759">
        <f>C80+C81+C82</f>
        <v>1331.9</v>
      </c>
      <c r="D83" s="759">
        <f>D80+D81+D82</f>
        <v>1429.7</v>
      </c>
      <c r="E83" s="759">
        <f>E80+E81+E82</f>
        <v>1454.4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986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987</v>
      </c>
      <c r="C86" s="752">
        <f>IF(C80=0,0,C59/C80)</f>
        <v>89751.084725886831</v>
      </c>
      <c r="D86" s="752">
        <f>IF(D80=0,0,D59/D80)</f>
        <v>90921.374393203878</v>
      </c>
      <c r="E86" s="752">
        <f>IF(E80=0,0,E59/E80)</f>
        <v>89118.615948670937</v>
      </c>
    </row>
    <row r="87" spans="1:5" ht="26.1" customHeight="1" x14ac:dyDescent="0.25">
      <c r="A87" s="742">
        <v>2</v>
      </c>
      <c r="B87" s="743" t="s">
        <v>988</v>
      </c>
      <c r="C87" s="752">
        <f>IF(C80=0,0,C60/C80)</f>
        <v>23918.021108179419</v>
      </c>
      <c r="D87" s="752">
        <f>IF(D80=0,0,D60/D80)</f>
        <v>26430.904126213591</v>
      </c>
      <c r="E87" s="752">
        <f>IF(E80=0,0,E60/E80)</f>
        <v>24466.791934005498</v>
      </c>
    </row>
    <row r="88" spans="1:5" ht="26.1" customHeight="1" x14ac:dyDescent="0.25">
      <c r="A88" s="753">
        <v>3</v>
      </c>
      <c r="B88" s="754" t="s">
        <v>989</v>
      </c>
      <c r="C88" s="755">
        <f>+C86+C87</f>
        <v>113669.10583406626</v>
      </c>
      <c r="D88" s="755">
        <f>+D86+D87</f>
        <v>117352.27851941746</v>
      </c>
      <c r="E88" s="755">
        <f>+E86+E87</f>
        <v>113585.40788267643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990</v>
      </c>
    </row>
    <row r="91" spans="1:5" ht="26.1" customHeight="1" x14ac:dyDescent="0.25">
      <c r="A91" s="742">
        <v>1</v>
      </c>
      <c r="B91" s="743" t="s">
        <v>991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992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993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994</v>
      </c>
      <c r="B95" s="745" t="s">
        <v>995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996</v>
      </c>
      <c r="C96" s="752">
        <f>IF(C82=0,0,C69/C82)</f>
        <v>71588.362696486976</v>
      </c>
      <c r="D96" s="752">
        <f>IF(D82=0,0,D69/D82)</f>
        <v>73509.316611452916</v>
      </c>
      <c r="E96" s="752">
        <f>IF(E82=0,0,E69/E82)</f>
        <v>74537.841507342746</v>
      </c>
    </row>
    <row r="97" spans="1:5" ht="26.1" customHeight="1" x14ac:dyDescent="0.25">
      <c r="A97" s="742">
        <v>2</v>
      </c>
      <c r="B97" s="743" t="s">
        <v>997</v>
      </c>
      <c r="C97" s="752">
        <f>IF(C82=0,0,C70/C82)</f>
        <v>19077.785631395716</v>
      </c>
      <c r="D97" s="752">
        <f>IF(D82=0,0,D70/D82)</f>
        <v>21369.208707998107</v>
      </c>
      <c r="E97" s="752">
        <f>IF(E82=0,0,E70/E82)</f>
        <v>20463.760044333609</v>
      </c>
    </row>
    <row r="98" spans="1:5" ht="26.1" customHeight="1" x14ac:dyDescent="0.25">
      <c r="A98" s="753">
        <v>3</v>
      </c>
      <c r="B98" s="754" t="s">
        <v>998</v>
      </c>
      <c r="C98" s="757">
        <f>+C96+C97</f>
        <v>90666.148327882693</v>
      </c>
      <c r="D98" s="757">
        <f>+D96+D97</f>
        <v>94878.52531945103</v>
      </c>
      <c r="E98" s="757">
        <f>+E96+E97</f>
        <v>95001.601551676358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999</v>
      </c>
      <c r="B100" s="745" t="s">
        <v>1000</v>
      </c>
    </row>
    <row r="101" spans="1:5" ht="26.1" customHeight="1" x14ac:dyDescent="0.25">
      <c r="A101" s="742">
        <v>1</v>
      </c>
      <c r="B101" s="743" t="s">
        <v>1001</v>
      </c>
      <c r="C101" s="744">
        <f>IF(C83=0,0,C75/C83)</f>
        <v>73934.007057586903</v>
      </c>
      <c r="D101" s="744">
        <f>IF(D83=0,0,D75/D83)</f>
        <v>75281.722039588727</v>
      </c>
      <c r="E101" s="744">
        <f>IF(E83=0,0,E75/E83)</f>
        <v>75543.622112211218</v>
      </c>
    </row>
    <row r="102" spans="1:5" ht="26.1" customHeight="1" x14ac:dyDescent="0.25">
      <c r="A102" s="742">
        <v>2</v>
      </c>
      <c r="B102" s="743" t="s">
        <v>1002</v>
      </c>
      <c r="C102" s="761">
        <f>IF(C83=0,0,C76/C83)</f>
        <v>19702.883099331779</v>
      </c>
      <c r="D102" s="761">
        <f>IF(D83=0,0,D76/D83)</f>
        <v>21884.447786248864</v>
      </c>
      <c r="E102" s="761">
        <f>IF(E83=0,0,E76/E83)</f>
        <v>20739.888613861385</v>
      </c>
    </row>
    <row r="103" spans="1:5" ht="26.1" customHeight="1" x14ac:dyDescent="0.25">
      <c r="A103" s="753">
        <v>3</v>
      </c>
      <c r="B103" s="754" t="s">
        <v>1000</v>
      </c>
      <c r="C103" s="757">
        <f>+C101+C102</f>
        <v>93636.890156918686</v>
      </c>
      <c r="D103" s="757">
        <f>+D101+D102</f>
        <v>97166.169825837598</v>
      </c>
      <c r="E103" s="757">
        <f>+E101+E102</f>
        <v>96283.510726072607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1003</v>
      </c>
      <c r="B107" s="736" t="s">
        <v>1004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1005</v>
      </c>
      <c r="C108" s="744">
        <f>IF(C19=0,0,C77/C19)</f>
        <v>2805.7993205696416</v>
      </c>
      <c r="D108" s="744">
        <f>IF(D19=0,0,D77/D19)</f>
        <v>3012.9584011104603</v>
      </c>
      <c r="E108" s="744">
        <f>IF(E19=0,0,E77/E19)</f>
        <v>3293.0753927194055</v>
      </c>
    </row>
    <row r="109" spans="1:5" ht="26.1" customHeight="1" x14ac:dyDescent="0.25">
      <c r="A109" s="742">
        <v>2</v>
      </c>
      <c r="B109" s="743" t="s">
        <v>1006</v>
      </c>
      <c r="C109" s="744">
        <f>IF(C20=0,0,C77/C20)</f>
        <v>18776.719963866304</v>
      </c>
      <c r="D109" s="744">
        <f>IF(D20=0,0,D77/D20)</f>
        <v>21631.652600436002</v>
      </c>
      <c r="E109" s="744">
        <f>IF(E20=0,0,E77/E20)</f>
        <v>24131.438566258832</v>
      </c>
    </row>
    <row r="110" spans="1:5" ht="26.1" customHeight="1" x14ac:dyDescent="0.25">
      <c r="A110" s="742">
        <v>3</v>
      </c>
      <c r="B110" s="743" t="s">
        <v>1007</v>
      </c>
      <c r="C110" s="744">
        <f>IF(C22=0,0,C77/C22)</f>
        <v>1653.0878676500201</v>
      </c>
      <c r="D110" s="744">
        <f>IF(D22=0,0,D77/D22)</f>
        <v>1814.8438618318257</v>
      </c>
      <c r="E110" s="744">
        <f>IF(E22=0,0,E77/E22)</f>
        <v>1847.869363376635</v>
      </c>
    </row>
    <row r="111" spans="1:5" ht="26.1" customHeight="1" x14ac:dyDescent="0.25">
      <c r="A111" s="742">
        <v>4</v>
      </c>
      <c r="B111" s="743" t="s">
        <v>1008</v>
      </c>
      <c r="C111" s="744">
        <f>IF(C23=0,0,C77/C23)</f>
        <v>11062.64718897557</v>
      </c>
      <c r="D111" s="744">
        <f>IF(D23=0,0,D77/D23)</f>
        <v>13029.742438100278</v>
      </c>
      <c r="E111" s="744">
        <f>IF(E23=0,0,E77/E23)</f>
        <v>13541.06441637567</v>
      </c>
    </row>
    <row r="112" spans="1:5" ht="26.1" customHeight="1" x14ac:dyDescent="0.25">
      <c r="A112" s="742">
        <v>5</v>
      </c>
      <c r="B112" s="743" t="s">
        <v>1009</v>
      </c>
      <c r="C112" s="744">
        <f>IF(C29=0,0,C77/C29)</f>
        <v>1058.46171640327</v>
      </c>
      <c r="D112" s="744">
        <f>IF(D29=0,0,D77/D29)</f>
        <v>1118.2962428968781</v>
      </c>
      <c r="E112" s="744">
        <f>IF(E29=0,0,E77/E29)</f>
        <v>1038.579505468706</v>
      </c>
    </row>
    <row r="113" spans="1:7" ht="25.5" customHeight="1" x14ac:dyDescent="0.25">
      <c r="A113" s="742">
        <v>6</v>
      </c>
      <c r="B113" s="743" t="s">
        <v>1010</v>
      </c>
      <c r="C113" s="744">
        <f>IF(C30=0,0,C77/C30)</f>
        <v>7083.3430943102876</v>
      </c>
      <c r="D113" s="744">
        <f>IF(D30=0,0,D77/D30)</f>
        <v>8028.8515838128869</v>
      </c>
      <c r="E113" s="744">
        <f>IF(E30=0,0,E77/E30)</f>
        <v>7610.6418904965094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FILING&amp;R&amp;"Arial,Bold"&amp;12CT CHILDREN`S MEDICAL CENTER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574813438</v>
      </c>
      <c r="D12" s="76">
        <v>596674847</v>
      </c>
      <c r="E12" s="76">
        <f t="shared" ref="E12:E21" si="0">D12-C12</f>
        <v>21861409</v>
      </c>
      <c r="F12" s="77">
        <f t="shared" ref="F12:F21" si="1">IF(C12=0,0,E12/C12)</f>
        <v>3.8032181495381116E-2</v>
      </c>
    </row>
    <row r="13" spans="1:8" ht="23.1" customHeight="1" x14ac:dyDescent="0.2">
      <c r="A13" s="74">
        <v>2</v>
      </c>
      <c r="B13" s="75" t="s">
        <v>72</v>
      </c>
      <c r="C13" s="76">
        <v>323934980</v>
      </c>
      <c r="D13" s="76">
        <v>334897306</v>
      </c>
      <c r="E13" s="76">
        <f t="shared" si="0"/>
        <v>10962326</v>
      </c>
      <c r="F13" s="77">
        <f t="shared" si="1"/>
        <v>3.3841130710860555E-2</v>
      </c>
    </row>
    <row r="14" spans="1:8" ht="23.1" customHeight="1" x14ac:dyDescent="0.2">
      <c r="A14" s="74">
        <v>3</v>
      </c>
      <c r="B14" s="75" t="s">
        <v>73</v>
      </c>
      <c r="C14" s="76">
        <v>1431441</v>
      </c>
      <c r="D14" s="76">
        <v>1302183</v>
      </c>
      <c r="E14" s="76">
        <f t="shared" si="0"/>
        <v>-129258</v>
      </c>
      <c r="F14" s="77">
        <f t="shared" si="1"/>
        <v>-9.0299215964891322E-2</v>
      </c>
    </row>
    <row r="15" spans="1:8" ht="23.1" customHeight="1" x14ac:dyDescent="0.2">
      <c r="A15" s="74">
        <v>4</v>
      </c>
      <c r="B15" s="75" t="s">
        <v>74</v>
      </c>
      <c r="C15" s="76">
        <v>5586749</v>
      </c>
      <c r="D15" s="76">
        <v>4097497</v>
      </c>
      <c r="E15" s="76">
        <f t="shared" si="0"/>
        <v>-1489252</v>
      </c>
      <c r="F15" s="77">
        <f t="shared" si="1"/>
        <v>-0.26656862515212337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243860268</v>
      </c>
      <c r="D16" s="79">
        <f>D12-D13-D14-D15</f>
        <v>256377861</v>
      </c>
      <c r="E16" s="79">
        <f t="shared" si="0"/>
        <v>12517593</v>
      </c>
      <c r="F16" s="80">
        <f t="shared" si="1"/>
        <v>5.1331006492619784E-2</v>
      </c>
    </row>
    <row r="17" spans="1:7" ht="23.1" customHeight="1" x14ac:dyDescent="0.2">
      <c r="A17" s="74">
        <v>5</v>
      </c>
      <c r="B17" s="75" t="s">
        <v>76</v>
      </c>
      <c r="C17" s="76">
        <v>4545394</v>
      </c>
      <c r="D17" s="76">
        <v>3419884</v>
      </c>
      <c r="E17" s="76">
        <f t="shared" si="0"/>
        <v>-1125510</v>
      </c>
      <c r="F17" s="77">
        <f t="shared" si="1"/>
        <v>-0.24761549823843654</v>
      </c>
      <c r="G17" s="65"/>
    </row>
    <row r="18" spans="1:7" ht="31.5" customHeight="1" x14ac:dyDescent="0.25">
      <c r="A18" s="71"/>
      <c r="B18" s="81" t="s">
        <v>77</v>
      </c>
      <c r="C18" s="79">
        <f>C16-C17</f>
        <v>239314874</v>
      </c>
      <c r="D18" s="79">
        <f>D16-D17</f>
        <v>252957977</v>
      </c>
      <c r="E18" s="79">
        <f t="shared" si="0"/>
        <v>13643103</v>
      </c>
      <c r="F18" s="80">
        <f t="shared" si="1"/>
        <v>5.7009005633306353E-2</v>
      </c>
    </row>
    <row r="19" spans="1:7" ht="23.1" customHeight="1" x14ac:dyDescent="0.2">
      <c r="A19" s="74">
        <v>6</v>
      </c>
      <c r="B19" s="75" t="s">
        <v>78</v>
      </c>
      <c r="C19" s="76">
        <v>3079721</v>
      </c>
      <c r="D19" s="76">
        <v>3092774</v>
      </c>
      <c r="E19" s="76">
        <f t="shared" si="0"/>
        <v>13053</v>
      </c>
      <c r="F19" s="77">
        <f t="shared" si="1"/>
        <v>4.2383709433419453E-3</v>
      </c>
      <c r="G19" s="65"/>
    </row>
    <row r="20" spans="1:7" ht="33" customHeight="1" x14ac:dyDescent="0.2">
      <c r="A20" s="74">
        <v>7</v>
      </c>
      <c r="B20" s="82" t="s">
        <v>79</v>
      </c>
      <c r="C20" s="76">
        <v>14927504</v>
      </c>
      <c r="D20" s="76">
        <v>13260718</v>
      </c>
      <c r="E20" s="76">
        <f t="shared" si="0"/>
        <v>-1666786</v>
      </c>
      <c r="F20" s="77">
        <f t="shared" si="1"/>
        <v>-0.11165872070776199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257322099</v>
      </c>
      <c r="D21" s="79">
        <f>SUM(D18:D20)</f>
        <v>269311469</v>
      </c>
      <c r="E21" s="79">
        <f t="shared" si="0"/>
        <v>11989370</v>
      </c>
      <c r="F21" s="80">
        <f t="shared" si="1"/>
        <v>4.6592850153923233E-2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107630278</v>
      </c>
      <c r="D24" s="76">
        <v>109870644</v>
      </c>
      <c r="E24" s="76">
        <f t="shared" ref="E24:E33" si="2">D24-C24</f>
        <v>2240366</v>
      </c>
      <c r="F24" s="77">
        <f t="shared" ref="F24:F33" si="3">IF(C24=0,0,E24/C24)</f>
        <v>2.0815388026778115E-2</v>
      </c>
    </row>
    <row r="25" spans="1:7" ht="23.1" customHeight="1" x14ac:dyDescent="0.2">
      <c r="A25" s="74">
        <v>2</v>
      </c>
      <c r="B25" s="75" t="s">
        <v>83</v>
      </c>
      <c r="C25" s="76">
        <v>31288195</v>
      </c>
      <c r="D25" s="76">
        <v>30164094</v>
      </c>
      <c r="E25" s="76">
        <f t="shared" si="2"/>
        <v>-1124101</v>
      </c>
      <c r="F25" s="77">
        <f t="shared" si="3"/>
        <v>-3.5927320192168322E-2</v>
      </c>
    </row>
    <row r="26" spans="1:7" ht="23.1" customHeight="1" x14ac:dyDescent="0.2">
      <c r="A26" s="74">
        <v>3</v>
      </c>
      <c r="B26" s="75" t="s">
        <v>84</v>
      </c>
      <c r="C26" s="76">
        <v>11600355</v>
      </c>
      <c r="D26" s="76">
        <v>11370358</v>
      </c>
      <c r="E26" s="76">
        <f t="shared" si="2"/>
        <v>-229997</v>
      </c>
      <c r="F26" s="77">
        <f t="shared" si="3"/>
        <v>-1.9826720820181797E-2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17770696</v>
      </c>
      <c r="D27" s="76">
        <v>22486989</v>
      </c>
      <c r="E27" s="76">
        <f t="shared" si="2"/>
        <v>4716293</v>
      </c>
      <c r="F27" s="77">
        <f t="shared" si="3"/>
        <v>0.26539720222550656</v>
      </c>
    </row>
    <row r="28" spans="1:7" ht="23.1" customHeight="1" x14ac:dyDescent="0.2">
      <c r="A28" s="74">
        <v>5</v>
      </c>
      <c r="B28" s="75" t="s">
        <v>86</v>
      </c>
      <c r="C28" s="76">
        <v>11801840</v>
      </c>
      <c r="D28" s="76">
        <v>14745956</v>
      </c>
      <c r="E28" s="76">
        <f t="shared" si="2"/>
        <v>2944116</v>
      </c>
      <c r="F28" s="77">
        <f t="shared" si="3"/>
        <v>0.24946245670166686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1294274</v>
      </c>
      <c r="D30" s="76">
        <v>1231379</v>
      </c>
      <c r="E30" s="76">
        <f t="shared" si="2"/>
        <v>-62895</v>
      </c>
      <c r="F30" s="77">
        <f t="shared" si="3"/>
        <v>-4.8594810681509476E-2</v>
      </c>
    </row>
    <row r="31" spans="1:7" ht="23.1" customHeight="1" x14ac:dyDescent="0.2">
      <c r="A31" s="74">
        <v>8</v>
      </c>
      <c r="B31" s="75" t="s">
        <v>89</v>
      </c>
      <c r="C31" s="76">
        <v>870596</v>
      </c>
      <c r="D31" s="76">
        <v>4328239</v>
      </c>
      <c r="E31" s="76">
        <f t="shared" si="2"/>
        <v>3457643</v>
      </c>
      <c r="F31" s="77">
        <f t="shared" si="3"/>
        <v>3.9715815372457488</v>
      </c>
    </row>
    <row r="32" spans="1:7" ht="23.1" customHeight="1" x14ac:dyDescent="0.2">
      <c r="A32" s="74">
        <v>9</v>
      </c>
      <c r="B32" s="75" t="s">
        <v>90</v>
      </c>
      <c r="C32" s="76">
        <v>85537607</v>
      </c>
      <c r="D32" s="76">
        <v>85901821</v>
      </c>
      <c r="E32" s="76">
        <f t="shared" si="2"/>
        <v>364214</v>
      </c>
      <c r="F32" s="77">
        <f t="shared" si="3"/>
        <v>4.2579400192946709E-3</v>
      </c>
    </row>
    <row r="33" spans="1:6" ht="23.1" customHeight="1" x14ac:dyDescent="0.25">
      <c r="A33" s="71"/>
      <c r="B33" s="78" t="s">
        <v>91</v>
      </c>
      <c r="C33" s="79">
        <f>SUM(C24:C32)</f>
        <v>267793841</v>
      </c>
      <c r="D33" s="79">
        <f>SUM(D24:D32)</f>
        <v>280099480</v>
      </c>
      <c r="E33" s="79">
        <f t="shared" si="2"/>
        <v>12305639</v>
      </c>
      <c r="F33" s="80">
        <f t="shared" si="3"/>
        <v>4.5951911941096511E-2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-10471742</v>
      </c>
      <c r="D35" s="79">
        <f>+D21-D33</f>
        <v>-10788011</v>
      </c>
      <c r="E35" s="79">
        <f>D35-C35</f>
        <v>-316269</v>
      </c>
      <c r="F35" s="80">
        <f>IF(C35=0,0,E35/C35)</f>
        <v>3.020213828797539E-2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10804821</v>
      </c>
      <c r="D38" s="76">
        <v>9192566</v>
      </c>
      <c r="E38" s="76">
        <f>D38-C38</f>
        <v>-1612255</v>
      </c>
      <c r="F38" s="77">
        <f>IF(C38=0,0,E38/C38)</f>
        <v>-0.14921626188902157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10804821</v>
      </c>
      <c r="D41" s="79">
        <f>SUM(D38:D40)</f>
        <v>9192566</v>
      </c>
      <c r="E41" s="79">
        <f>D41-C41</f>
        <v>-1612255</v>
      </c>
      <c r="F41" s="80">
        <f>IF(C41=0,0,E41/C41)</f>
        <v>-0.14921626188902157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333079</v>
      </c>
      <c r="D43" s="79">
        <f>D35+D41</f>
        <v>-1595445</v>
      </c>
      <c r="E43" s="79">
        <f>D43-C43</f>
        <v>-1928524</v>
      </c>
      <c r="F43" s="80">
        <f>IF(C43=0,0,E43/C43)</f>
        <v>-5.7899897621885499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333079</v>
      </c>
      <c r="D50" s="79">
        <f>D43+D48</f>
        <v>-1595445</v>
      </c>
      <c r="E50" s="79">
        <f>D50-C50</f>
        <v>-1928524</v>
      </c>
      <c r="F50" s="80">
        <f>IF(C50=0,0,E50/C50)</f>
        <v>-5.7899897621885499</v>
      </c>
    </row>
    <row r="51" spans="1:6" ht="23.1" customHeight="1" x14ac:dyDescent="0.2">
      <c r="A51" s="85"/>
      <c r="B51" s="75" t="s">
        <v>104</v>
      </c>
      <c r="C51" s="76">
        <v>4463925</v>
      </c>
      <c r="D51" s="76">
        <v>6975651</v>
      </c>
      <c r="E51" s="76">
        <f>D51-C51</f>
        <v>2511726</v>
      </c>
      <c r="F51" s="77">
        <f>IF(C51=0,0,E51/C51)</f>
        <v>0.56267208790470269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FILING&amp;RCT CHILDREN`S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G6" sqref="G6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776456</v>
      </c>
      <c r="D14" s="113">
        <v>344532</v>
      </c>
      <c r="E14" s="113">
        <f t="shared" ref="E14:E25" si="0">D14-C14</f>
        <v>-431924</v>
      </c>
      <c r="F14" s="114">
        <f t="shared" ref="F14:F25" si="1">IF(C14=0,0,E14/C14)</f>
        <v>-0.55627620882574158</v>
      </c>
    </row>
    <row r="15" spans="1:6" x14ac:dyDescent="0.2">
      <c r="A15" s="115">
        <v>2</v>
      </c>
      <c r="B15" s="116" t="s">
        <v>114</v>
      </c>
      <c r="C15" s="113">
        <v>0</v>
      </c>
      <c r="D15" s="113">
        <v>0</v>
      </c>
      <c r="E15" s="113">
        <f t="shared" si="0"/>
        <v>0</v>
      </c>
      <c r="F15" s="114">
        <f t="shared" si="1"/>
        <v>0</v>
      </c>
    </row>
    <row r="16" spans="1:6" x14ac:dyDescent="0.2">
      <c r="A16" s="115">
        <v>3</v>
      </c>
      <c r="B16" s="116" t="s">
        <v>115</v>
      </c>
      <c r="C16" s="113">
        <v>181180463</v>
      </c>
      <c r="D16" s="113">
        <v>185270770</v>
      </c>
      <c r="E16" s="113">
        <f t="shared" si="0"/>
        <v>4090307</v>
      </c>
      <c r="F16" s="114">
        <f t="shared" si="1"/>
        <v>2.2575872322392731E-2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4138152</v>
      </c>
      <c r="D18" s="113">
        <v>1121594</v>
      </c>
      <c r="E18" s="113">
        <f t="shared" si="0"/>
        <v>-3016558</v>
      </c>
      <c r="F18" s="114">
        <f t="shared" si="1"/>
        <v>-0.72896259006435726</v>
      </c>
    </row>
    <row r="19" spans="1:6" x14ac:dyDescent="0.2">
      <c r="A19" s="115">
        <v>6</v>
      </c>
      <c r="B19" s="116" t="s">
        <v>118</v>
      </c>
      <c r="C19" s="113">
        <v>0</v>
      </c>
      <c r="D19" s="113">
        <v>0</v>
      </c>
      <c r="E19" s="113">
        <f t="shared" si="0"/>
        <v>0</v>
      </c>
      <c r="F19" s="114">
        <f t="shared" si="1"/>
        <v>0</v>
      </c>
    </row>
    <row r="20" spans="1:6" x14ac:dyDescent="0.2">
      <c r="A20" s="115">
        <v>7</v>
      </c>
      <c r="B20" s="116" t="s">
        <v>119</v>
      </c>
      <c r="C20" s="113">
        <v>158463264</v>
      </c>
      <c r="D20" s="113">
        <v>146643271</v>
      </c>
      <c r="E20" s="113">
        <f t="shared" si="0"/>
        <v>-11819993</v>
      </c>
      <c r="F20" s="114">
        <f t="shared" si="1"/>
        <v>-7.4591376585553607E-2</v>
      </c>
    </row>
    <row r="21" spans="1:6" x14ac:dyDescent="0.2">
      <c r="A21" s="115">
        <v>8</v>
      </c>
      <c r="B21" s="116" t="s">
        <v>120</v>
      </c>
      <c r="C21" s="113">
        <v>0</v>
      </c>
      <c r="D21" s="113">
        <v>0</v>
      </c>
      <c r="E21" s="113">
        <f t="shared" si="0"/>
        <v>0</v>
      </c>
      <c r="F21" s="114">
        <f t="shared" si="1"/>
        <v>0</v>
      </c>
    </row>
    <row r="22" spans="1:6" x14ac:dyDescent="0.2">
      <c r="A22" s="115">
        <v>9</v>
      </c>
      <c r="B22" s="116" t="s">
        <v>121</v>
      </c>
      <c r="C22" s="113">
        <v>1678321</v>
      </c>
      <c r="D22" s="113">
        <v>1436919</v>
      </c>
      <c r="E22" s="113">
        <f t="shared" si="0"/>
        <v>-241402</v>
      </c>
      <c r="F22" s="114">
        <f t="shared" si="1"/>
        <v>-0.14383541646681416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346236656</v>
      </c>
      <c r="D25" s="119">
        <f>SUM(D14:D24)</f>
        <v>334817086</v>
      </c>
      <c r="E25" s="119">
        <f t="shared" si="0"/>
        <v>-11419570</v>
      </c>
      <c r="F25" s="120">
        <f t="shared" si="1"/>
        <v>-3.298197866143901E-2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267448</v>
      </c>
      <c r="D27" s="113">
        <v>364729</v>
      </c>
      <c r="E27" s="113">
        <f t="shared" ref="E27:E38" si="2">D27-C27</f>
        <v>97281</v>
      </c>
      <c r="F27" s="114">
        <f t="shared" ref="F27:F38" si="3">IF(C27=0,0,E27/C27)</f>
        <v>0.36373799766683618</v>
      </c>
    </row>
    <row r="28" spans="1:6" x14ac:dyDescent="0.2">
      <c r="A28" s="115">
        <v>2</v>
      </c>
      <c r="B28" s="116" t="s">
        <v>114</v>
      </c>
      <c r="C28" s="113">
        <v>0</v>
      </c>
      <c r="D28" s="113">
        <v>0</v>
      </c>
      <c r="E28" s="113">
        <f t="shared" si="2"/>
        <v>0</v>
      </c>
      <c r="F28" s="114">
        <f t="shared" si="3"/>
        <v>0</v>
      </c>
    </row>
    <row r="29" spans="1:6" x14ac:dyDescent="0.2">
      <c r="A29" s="115">
        <v>3</v>
      </c>
      <c r="B29" s="116" t="s">
        <v>115</v>
      </c>
      <c r="C29" s="113">
        <v>115542605</v>
      </c>
      <c r="D29" s="113">
        <v>135423585</v>
      </c>
      <c r="E29" s="113">
        <f t="shared" si="2"/>
        <v>19880980</v>
      </c>
      <c r="F29" s="114">
        <f t="shared" si="3"/>
        <v>0.17206622613364136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1309026</v>
      </c>
      <c r="D31" s="113">
        <v>1798331</v>
      </c>
      <c r="E31" s="113">
        <f t="shared" si="2"/>
        <v>489305</v>
      </c>
      <c r="F31" s="114">
        <f t="shared" si="3"/>
        <v>0.37379318668995115</v>
      </c>
    </row>
    <row r="32" spans="1:6" x14ac:dyDescent="0.2">
      <c r="A32" s="115">
        <v>6</v>
      </c>
      <c r="B32" s="116" t="s">
        <v>118</v>
      </c>
      <c r="C32" s="113">
        <v>0</v>
      </c>
      <c r="D32" s="113">
        <v>0</v>
      </c>
      <c r="E32" s="113">
        <f t="shared" si="2"/>
        <v>0</v>
      </c>
      <c r="F32" s="114">
        <f t="shared" si="3"/>
        <v>0</v>
      </c>
    </row>
    <row r="33" spans="1:6" x14ac:dyDescent="0.2">
      <c r="A33" s="115">
        <v>7</v>
      </c>
      <c r="B33" s="116" t="s">
        <v>119</v>
      </c>
      <c r="C33" s="113">
        <v>108761195</v>
      </c>
      <c r="D33" s="113">
        <v>122220639</v>
      </c>
      <c r="E33" s="113">
        <f t="shared" si="2"/>
        <v>13459444</v>
      </c>
      <c r="F33" s="114">
        <f t="shared" si="3"/>
        <v>0.12375226292796801</v>
      </c>
    </row>
    <row r="34" spans="1:6" x14ac:dyDescent="0.2">
      <c r="A34" s="115">
        <v>8</v>
      </c>
      <c r="B34" s="116" t="s">
        <v>120</v>
      </c>
      <c r="C34" s="113">
        <v>0</v>
      </c>
      <c r="D34" s="113">
        <v>0</v>
      </c>
      <c r="E34" s="113">
        <f t="shared" si="2"/>
        <v>0</v>
      </c>
      <c r="F34" s="114">
        <f t="shared" si="3"/>
        <v>0</v>
      </c>
    </row>
    <row r="35" spans="1:6" x14ac:dyDescent="0.2">
      <c r="A35" s="115">
        <v>9</v>
      </c>
      <c r="B35" s="116" t="s">
        <v>121</v>
      </c>
      <c r="C35" s="113">
        <v>2696509</v>
      </c>
      <c r="D35" s="113">
        <v>2050876</v>
      </c>
      <c r="E35" s="113">
        <f t="shared" si="2"/>
        <v>-645633</v>
      </c>
      <c r="F35" s="114">
        <f t="shared" si="3"/>
        <v>-0.23943291121965474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228576783</v>
      </c>
      <c r="D38" s="119">
        <f>SUM(D27:D37)</f>
        <v>261858160</v>
      </c>
      <c r="E38" s="119">
        <f t="shared" si="2"/>
        <v>33281377</v>
      </c>
      <c r="F38" s="120">
        <f t="shared" si="3"/>
        <v>0.14560261354277612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1043904</v>
      </c>
      <c r="D41" s="119">
        <f t="shared" si="4"/>
        <v>709261</v>
      </c>
      <c r="E41" s="123">
        <f t="shared" ref="E41:E52" si="5">D41-C41</f>
        <v>-334643</v>
      </c>
      <c r="F41" s="124">
        <f t="shared" ref="F41:F52" si="6">IF(C41=0,0,E41/C41)</f>
        <v>-0.32056874961682302</v>
      </c>
    </row>
    <row r="42" spans="1:6" ht="15.75" x14ac:dyDescent="0.25">
      <c r="A42" s="121">
        <v>2</v>
      </c>
      <c r="B42" s="122" t="s">
        <v>114</v>
      </c>
      <c r="C42" s="119">
        <f t="shared" si="4"/>
        <v>0</v>
      </c>
      <c r="D42" s="119">
        <f t="shared" si="4"/>
        <v>0</v>
      </c>
      <c r="E42" s="123">
        <f t="shared" si="5"/>
        <v>0</v>
      </c>
      <c r="F42" s="124">
        <f t="shared" si="6"/>
        <v>0</v>
      </c>
    </row>
    <row r="43" spans="1:6" ht="15.75" x14ac:dyDescent="0.25">
      <c r="A43" s="121">
        <v>3</v>
      </c>
      <c r="B43" s="122" t="s">
        <v>115</v>
      </c>
      <c r="C43" s="119">
        <f t="shared" si="4"/>
        <v>296723068</v>
      </c>
      <c r="D43" s="119">
        <f t="shared" si="4"/>
        <v>320694355</v>
      </c>
      <c r="E43" s="123">
        <f t="shared" si="5"/>
        <v>23971287</v>
      </c>
      <c r="F43" s="124">
        <f t="shared" si="6"/>
        <v>8.0786732091891147E-2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5447178</v>
      </c>
      <c r="D45" s="119">
        <f t="shared" si="4"/>
        <v>2919925</v>
      </c>
      <c r="E45" s="123">
        <f t="shared" si="5"/>
        <v>-2527253</v>
      </c>
      <c r="F45" s="124">
        <f t="shared" si="6"/>
        <v>-0.46395638255258043</v>
      </c>
    </row>
    <row r="46" spans="1:6" ht="15.75" x14ac:dyDescent="0.25">
      <c r="A46" s="121">
        <v>6</v>
      </c>
      <c r="B46" s="122" t="s">
        <v>118</v>
      </c>
      <c r="C46" s="119">
        <f t="shared" si="4"/>
        <v>0</v>
      </c>
      <c r="D46" s="119">
        <f t="shared" si="4"/>
        <v>0</v>
      </c>
      <c r="E46" s="123">
        <f t="shared" si="5"/>
        <v>0</v>
      </c>
      <c r="F46" s="124">
        <f t="shared" si="6"/>
        <v>0</v>
      </c>
    </row>
    <row r="47" spans="1:6" ht="15.75" x14ac:dyDescent="0.25">
      <c r="A47" s="121">
        <v>7</v>
      </c>
      <c r="B47" s="122" t="s">
        <v>119</v>
      </c>
      <c r="C47" s="119">
        <f t="shared" si="4"/>
        <v>267224459</v>
      </c>
      <c r="D47" s="119">
        <f t="shared" si="4"/>
        <v>268863910</v>
      </c>
      <c r="E47" s="123">
        <f t="shared" si="5"/>
        <v>1639451</v>
      </c>
      <c r="F47" s="124">
        <f t="shared" si="6"/>
        <v>6.1351083135694554E-3</v>
      </c>
    </row>
    <row r="48" spans="1:6" ht="15.75" x14ac:dyDescent="0.25">
      <c r="A48" s="121">
        <v>8</v>
      </c>
      <c r="B48" s="122" t="s">
        <v>120</v>
      </c>
      <c r="C48" s="119">
        <f t="shared" si="4"/>
        <v>0</v>
      </c>
      <c r="D48" s="119">
        <f t="shared" si="4"/>
        <v>0</v>
      </c>
      <c r="E48" s="123">
        <f t="shared" si="5"/>
        <v>0</v>
      </c>
      <c r="F48" s="124">
        <f t="shared" si="6"/>
        <v>0</v>
      </c>
    </row>
    <row r="49" spans="1:6" ht="15.75" x14ac:dyDescent="0.25">
      <c r="A49" s="121">
        <v>9</v>
      </c>
      <c r="B49" s="122" t="s">
        <v>121</v>
      </c>
      <c r="C49" s="119">
        <f t="shared" si="4"/>
        <v>4374830</v>
      </c>
      <c r="D49" s="119">
        <f t="shared" si="4"/>
        <v>3487795</v>
      </c>
      <c r="E49" s="123">
        <f t="shared" si="5"/>
        <v>-887035</v>
      </c>
      <c r="F49" s="124">
        <f t="shared" si="6"/>
        <v>-0.20275873576801842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574813439</v>
      </c>
      <c r="D52" s="128">
        <f>SUM(D41:D51)</f>
        <v>596675246</v>
      </c>
      <c r="E52" s="127">
        <f t="shared" si="5"/>
        <v>21861807</v>
      </c>
      <c r="F52" s="129">
        <f t="shared" si="6"/>
        <v>3.8032873827781193E-2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2018068</v>
      </c>
      <c r="D57" s="113">
        <v>1402653</v>
      </c>
      <c r="E57" s="113">
        <f t="shared" ref="E57:E68" si="7">D57-C57</f>
        <v>-615415</v>
      </c>
      <c r="F57" s="114">
        <f t="shared" ref="F57:F68" si="8">IF(C57=0,0,E57/C57)</f>
        <v>-0.30495255858573644</v>
      </c>
    </row>
    <row r="58" spans="1:6" x14ac:dyDescent="0.2">
      <c r="A58" s="115">
        <v>2</v>
      </c>
      <c r="B58" s="116" t="s">
        <v>114</v>
      </c>
      <c r="C58" s="113">
        <v>0</v>
      </c>
      <c r="D58" s="113">
        <v>0</v>
      </c>
      <c r="E58" s="113">
        <f t="shared" si="7"/>
        <v>0</v>
      </c>
      <c r="F58" s="114">
        <f t="shared" si="8"/>
        <v>0</v>
      </c>
    </row>
    <row r="59" spans="1:6" x14ac:dyDescent="0.2">
      <c r="A59" s="115">
        <v>3</v>
      </c>
      <c r="B59" s="116" t="s">
        <v>115</v>
      </c>
      <c r="C59" s="113">
        <v>52573260</v>
      </c>
      <c r="D59" s="113">
        <v>51354904</v>
      </c>
      <c r="E59" s="113">
        <f t="shared" si="7"/>
        <v>-1218356</v>
      </c>
      <c r="F59" s="114">
        <f t="shared" si="8"/>
        <v>-2.3174442672948187E-2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1721748</v>
      </c>
      <c r="D61" s="113">
        <v>383011</v>
      </c>
      <c r="E61" s="113">
        <f t="shared" si="7"/>
        <v>-1338737</v>
      </c>
      <c r="F61" s="114">
        <f t="shared" si="8"/>
        <v>-0.77754526214056874</v>
      </c>
    </row>
    <row r="62" spans="1:6" x14ac:dyDescent="0.2">
      <c r="A62" s="115">
        <v>6</v>
      </c>
      <c r="B62" s="116" t="s">
        <v>118</v>
      </c>
      <c r="C62" s="113">
        <v>0</v>
      </c>
      <c r="D62" s="113">
        <v>0</v>
      </c>
      <c r="E62" s="113">
        <f t="shared" si="7"/>
        <v>0</v>
      </c>
      <c r="F62" s="114">
        <f t="shared" si="8"/>
        <v>0</v>
      </c>
    </row>
    <row r="63" spans="1:6" x14ac:dyDescent="0.2">
      <c r="A63" s="115">
        <v>7</v>
      </c>
      <c r="B63" s="116" t="s">
        <v>119</v>
      </c>
      <c r="C63" s="113">
        <v>95358999</v>
      </c>
      <c r="D63" s="113">
        <v>91177775</v>
      </c>
      <c r="E63" s="113">
        <f t="shared" si="7"/>
        <v>-4181224</v>
      </c>
      <c r="F63" s="114">
        <f t="shared" si="8"/>
        <v>-4.3847188454652297E-2</v>
      </c>
    </row>
    <row r="64" spans="1:6" x14ac:dyDescent="0.2">
      <c r="A64" s="115">
        <v>8</v>
      </c>
      <c r="B64" s="116" t="s">
        <v>120</v>
      </c>
      <c r="C64" s="113">
        <v>0</v>
      </c>
      <c r="D64" s="113">
        <v>0</v>
      </c>
      <c r="E64" s="113">
        <f t="shared" si="7"/>
        <v>0</v>
      </c>
      <c r="F64" s="114">
        <f t="shared" si="8"/>
        <v>0</v>
      </c>
    </row>
    <row r="65" spans="1:6" x14ac:dyDescent="0.2">
      <c r="A65" s="115">
        <v>9</v>
      </c>
      <c r="B65" s="116" t="s">
        <v>121</v>
      </c>
      <c r="C65" s="113">
        <v>373932</v>
      </c>
      <c r="D65" s="113">
        <v>362139</v>
      </c>
      <c r="E65" s="113">
        <f t="shared" si="7"/>
        <v>-11793</v>
      </c>
      <c r="F65" s="114">
        <f t="shared" si="8"/>
        <v>-3.1537819710535604E-2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152046007</v>
      </c>
      <c r="D68" s="119">
        <f>SUM(D57:D67)</f>
        <v>144680482</v>
      </c>
      <c r="E68" s="119">
        <f t="shared" si="7"/>
        <v>-7365525</v>
      </c>
      <c r="F68" s="120">
        <f t="shared" si="8"/>
        <v>-4.8442738782347637E-2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773310</v>
      </c>
      <c r="D70" s="113">
        <v>1375898</v>
      </c>
      <c r="E70" s="113">
        <f t="shared" ref="E70:E81" si="9">D70-C70</f>
        <v>602588</v>
      </c>
      <c r="F70" s="114">
        <f t="shared" ref="F70:F81" si="10">IF(C70=0,0,E70/C70)</f>
        <v>0.77923213200398289</v>
      </c>
    </row>
    <row r="71" spans="1:6" x14ac:dyDescent="0.2">
      <c r="A71" s="115">
        <v>2</v>
      </c>
      <c r="B71" s="116" t="s">
        <v>114</v>
      </c>
      <c r="C71" s="113">
        <v>0</v>
      </c>
      <c r="D71" s="113">
        <v>0</v>
      </c>
      <c r="E71" s="113">
        <f t="shared" si="9"/>
        <v>0</v>
      </c>
      <c r="F71" s="114">
        <f t="shared" si="10"/>
        <v>0</v>
      </c>
    </row>
    <row r="72" spans="1:6" x14ac:dyDescent="0.2">
      <c r="A72" s="115">
        <v>3</v>
      </c>
      <c r="B72" s="116" t="s">
        <v>115</v>
      </c>
      <c r="C72" s="113">
        <v>24040484</v>
      </c>
      <c r="D72" s="113">
        <v>29766970</v>
      </c>
      <c r="E72" s="113">
        <f t="shared" si="9"/>
        <v>5726486</v>
      </c>
      <c r="F72" s="114">
        <f t="shared" si="10"/>
        <v>0.23820177663644376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863957</v>
      </c>
      <c r="D74" s="113">
        <v>822388</v>
      </c>
      <c r="E74" s="113">
        <f t="shared" si="9"/>
        <v>-41569</v>
      </c>
      <c r="F74" s="114">
        <f t="shared" si="10"/>
        <v>-4.8114663114020718E-2</v>
      </c>
    </row>
    <row r="75" spans="1:6" x14ac:dyDescent="0.2">
      <c r="A75" s="115">
        <v>6</v>
      </c>
      <c r="B75" s="116" t="s">
        <v>118</v>
      </c>
      <c r="C75" s="113">
        <v>0</v>
      </c>
      <c r="D75" s="113">
        <v>0</v>
      </c>
      <c r="E75" s="113">
        <f t="shared" si="9"/>
        <v>0</v>
      </c>
      <c r="F75" s="114">
        <f t="shared" si="10"/>
        <v>0</v>
      </c>
    </row>
    <row r="76" spans="1:6" x14ac:dyDescent="0.2">
      <c r="A76" s="115">
        <v>7</v>
      </c>
      <c r="B76" s="116" t="s">
        <v>119</v>
      </c>
      <c r="C76" s="113">
        <v>54037620</v>
      </c>
      <c r="D76" s="113">
        <v>63007064</v>
      </c>
      <c r="E76" s="113">
        <f t="shared" si="9"/>
        <v>8969444</v>
      </c>
      <c r="F76" s="114">
        <f t="shared" si="10"/>
        <v>0.16598517847381139</v>
      </c>
    </row>
    <row r="77" spans="1:6" x14ac:dyDescent="0.2">
      <c r="A77" s="115">
        <v>8</v>
      </c>
      <c r="B77" s="116" t="s">
        <v>120</v>
      </c>
      <c r="C77" s="113">
        <v>0</v>
      </c>
      <c r="D77" s="113">
        <v>0</v>
      </c>
      <c r="E77" s="113">
        <f t="shared" si="9"/>
        <v>0</v>
      </c>
      <c r="F77" s="114">
        <f t="shared" si="10"/>
        <v>0</v>
      </c>
    </row>
    <row r="78" spans="1:6" x14ac:dyDescent="0.2">
      <c r="A78" s="115">
        <v>9</v>
      </c>
      <c r="B78" s="116" t="s">
        <v>121</v>
      </c>
      <c r="C78" s="113">
        <v>452476</v>
      </c>
      <c r="D78" s="113">
        <v>1095326</v>
      </c>
      <c r="E78" s="113">
        <f t="shared" si="9"/>
        <v>642850</v>
      </c>
      <c r="F78" s="114">
        <f t="shared" si="10"/>
        <v>1.4207383375029836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80167847</v>
      </c>
      <c r="D81" s="119">
        <f>SUM(D70:D80)</f>
        <v>96067646</v>
      </c>
      <c r="E81" s="119">
        <f t="shared" si="9"/>
        <v>15899799</v>
      </c>
      <c r="F81" s="120">
        <f t="shared" si="10"/>
        <v>0.19833137092979433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2791378</v>
      </c>
      <c r="D84" s="119">
        <f t="shared" si="11"/>
        <v>2778551</v>
      </c>
      <c r="E84" s="119">
        <f t="shared" ref="E84:E95" si="12">D84-C84</f>
        <v>-12827</v>
      </c>
      <c r="F84" s="120">
        <f t="shared" ref="F84:F95" si="13">IF(C84=0,0,E84/C84)</f>
        <v>-4.5952214282694781E-3</v>
      </c>
    </row>
    <row r="85" spans="1:6" ht="15.75" x14ac:dyDescent="0.25">
      <c r="A85" s="130">
        <v>2</v>
      </c>
      <c r="B85" s="122" t="s">
        <v>114</v>
      </c>
      <c r="C85" s="119">
        <f t="shared" si="11"/>
        <v>0</v>
      </c>
      <c r="D85" s="119">
        <f t="shared" si="11"/>
        <v>0</v>
      </c>
      <c r="E85" s="119">
        <f t="shared" si="12"/>
        <v>0</v>
      </c>
      <c r="F85" s="120">
        <f t="shared" si="13"/>
        <v>0</v>
      </c>
    </row>
    <row r="86" spans="1:6" ht="15.75" x14ac:dyDescent="0.25">
      <c r="A86" s="130">
        <v>3</v>
      </c>
      <c r="B86" s="122" t="s">
        <v>115</v>
      </c>
      <c r="C86" s="119">
        <f t="shared" si="11"/>
        <v>76613744</v>
      </c>
      <c r="D86" s="119">
        <f t="shared" si="11"/>
        <v>81121874</v>
      </c>
      <c r="E86" s="119">
        <f t="shared" si="12"/>
        <v>4508130</v>
      </c>
      <c r="F86" s="120">
        <f t="shared" si="13"/>
        <v>5.8842314245861685E-2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2585705</v>
      </c>
      <c r="D88" s="119">
        <f t="shared" si="11"/>
        <v>1205399</v>
      </c>
      <c r="E88" s="119">
        <f t="shared" si="12"/>
        <v>-1380306</v>
      </c>
      <c r="F88" s="120">
        <f t="shared" si="13"/>
        <v>-0.53382191704003357</v>
      </c>
    </row>
    <row r="89" spans="1:6" ht="15.75" x14ac:dyDescent="0.25">
      <c r="A89" s="130">
        <v>6</v>
      </c>
      <c r="B89" s="122" t="s">
        <v>118</v>
      </c>
      <c r="C89" s="119">
        <f t="shared" si="11"/>
        <v>0</v>
      </c>
      <c r="D89" s="119">
        <f t="shared" si="11"/>
        <v>0</v>
      </c>
      <c r="E89" s="119">
        <f t="shared" si="12"/>
        <v>0</v>
      </c>
      <c r="F89" s="120">
        <f t="shared" si="13"/>
        <v>0</v>
      </c>
    </row>
    <row r="90" spans="1:6" ht="15.75" x14ac:dyDescent="0.25">
      <c r="A90" s="130">
        <v>7</v>
      </c>
      <c r="B90" s="122" t="s">
        <v>119</v>
      </c>
      <c r="C90" s="119">
        <f t="shared" si="11"/>
        <v>149396619</v>
      </c>
      <c r="D90" s="119">
        <f t="shared" si="11"/>
        <v>154184839</v>
      </c>
      <c r="E90" s="119">
        <f t="shared" si="12"/>
        <v>4788220</v>
      </c>
      <c r="F90" s="120">
        <f t="shared" si="13"/>
        <v>3.2050390645052017E-2</v>
      </c>
    </row>
    <row r="91" spans="1:6" ht="15.75" x14ac:dyDescent="0.25">
      <c r="A91" s="130">
        <v>8</v>
      </c>
      <c r="B91" s="122" t="s">
        <v>120</v>
      </c>
      <c r="C91" s="119">
        <f t="shared" si="11"/>
        <v>0</v>
      </c>
      <c r="D91" s="119">
        <f t="shared" si="11"/>
        <v>0</v>
      </c>
      <c r="E91" s="119">
        <f t="shared" si="12"/>
        <v>0</v>
      </c>
      <c r="F91" s="120">
        <f t="shared" si="13"/>
        <v>0</v>
      </c>
    </row>
    <row r="92" spans="1:6" ht="15.75" x14ac:dyDescent="0.25">
      <c r="A92" s="130">
        <v>9</v>
      </c>
      <c r="B92" s="122" t="s">
        <v>121</v>
      </c>
      <c r="C92" s="119">
        <f t="shared" si="11"/>
        <v>826408</v>
      </c>
      <c r="D92" s="119">
        <f t="shared" si="11"/>
        <v>1457465</v>
      </c>
      <c r="E92" s="119">
        <f t="shared" si="12"/>
        <v>631057</v>
      </c>
      <c r="F92" s="120">
        <f t="shared" si="13"/>
        <v>0.76361434061625733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232213854</v>
      </c>
      <c r="D95" s="128">
        <f>SUM(D84:D94)</f>
        <v>240748128</v>
      </c>
      <c r="E95" s="128">
        <f t="shared" si="12"/>
        <v>8534274</v>
      </c>
      <c r="F95" s="129">
        <f t="shared" si="13"/>
        <v>3.675178656653276E-2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20</v>
      </c>
      <c r="D100" s="133">
        <v>9</v>
      </c>
      <c r="E100" s="133">
        <f t="shared" ref="E100:E111" si="14">D100-C100</f>
        <v>-11</v>
      </c>
      <c r="F100" s="114">
        <f t="shared" ref="F100:F111" si="15">IF(C100=0,0,E100/C100)</f>
        <v>-0.55000000000000004</v>
      </c>
    </row>
    <row r="101" spans="1:6" x14ac:dyDescent="0.2">
      <c r="A101" s="115">
        <v>2</v>
      </c>
      <c r="B101" s="116" t="s">
        <v>114</v>
      </c>
      <c r="C101" s="133">
        <v>0</v>
      </c>
      <c r="D101" s="133">
        <v>0</v>
      </c>
      <c r="E101" s="133">
        <f t="shared" si="14"/>
        <v>0</v>
      </c>
      <c r="F101" s="114">
        <f t="shared" si="15"/>
        <v>0</v>
      </c>
    </row>
    <row r="102" spans="1:6" x14ac:dyDescent="0.2">
      <c r="A102" s="115">
        <v>3</v>
      </c>
      <c r="B102" s="116" t="s">
        <v>115</v>
      </c>
      <c r="C102" s="133">
        <v>3357</v>
      </c>
      <c r="D102" s="133">
        <v>3153</v>
      </c>
      <c r="E102" s="133">
        <f t="shared" si="14"/>
        <v>-204</v>
      </c>
      <c r="F102" s="114">
        <f t="shared" si="15"/>
        <v>-6.076854334226988E-2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70</v>
      </c>
      <c r="D104" s="133">
        <v>43</v>
      </c>
      <c r="E104" s="133">
        <f t="shared" si="14"/>
        <v>-27</v>
      </c>
      <c r="F104" s="114">
        <f t="shared" si="15"/>
        <v>-0.38571428571428573</v>
      </c>
    </row>
    <row r="105" spans="1:6" x14ac:dyDescent="0.2">
      <c r="A105" s="115">
        <v>6</v>
      </c>
      <c r="B105" s="116" t="s">
        <v>118</v>
      </c>
      <c r="C105" s="133">
        <v>0</v>
      </c>
      <c r="D105" s="133">
        <v>0</v>
      </c>
      <c r="E105" s="133">
        <f t="shared" si="14"/>
        <v>0</v>
      </c>
      <c r="F105" s="114">
        <f t="shared" si="15"/>
        <v>0</v>
      </c>
    </row>
    <row r="106" spans="1:6" x14ac:dyDescent="0.2">
      <c r="A106" s="115">
        <v>7</v>
      </c>
      <c r="B106" s="116" t="s">
        <v>119</v>
      </c>
      <c r="C106" s="133">
        <v>2928</v>
      </c>
      <c r="D106" s="133">
        <v>2564</v>
      </c>
      <c r="E106" s="133">
        <f t="shared" si="14"/>
        <v>-364</v>
      </c>
      <c r="F106" s="114">
        <f t="shared" si="15"/>
        <v>-0.12431693989071038</v>
      </c>
    </row>
    <row r="107" spans="1:6" x14ac:dyDescent="0.2">
      <c r="A107" s="115">
        <v>8</v>
      </c>
      <c r="B107" s="116" t="s">
        <v>120</v>
      </c>
      <c r="C107" s="133">
        <v>0</v>
      </c>
      <c r="D107" s="133">
        <v>0</v>
      </c>
      <c r="E107" s="133">
        <f t="shared" si="14"/>
        <v>0</v>
      </c>
      <c r="F107" s="114">
        <f t="shared" si="15"/>
        <v>0</v>
      </c>
    </row>
    <row r="108" spans="1:6" x14ac:dyDescent="0.2">
      <c r="A108" s="115">
        <v>9</v>
      </c>
      <c r="B108" s="116" t="s">
        <v>121</v>
      </c>
      <c r="C108" s="133">
        <v>47</v>
      </c>
      <c r="D108" s="133">
        <v>34</v>
      </c>
      <c r="E108" s="133">
        <f t="shared" si="14"/>
        <v>-13</v>
      </c>
      <c r="F108" s="114">
        <f t="shared" si="15"/>
        <v>-0.27659574468085107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6422</v>
      </c>
      <c r="D111" s="134">
        <f>SUM(D100:D110)</f>
        <v>5803</v>
      </c>
      <c r="E111" s="134">
        <f t="shared" si="14"/>
        <v>-619</v>
      </c>
      <c r="F111" s="120">
        <f t="shared" si="15"/>
        <v>-9.6387418249766432E-2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83</v>
      </c>
      <c r="D113" s="133">
        <v>46</v>
      </c>
      <c r="E113" s="133">
        <f t="shared" ref="E113:E124" si="16">D113-C113</f>
        <v>-37</v>
      </c>
      <c r="F113" s="114">
        <f t="shared" ref="F113:F124" si="17">IF(C113=0,0,E113/C113)</f>
        <v>-0.44578313253012047</v>
      </c>
    </row>
    <row r="114" spans="1:6" x14ac:dyDescent="0.2">
      <c r="A114" s="115">
        <v>2</v>
      </c>
      <c r="B114" s="116" t="s">
        <v>114</v>
      </c>
      <c r="C114" s="133">
        <v>0</v>
      </c>
      <c r="D114" s="133">
        <v>0</v>
      </c>
      <c r="E114" s="133">
        <f t="shared" si="16"/>
        <v>0</v>
      </c>
      <c r="F114" s="114">
        <f t="shared" si="17"/>
        <v>0</v>
      </c>
    </row>
    <row r="115" spans="1:6" x14ac:dyDescent="0.2">
      <c r="A115" s="115">
        <v>3</v>
      </c>
      <c r="B115" s="116" t="s">
        <v>115</v>
      </c>
      <c r="C115" s="133">
        <v>24204</v>
      </c>
      <c r="D115" s="133">
        <v>23813</v>
      </c>
      <c r="E115" s="133">
        <f t="shared" si="16"/>
        <v>-391</v>
      </c>
      <c r="F115" s="114">
        <f t="shared" si="17"/>
        <v>-1.6154354652123615E-2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597</v>
      </c>
      <c r="D117" s="133">
        <v>137</v>
      </c>
      <c r="E117" s="133">
        <f t="shared" si="16"/>
        <v>-460</v>
      </c>
      <c r="F117" s="114">
        <f t="shared" si="17"/>
        <v>-0.77051926298157458</v>
      </c>
    </row>
    <row r="118" spans="1:6" x14ac:dyDescent="0.2">
      <c r="A118" s="115">
        <v>6</v>
      </c>
      <c r="B118" s="116" t="s">
        <v>118</v>
      </c>
      <c r="C118" s="133">
        <v>0</v>
      </c>
      <c r="D118" s="133">
        <v>0</v>
      </c>
      <c r="E118" s="133">
        <f t="shared" si="16"/>
        <v>0</v>
      </c>
      <c r="F118" s="114">
        <f t="shared" si="17"/>
        <v>0</v>
      </c>
    </row>
    <row r="119" spans="1:6" x14ac:dyDescent="0.2">
      <c r="A119" s="115">
        <v>7</v>
      </c>
      <c r="B119" s="116" t="s">
        <v>119</v>
      </c>
      <c r="C119" s="133">
        <v>21034</v>
      </c>
      <c r="D119" s="133">
        <v>18351</v>
      </c>
      <c r="E119" s="133">
        <f t="shared" si="16"/>
        <v>-2683</v>
      </c>
      <c r="F119" s="114">
        <f t="shared" si="17"/>
        <v>-0.1275553865170676</v>
      </c>
    </row>
    <row r="120" spans="1:6" x14ac:dyDescent="0.2">
      <c r="A120" s="115">
        <v>8</v>
      </c>
      <c r="B120" s="116" t="s">
        <v>120</v>
      </c>
      <c r="C120" s="133">
        <v>0</v>
      </c>
      <c r="D120" s="133">
        <v>0</v>
      </c>
      <c r="E120" s="133">
        <f t="shared" si="16"/>
        <v>0</v>
      </c>
      <c r="F120" s="114">
        <f t="shared" si="17"/>
        <v>0</v>
      </c>
    </row>
    <row r="121" spans="1:6" x14ac:dyDescent="0.2">
      <c r="A121" s="115">
        <v>9</v>
      </c>
      <c r="B121" s="116" t="s">
        <v>121</v>
      </c>
      <c r="C121" s="133">
        <v>189</v>
      </c>
      <c r="D121" s="133">
        <v>177</v>
      </c>
      <c r="E121" s="133">
        <f t="shared" si="16"/>
        <v>-12</v>
      </c>
      <c r="F121" s="114">
        <f t="shared" si="17"/>
        <v>-6.3492063492063489E-2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46107</v>
      </c>
      <c r="D124" s="134">
        <f>SUM(D113:D123)</f>
        <v>42524</v>
      </c>
      <c r="E124" s="134">
        <f t="shared" si="16"/>
        <v>-3583</v>
      </c>
      <c r="F124" s="120">
        <f t="shared" si="17"/>
        <v>-7.7710542867677354E-2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117</v>
      </c>
      <c r="D126" s="133">
        <v>249</v>
      </c>
      <c r="E126" s="133">
        <f t="shared" ref="E126:E137" si="18">D126-C126</f>
        <v>132</v>
      </c>
      <c r="F126" s="114">
        <f t="shared" ref="F126:F137" si="19">IF(C126=0,0,E126/C126)</f>
        <v>1.1282051282051282</v>
      </c>
    </row>
    <row r="127" spans="1:6" x14ac:dyDescent="0.2">
      <c r="A127" s="115">
        <v>2</v>
      </c>
      <c r="B127" s="116" t="s">
        <v>114</v>
      </c>
      <c r="C127" s="133">
        <v>0</v>
      </c>
      <c r="D127" s="133">
        <v>0</v>
      </c>
      <c r="E127" s="133">
        <f t="shared" si="18"/>
        <v>0</v>
      </c>
      <c r="F127" s="114">
        <f t="shared" si="19"/>
        <v>0</v>
      </c>
    </row>
    <row r="128" spans="1:6" x14ac:dyDescent="0.2">
      <c r="A128" s="115">
        <v>3</v>
      </c>
      <c r="B128" s="116" t="s">
        <v>115</v>
      </c>
      <c r="C128" s="133">
        <v>83489</v>
      </c>
      <c r="D128" s="133">
        <v>97994</v>
      </c>
      <c r="E128" s="133">
        <f t="shared" si="18"/>
        <v>14505</v>
      </c>
      <c r="F128" s="114">
        <f t="shared" si="19"/>
        <v>0.17373546215669131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925</v>
      </c>
      <c r="D130" s="133">
        <v>1146</v>
      </c>
      <c r="E130" s="133">
        <f t="shared" si="18"/>
        <v>221</v>
      </c>
      <c r="F130" s="114">
        <f t="shared" si="19"/>
        <v>0.23891891891891892</v>
      </c>
    </row>
    <row r="131" spans="1:6" x14ac:dyDescent="0.2">
      <c r="A131" s="115">
        <v>6</v>
      </c>
      <c r="B131" s="116" t="s">
        <v>118</v>
      </c>
      <c r="C131" s="133">
        <v>0</v>
      </c>
      <c r="D131" s="133">
        <v>0</v>
      </c>
      <c r="E131" s="133">
        <f t="shared" si="18"/>
        <v>0</v>
      </c>
      <c r="F131" s="114">
        <f t="shared" si="19"/>
        <v>0</v>
      </c>
    </row>
    <row r="132" spans="1:6" x14ac:dyDescent="0.2">
      <c r="A132" s="115">
        <v>7</v>
      </c>
      <c r="B132" s="116" t="s">
        <v>119</v>
      </c>
      <c r="C132" s="133">
        <v>77827</v>
      </c>
      <c r="D132" s="133">
        <v>90821</v>
      </c>
      <c r="E132" s="133">
        <f t="shared" si="18"/>
        <v>12994</v>
      </c>
      <c r="F132" s="114">
        <f t="shared" si="19"/>
        <v>0.16696005242396597</v>
      </c>
    </row>
    <row r="133" spans="1:6" x14ac:dyDescent="0.2">
      <c r="A133" s="115">
        <v>8</v>
      </c>
      <c r="B133" s="116" t="s">
        <v>120</v>
      </c>
      <c r="C133" s="133">
        <v>0</v>
      </c>
      <c r="D133" s="133">
        <v>0</v>
      </c>
      <c r="E133" s="133">
        <f t="shared" si="18"/>
        <v>0</v>
      </c>
      <c r="F133" s="114">
        <f t="shared" si="19"/>
        <v>0</v>
      </c>
    </row>
    <row r="134" spans="1:6" x14ac:dyDescent="0.2">
      <c r="A134" s="115">
        <v>9</v>
      </c>
      <c r="B134" s="116" t="s">
        <v>121</v>
      </c>
      <c r="C134" s="133">
        <v>1761</v>
      </c>
      <c r="D134" s="133">
        <v>1528</v>
      </c>
      <c r="E134" s="133">
        <f t="shared" si="18"/>
        <v>-233</v>
      </c>
      <c r="F134" s="114">
        <f t="shared" si="19"/>
        <v>-0.13231118682566723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164119</v>
      </c>
      <c r="D137" s="134">
        <f>SUM(D126:D136)</f>
        <v>191738</v>
      </c>
      <c r="E137" s="134">
        <f t="shared" si="18"/>
        <v>27619</v>
      </c>
      <c r="F137" s="120">
        <f t="shared" si="19"/>
        <v>0.16828642631261462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33787</v>
      </c>
      <c r="D142" s="113">
        <v>102388</v>
      </c>
      <c r="E142" s="113">
        <f t="shared" ref="E142:E153" si="20">D142-C142</f>
        <v>68601</v>
      </c>
      <c r="F142" s="114">
        <f t="shared" ref="F142:F153" si="21">IF(C142=0,0,E142/C142)</f>
        <v>2.0303963062716428</v>
      </c>
    </row>
    <row r="143" spans="1:6" x14ac:dyDescent="0.2">
      <c r="A143" s="115">
        <v>2</v>
      </c>
      <c r="B143" s="116" t="s">
        <v>114</v>
      </c>
      <c r="C143" s="113">
        <v>0</v>
      </c>
      <c r="D143" s="113">
        <v>0</v>
      </c>
      <c r="E143" s="113">
        <f t="shared" si="20"/>
        <v>0</v>
      </c>
      <c r="F143" s="114">
        <f t="shared" si="21"/>
        <v>0</v>
      </c>
    </row>
    <row r="144" spans="1:6" x14ac:dyDescent="0.2">
      <c r="A144" s="115">
        <v>3</v>
      </c>
      <c r="B144" s="116" t="s">
        <v>115</v>
      </c>
      <c r="C144" s="113">
        <v>50563947</v>
      </c>
      <c r="D144" s="113">
        <v>59549055</v>
      </c>
      <c r="E144" s="113">
        <f t="shared" si="20"/>
        <v>8985108</v>
      </c>
      <c r="F144" s="114">
        <f t="shared" si="21"/>
        <v>0.17769791586879086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458456</v>
      </c>
      <c r="D146" s="113">
        <v>631820</v>
      </c>
      <c r="E146" s="113">
        <f t="shared" si="20"/>
        <v>173364</v>
      </c>
      <c r="F146" s="114">
        <f t="shared" si="21"/>
        <v>0.37814752124522311</v>
      </c>
    </row>
    <row r="147" spans="1:6" x14ac:dyDescent="0.2">
      <c r="A147" s="115">
        <v>6</v>
      </c>
      <c r="B147" s="116" t="s">
        <v>118</v>
      </c>
      <c r="C147" s="113">
        <v>0</v>
      </c>
      <c r="D147" s="113">
        <v>0</v>
      </c>
      <c r="E147" s="113">
        <f t="shared" si="20"/>
        <v>0</v>
      </c>
      <c r="F147" s="114">
        <f t="shared" si="21"/>
        <v>0</v>
      </c>
    </row>
    <row r="148" spans="1:6" x14ac:dyDescent="0.2">
      <c r="A148" s="115">
        <v>7</v>
      </c>
      <c r="B148" s="116" t="s">
        <v>119</v>
      </c>
      <c r="C148" s="113">
        <v>31639009</v>
      </c>
      <c r="D148" s="113">
        <v>30836344</v>
      </c>
      <c r="E148" s="113">
        <f t="shared" si="20"/>
        <v>-802665</v>
      </c>
      <c r="F148" s="114">
        <f t="shared" si="21"/>
        <v>-2.5369473487617769E-2</v>
      </c>
    </row>
    <row r="149" spans="1:6" x14ac:dyDescent="0.2">
      <c r="A149" s="115">
        <v>8</v>
      </c>
      <c r="B149" s="116" t="s">
        <v>120</v>
      </c>
      <c r="C149" s="113">
        <v>0</v>
      </c>
      <c r="D149" s="113">
        <v>0</v>
      </c>
      <c r="E149" s="113">
        <f t="shared" si="20"/>
        <v>0</v>
      </c>
      <c r="F149" s="114">
        <f t="shared" si="21"/>
        <v>0</v>
      </c>
    </row>
    <row r="150" spans="1:6" x14ac:dyDescent="0.2">
      <c r="A150" s="115">
        <v>9</v>
      </c>
      <c r="B150" s="116" t="s">
        <v>121</v>
      </c>
      <c r="C150" s="113">
        <v>1438339</v>
      </c>
      <c r="D150" s="113">
        <v>1083777</v>
      </c>
      <c r="E150" s="113">
        <f t="shared" si="20"/>
        <v>-354562</v>
      </c>
      <c r="F150" s="114">
        <f t="shared" si="21"/>
        <v>-0.24650795118536034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84133538</v>
      </c>
      <c r="D153" s="119">
        <f>SUM(D142:D152)</f>
        <v>92203384</v>
      </c>
      <c r="E153" s="119">
        <f t="shared" si="20"/>
        <v>8069846</v>
      </c>
      <c r="F153" s="120">
        <f t="shared" si="21"/>
        <v>9.5917112150923689E-2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14191</v>
      </c>
      <c r="D155" s="113">
        <v>42333</v>
      </c>
      <c r="E155" s="113">
        <f t="shared" ref="E155:E166" si="22">D155-C155</f>
        <v>28142</v>
      </c>
      <c r="F155" s="114">
        <f t="shared" ref="F155:F166" si="23">IF(C155=0,0,E155/C155)</f>
        <v>1.9830878725953069</v>
      </c>
    </row>
    <row r="156" spans="1:6" x14ac:dyDescent="0.2">
      <c r="A156" s="115">
        <v>2</v>
      </c>
      <c r="B156" s="116" t="s">
        <v>114</v>
      </c>
      <c r="C156" s="113">
        <v>0</v>
      </c>
      <c r="D156" s="113">
        <v>0</v>
      </c>
      <c r="E156" s="113">
        <f t="shared" si="22"/>
        <v>0</v>
      </c>
      <c r="F156" s="114">
        <f t="shared" si="23"/>
        <v>0</v>
      </c>
    </row>
    <row r="157" spans="1:6" x14ac:dyDescent="0.2">
      <c r="A157" s="115">
        <v>3</v>
      </c>
      <c r="B157" s="116" t="s">
        <v>115</v>
      </c>
      <c r="C157" s="113">
        <v>10348424</v>
      </c>
      <c r="D157" s="113">
        <v>10839741</v>
      </c>
      <c r="E157" s="113">
        <f t="shared" si="22"/>
        <v>491317</v>
      </c>
      <c r="F157" s="114">
        <f t="shared" si="23"/>
        <v>4.7477470965627232E-2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302581</v>
      </c>
      <c r="D159" s="113">
        <v>417001</v>
      </c>
      <c r="E159" s="113">
        <f t="shared" si="22"/>
        <v>114420</v>
      </c>
      <c r="F159" s="114">
        <f t="shared" si="23"/>
        <v>0.37814667807958863</v>
      </c>
    </row>
    <row r="160" spans="1:6" x14ac:dyDescent="0.2">
      <c r="A160" s="115">
        <v>6</v>
      </c>
      <c r="B160" s="116" t="s">
        <v>118</v>
      </c>
      <c r="C160" s="113">
        <v>0</v>
      </c>
      <c r="D160" s="113">
        <v>0</v>
      </c>
      <c r="E160" s="113">
        <f t="shared" si="22"/>
        <v>0</v>
      </c>
      <c r="F160" s="114">
        <f t="shared" si="23"/>
        <v>0</v>
      </c>
    </row>
    <row r="161" spans="1:6" x14ac:dyDescent="0.2">
      <c r="A161" s="115">
        <v>7</v>
      </c>
      <c r="B161" s="116" t="s">
        <v>119</v>
      </c>
      <c r="C161" s="113">
        <v>18950202</v>
      </c>
      <c r="D161" s="113">
        <v>21646469</v>
      </c>
      <c r="E161" s="113">
        <f t="shared" si="22"/>
        <v>2696267</v>
      </c>
      <c r="F161" s="114">
        <f t="shared" si="23"/>
        <v>0.14228170232697257</v>
      </c>
    </row>
    <row r="162" spans="1:6" x14ac:dyDescent="0.2">
      <c r="A162" s="115">
        <v>8</v>
      </c>
      <c r="B162" s="116" t="s">
        <v>120</v>
      </c>
      <c r="C162" s="113">
        <v>0</v>
      </c>
      <c r="D162" s="113">
        <v>0</v>
      </c>
      <c r="E162" s="113">
        <f t="shared" si="22"/>
        <v>0</v>
      </c>
      <c r="F162" s="114">
        <f t="shared" si="23"/>
        <v>0</v>
      </c>
    </row>
    <row r="163" spans="1:6" x14ac:dyDescent="0.2">
      <c r="A163" s="115">
        <v>9</v>
      </c>
      <c r="B163" s="116" t="s">
        <v>121</v>
      </c>
      <c r="C163" s="113">
        <v>779957</v>
      </c>
      <c r="D163" s="113">
        <v>601354</v>
      </c>
      <c r="E163" s="113">
        <f t="shared" si="22"/>
        <v>-178603</v>
      </c>
      <c r="F163" s="114">
        <f t="shared" si="23"/>
        <v>-0.2289908289815977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30395355</v>
      </c>
      <c r="D166" s="119">
        <f>SUM(D155:D165)</f>
        <v>33546898</v>
      </c>
      <c r="E166" s="119">
        <f t="shared" si="22"/>
        <v>3151543</v>
      </c>
      <c r="F166" s="120">
        <f t="shared" si="23"/>
        <v>0.10368502029339681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11</v>
      </c>
      <c r="D168" s="133">
        <v>16</v>
      </c>
      <c r="E168" s="133">
        <f t="shared" ref="E168:E179" si="24">D168-C168</f>
        <v>5</v>
      </c>
      <c r="F168" s="114">
        <f t="shared" ref="F168:F179" si="25">IF(C168=0,0,E168/C168)</f>
        <v>0.45454545454545453</v>
      </c>
    </row>
    <row r="169" spans="1:6" x14ac:dyDescent="0.2">
      <c r="A169" s="115">
        <v>2</v>
      </c>
      <c r="B169" s="116" t="s">
        <v>114</v>
      </c>
      <c r="C169" s="133">
        <v>0</v>
      </c>
      <c r="D169" s="133">
        <v>0</v>
      </c>
      <c r="E169" s="133">
        <f t="shared" si="24"/>
        <v>0</v>
      </c>
      <c r="F169" s="114">
        <f t="shared" si="25"/>
        <v>0</v>
      </c>
    </row>
    <row r="170" spans="1:6" x14ac:dyDescent="0.2">
      <c r="A170" s="115">
        <v>3</v>
      </c>
      <c r="B170" s="116" t="s">
        <v>115</v>
      </c>
      <c r="C170" s="133">
        <v>35126</v>
      </c>
      <c r="D170" s="133">
        <v>35042</v>
      </c>
      <c r="E170" s="133">
        <f t="shared" si="24"/>
        <v>-84</v>
      </c>
      <c r="F170" s="114">
        <f t="shared" si="25"/>
        <v>-2.3913909924272616E-3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285</v>
      </c>
      <c r="D172" s="133">
        <v>252</v>
      </c>
      <c r="E172" s="133">
        <f t="shared" si="24"/>
        <v>-33</v>
      </c>
      <c r="F172" s="114">
        <f t="shared" si="25"/>
        <v>-0.11578947368421053</v>
      </c>
    </row>
    <row r="173" spans="1:6" x14ac:dyDescent="0.2">
      <c r="A173" s="115">
        <v>6</v>
      </c>
      <c r="B173" s="116" t="s">
        <v>118</v>
      </c>
      <c r="C173" s="133">
        <v>0</v>
      </c>
      <c r="D173" s="133">
        <v>0</v>
      </c>
      <c r="E173" s="133">
        <f t="shared" si="24"/>
        <v>0</v>
      </c>
      <c r="F173" s="114">
        <f t="shared" si="25"/>
        <v>0</v>
      </c>
    </row>
    <row r="174" spans="1:6" x14ac:dyDescent="0.2">
      <c r="A174" s="115">
        <v>7</v>
      </c>
      <c r="B174" s="116" t="s">
        <v>119</v>
      </c>
      <c r="C174" s="133">
        <v>15773</v>
      </c>
      <c r="D174" s="133">
        <v>15355</v>
      </c>
      <c r="E174" s="133">
        <f t="shared" si="24"/>
        <v>-418</v>
      </c>
      <c r="F174" s="114">
        <f t="shared" si="25"/>
        <v>-2.6500982691941927E-2</v>
      </c>
    </row>
    <row r="175" spans="1:6" x14ac:dyDescent="0.2">
      <c r="A175" s="115">
        <v>8</v>
      </c>
      <c r="B175" s="116" t="s">
        <v>120</v>
      </c>
      <c r="C175" s="133">
        <v>0</v>
      </c>
      <c r="D175" s="133">
        <v>0</v>
      </c>
      <c r="E175" s="133">
        <f t="shared" si="24"/>
        <v>0</v>
      </c>
      <c r="F175" s="114">
        <f t="shared" si="25"/>
        <v>0</v>
      </c>
    </row>
    <row r="176" spans="1:6" x14ac:dyDescent="0.2">
      <c r="A176" s="115">
        <v>9</v>
      </c>
      <c r="B176" s="116" t="s">
        <v>121</v>
      </c>
      <c r="C176" s="133">
        <v>1146</v>
      </c>
      <c r="D176" s="133">
        <v>773</v>
      </c>
      <c r="E176" s="133">
        <f t="shared" si="24"/>
        <v>-373</v>
      </c>
      <c r="F176" s="114">
        <f t="shared" si="25"/>
        <v>-0.32547993019197208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52341</v>
      </c>
      <c r="D179" s="134">
        <f>SUM(D168:D178)</f>
        <v>51438</v>
      </c>
      <c r="E179" s="134">
        <f t="shared" si="24"/>
        <v>-903</v>
      </c>
      <c r="F179" s="120">
        <f t="shared" si="25"/>
        <v>-1.7252249670430448E-2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FILING&amp;RCT CHILDREN`S MEDICAL CENTER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29967685</v>
      </c>
      <c r="D15" s="157">
        <v>29168523</v>
      </c>
      <c r="E15" s="157">
        <f>+D15-C15</f>
        <v>-799162</v>
      </c>
      <c r="F15" s="161">
        <f>IF(C15=0,0,E15/C15)</f>
        <v>-2.6667458630855203E-2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77662593</v>
      </c>
      <c r="D17" s="157">
        <v>80702121</v>
      </c>
      <c r="E17" s="157">
        <f>+D17-C17</f>
        <v>3039528</v>
      </c>
      <c r="F17" s="161">
        <f>IF(C17=0,0,E17/C17)</f>
        <v>3.9137606440722367E-2</v>
      </c>
    </row>
    <row r="18" spans="1:6" ht="15.75" customHeight="1" x14ac:dyDescent="0.25">
      <c r="A18" s="147"/>
      <c r="B18" s="162" t="s">
        <v>159</v>
      </c>
      <c r="C18" s="158">
        <f>SUM(C15:C17)</f>
        <v>107630278</v>
      </c>
      <c r="D18" s="158">
        <f>SUM(D15:D17)</f>
        <v>109870644</v>
      </c>
      <c r="E18" s="158">
        <f>+D18-C18</f>
        <v>2240366</v>
      </c>
      <c r="F18" s="159">
        <f>IF(C18=0,0,E18/C18)</f>
        <v>2.0815388026778115E-2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8711626</v>
      </c>
      <c r="D21" s="157">
        <v>8007981</v>
      </c>
      <c r="E21" s="157">
        <f>+D21-C21</f>
        <v>-703645</v>
      </c>
      <c r="F21" s="161">
        <f>IF(C21=0,0,E21/C21)</f>
        <v>-8.0770799848386518E-2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22576569</v>
      </c>
      <c r="D23" s="157">
        <v>22156113</v>
      </c>
      <c r="E23" s="157">
        <f>+D23-C23</f>
        <v>-420456</v>
      </c>
      <c r="F23" s="161">
        <f>IF(C23=0,0,E23/C23)</f>
        <v>-1.8623556130251677E-2</v>
      </c>
    </row>
    <row r="24" spans="1:6" ht="15.75" customHeight="1" x14ac:dyDescent="0.25">
      <c r="A24" s="147"/>
      <c r="B24" s="162" t="s">
        <v>164</v>
      </c>
      <c r="C24" s="158">
        <f>SUM(C21:C23)</f>
        <v>31288195</v>
      </c>
      <c r="D24" s="158">
        <f>SUM(D21:D23)</f>
        <v>30164094</v>
      </c>
      <c r="E24" s="158">
        <f>+D24-C24</f>
        <v>-1124101</v>
      </c>
      <c r="F24" s="159">
        <f>IF(C24=0,0,E24/C24)</f>
        <v>-3.5927320192168322E-2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11600355</v>
      </c>
      <c r="D28" s="157">
        <v>11370358</v>
      </c>
      <c r="E28" s="157">
        <f>+D28-C28</f>
        <v>-229997</v>
      </c>
      <c r="F28" s="161">
        <f>IF(C28=0,0,E28/C28)</f>
        <v>-1.9826720820181797E-2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11600355</v>
      </c>
      <c r="D30" s="158">
        <f>SUM(D27:D29)</f>
        <v>11370358</v>
      </c>
      <c r="E30" s="158">
        <f>+D30-C30</f>
        <v>-229997</v>
      </c>
      <c r="F30" s="159">
        <f>IF(C30=0,0,E30/C30)</f>
        <v>-1.9826720820181797E-2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11311205</v>
      </c>
      <c r="D33" s="157">
        <v>13998634</v>
      </c>
      <c r="E33" s="157">
        <f>+D33-C33</f>
        <v>2687429</v>
      </c>
      <c r="F33" s="161">
        <f>IF(C33=0,0,E33/C33)</f>
        <v>0.23758998267646991</v>
      </c>
    </row>
    <row r="34" spans="1:6" ht="15" customHeight="1" x14ac:dyDescent="0.2">
      <c r="A34" s="147">
        <v>2</v>
      </c>
      <c r="B34" s="160" t="s">
        <v>173</v>
      </c>
      <c r="C34" s="157">
        <v>6459491</v>
      </c>
      <c r="D34" s="157">
        <v>8488355</v>
      </c>
      <c r="E34" s="157">
        <f>+D34-C34</f>
        <v>2028864</v>
      </c>
      <c r="F34" s="161">
        <f>IF(C34=0,0,E34/C34)</f>
        <v>0.31409038266327793</v>
      </c>
    </row>
    <row r="35" spans="1:6" ht="15.75" customHeight="1" x14ac:dyDescent="0.25">
      <c r="A35" s="147"/>
      <c r="B35" s="162" t="s">
        <v>174</v>
      </c>
      <c r="C35" s="158">
        <f>SUM(C33:C34)</f>
        <v>17770696</v>
      </c>
      <c r="D35" s="158">
        <f>SUM(D33:D34)</f>
        <v>22486989</v>
      </c>
      <c r="E35" s="158">
        <f>+D35-C35</f>
        <v>4716293</v>
      </c>
      <c r="F35" s="159">
        <f>IF(C35=0,0,E35/C35)</f>
        <v>0.26539720222550656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4723283</v>
      </c>
      <c r="D38" s="157">
        <v>4935636</v>
      </c>
      <c r="E38" s="157">
        <f>+D38-C38</f>
        <v>212353</v>
      </c>
      <c r="F38" s="161">
        <f>IF(C38=0,0,E38/C38)</f>
        <v>4.4958771261429817E-2</v>
      </c>
    </row>
    <row r="39" spans="1:6" ht="15" customHeight="1" x14ac:dyDescent="0.2">
      <c r="A39" s="147">
        <v>2</v>
      </c>
      <c r="B39" s="160" t="s">
        <v>178</v>
      </c>
      <c r="C39" s="157">
        <v>6698458</v>
      </c>
      <c r="D39" s="157">
        <v>9585531</v>
      </c>
      <c r="E39" s="157">
        <f>+D39-C39</f>
        <v>2887073</v>
      </c>
      <c r="F39" s="161">
        <f>IF(C39=0,0,E39/C39)</f>
        <v>0.43100561353075589</v>
      </c>
    </row>
    <row r="40" spans="1:6" ht="15" customHeight="1" x14ac:dyDescent="0.2">
      <c r="A40" s="147">
        <v>3</v>
      </c>
      <c r="B40" s="160" t="s">
        <v>179</v>
      </c>
      <c r="C40" s="157">
        <v>380099</v>
      </c>
      <c r="D40" s="157">
        <v>224789</v>
      </c>
      <c r="E40" s="157">
        <f>+D40-C40</f>
        <v>-155310</v>
      </c>
      <c r="F40" s="161">
        <f>IF(C40=0,0,E40/C40)</f>
        <v>-0.40860407420172112</v>
      </c>
    </row>
    <row r="41" spans="1:6" ht="15.75" customHeight="1" x14ac:dyDescent="0.25">
      <c r="A41" s="147"/>
      <c r="B41" s="162" t="s">
        <v>180</v>
      </c>
      <c r="C41" s="158">
        <f>SUM(C38:C40)</f>
        <v>11801840</v>
      </c>
      <c r="D41" s="158">
        <f>SUM(D38:D40)</f>
        <v>14745956</v>
      </c>
      <c r="E41" s="158">
        <f>+D41-C41</f>
        <v>2944116</v>
      </c>
      <c r="F41" s="159">
        <f>IF(C41=0,0,E41/C41)</f>
        <v>0.24946245670166686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1294274</v>
      </c>
      <c r="D47" s="157">
        <v>1231379</v>
      </c>
      <c r="E47" s="157">
        <f>+D47-C47</f>
        <v>-62895</v>
      </c>
      <c r="F47" s="161">
        <f>IF(C47=0,0,E47/C47)</f>
        <v>-4.8594810681509476E-2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870596</v>
      </c>
      <c r="D50" s="157">
        <v>4328239</v>
      </c>
      <c r="E50" s="157">
        <f>+D50-C50</f>
        <v>3457643</v>
      </c>
      <c r="F50" s="161">
        <f>IF(C50=0,0,E50/C50)</f>
        <v>3.9715815372457488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146604</v>
      </c>
      <c r="D53" s="157">
        <v>147197</v>
      </c>
      <c r="E53" s="157">
        <f t="shared" ref="E53:E59" si="0">+D53-C53</f>
        <v>593</v>
      </c>
      <c r="F53" s="161">
        <f t="shared" ref="F53:F59" si="1">IF(C53=0,0,E53/C53)</f>
        <v>4.044910097950943E-3</v>
      </c>
    </row>
    <row r="54" spans="1:6" ht="15" customHeight="1" x14ac:dyDescent="0.2">
      <c r="A54" s="147">
        <v>2</v>
      </c>
      <c r="B54" s="160" t="s">
        <v>189</v>
      </c>
      <c r="C54" s="157">
        <v>584708</v>
      </c>
      <c r="D54" s="157">
        <v>467979</v>
      </c>
      <c r="E54" s="157">
        <f t="shared" si="0"/>
        <v>-116729</v>
      </c>
      <c r="F54" s="161">
        <f t="shared" si="1"/>
        <v>-0.19963639970720429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1549906</v>
      </c>
      <c r="D56" s="157">
        <v>1509213</v>
      </c>
      <c r="E56" s="157">
        <f t="shared" si="0"/>
        <v>-40693</v>
      </c>
      <c r="F56" s="161">
        <f t="shared" si="1"/>
        <v>-2.6255140634335244E-2</v>
      </c>
    </row>
    <row r="57" spans="1:6" ht="15" customHeight="1" x14ac:dyDescent="0.2">
      <c r="A57" s="147">
        <v>5</v>
      </c>
      <c r="B57" s="160" t="s">
        <v>192</v>
      </c>
      <c r="C57" s="157">
        <v>284059</v>
      </c>
      <c r="D57" s="157">
        <v>324006</v>
      </c>
      <c r="E57" s="157">
        <f t="shared" si="0"/>
        <v>39947</v>
      </c>
      <c r="F57" s="161">
        <f t="shared" si="1"/>
        <v>0.14062923547572864</v>
      </c>
    </row>
    <row r="58" spans="1:6" ht="15" customHeight="1" x14ac:dyDescent="0.2">
      <c r="A58" s="147">
        <v>6</v>
      </c>
      <c r="B58" s="160" t="s">
        <v>193</v>
      </c>
      <c r="C58" s="157">
        <v>42515</v>
      </c>
      <c r="D58" s="157">
        <v>53901</v>
      </c>
      <c r="E58" s="157">
        <f t="shared" si="0"/>
        <v>11386</v>
      </c>
      <c r="F58" s="161">
        <f t="shared" si="1"/>
        <v>0.26781136069622485</v>
      </c>
    </row>
    <row r="59" spans="1:6" ht="15.75" customHeight="1" x14ac:dyDescent="0.25">
      <c r="A59" s="147"/>
      <c r="B59" s="162" t="s">
        <v>194</v>
      </c>
      <c r="C59" s="158">
        <f>SUM(C53:C58)</f>
        <v>2607792</v>
      </c>
      <c r="D59" s="158">
        <f>SUM(D53:D58)</f>
        <v>2502296</v>
      </c>
      <c r="E59" s="158">
        <f t="shared" si="0"/>
        <v>-105496</v>
      </c>
      <c r="F59" s="159">
        <f t="shared" si="1"/>
        <v>-4.0454146649732799E-2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308923</v>
      </c>
      <c r="D62" s="157">
        <v>340809</v>
      </c>
      <c r="E62" s="157">
        <f t="shared" ref="E62:E90" si="2">+D62-C62</f>
        <v>31886</v>
      </c>
      <c r="F62" s="161">
        <f t="shared" ref="F62:F90" si="3">IF(C62=0,0,E62/C62)</f>
        <v>0.10321665916749481</v>
      </c>
    </row>
    <row r="63" spans="1:6" ht="15" customHeight="1" x14ac:dyDescent="0.2">
      <c r="A63" s="147">
        <v>2</v>
      </c>
      <c r="B63" s="160" t="s">
        <v>198</v>
      </c>
      <c r="C63" s="157">
        <v>825362</v>
      </c>
      <c r="D63" s="157">
        <v>477936</v>
      </c>
      <c r="E63" s="157">
        <f t="shared" si="2"/>
        <v>-347426</v>
      </c>
      <c r="F63" s="161">
        <f t="shared" si="3"/>
        <v>-0.42093772187234207</v>
      </c>
    </row>
    <row r="64" spans="1:6" ht="15" customHeight="1" x14ac:dyDescent="0.2">
      <c r="A64" s="147">
        <v>3</v>
      </c>
      <c r="B64" s="160" t="s">
        <v>199</v>
      </c>
      <c r="C64" s="157">
        <v>4804853</v>
      </c>
      <c r="D64" s="157">
        <v>8798522</v>
      </c>
      <c r="E64" s="157">
        <f t="shared" si="2"/>
        <v>3993669</v>
      </c>
      <c r="F64" s="161">
        <f t="shared" si="3"/>
        <v>0.83117402343006119</v>
      </c>
    </row>
    <row r="65" spans="1:6" ht="15" customHeight="1" x14ac:dyDescent="0.2">
      <c r="A65" s="147">
        <v>4</v>
      </c>
      <c r="B65" s="160" t="s">
        <v>200</v>
      </c>
      <c r="C65" s="157">
        <v>950559</v>
      </c>
      <c r="D65" s="157">
        <v>966259</v>
      </c>
      <c r="E65" s="157">
        <f t="shared" si="2"/>
        <v>15700</v>
      </c>
      <c r="F65" s="161">
        <f t="shared" si="3"/>
        <v>1.651659707603631E-2</v>
      </c>
    </row>
    <row r="66" spans="1:6" ht="15" customHeight="1" x14ac:dyDescent="0.2">
      <c r="A66" s="147">
        <v>5</v>
      </c>
      <c r="B66" s="160" t="s">
        <v>201</v>
      </c>
      <c r="C66" s="157">
        <v>628079</v>
      </c>
      <c r="D66" s="157">
        <v>689507</v>
      </c>
      <c r="E66" s="157">
        <f t="shared" si="2"/>
        <v>61428</v>
      </c>
      <c r="F66" s="161">
        <f t="shared" si="3"/>
        <v>9.7802983382663647E-2</v>
      </c>
    </row>
    <row r="67" spans="1:6" ht="15" customHeight="1" x14ac:dyDescent="0.2">
      <c r="A67" s="147">
        <v>6</v>
      </c>
      <c r="B67" s="160" t="s">
        <v>202</v>
      </c>
      <c r="C67" s="157">
        <v>7908358</v>
      </c>
      <c r="D67" s="157">
        <v>9658370</v>
      </c>
      <c r="E67" s="157">
        <f t="shared" si="2"/>
        <v>1750012</v>
      </c>
      <c r="F67" s="161">
        <f t="shared" si="3"/>
        <v>0.22128639092969743</v>
      </c>
    </row>
    <row r="68" spans="1:6" ht="15" customHeight="1" x14ac:dyDescent="0.2">
      <c r="A68" s="147">
        <v>7</v>
      </c>
      <c r="B68" s="160" t="s">
        <v>203</v>
      </c>
      <c r="C68" s="157">
        <v>2317322</v>
      </c>
      <c r="D68" s="157">
        <v>2343178</v>
      </c>
      <c r="E68" s="157">
        <f t="shared" si="2"/>
        <v>25856</v>
      </c>
      <c r="F68" s="161">
        <f t="shared" si="3"/>
        <v>1.1157707042871038E-2</v>
      </c>
    </row>
    <row r="69" spans="1:6" ht="15" customHeight="1" x14ac:dyDescent="0.2">
      <c r="A69" s="147">
        <v>8</v>
      </c>
      <c r="B69" s="160" t="s">
        <v>204</v>
      </c>
      <c r="C69" s="157">
        <v>467389</v>
      </c>
      <c r="D69" s="157">
        <v>361089</v>
      </c>
      <c r="E69" s="157">
        <f t="shared" si="2"/>
        <v>-106300</v>
      </c>
      <c r="F69" s="161">
        <f t="shared" si="3"/>
        <v>-0.22743367944046608</v>
      </c>
    </row>
    <row r="70" spans="1:6" ht="15" customHeight="1" x14ac:dyDescent="0.2">
      <c r="A70" s="147">
        <v>9</v>
      </c>
      <c r="B70" s="160" t="s">
        <v>205</v>
      </c>
      <c r="C70" s="157">
        <v>222349</v>
      </c>
      <c r="D70" s="157">
        <v>202428</v>
      </c>
      <c r="E70" s="157">
        <f t="shared" si="2"/>
        <v>-19921</v>
      </c>
      <c r="F70" s="161">
        <f t="shared" si="3"/>
        <v>-8.9593386972732059E-2</v>
      </c>
    </row>
    <row r="71" spans="1:6" ht="15" customHeight="1" x14ac:dyDescent="0.2">
      <c r="A71" s="147">
        <v>10</v>
      </c>
      <c r="B71" s="160" t="s">
        <v>206</v>
      </c>
      <c r="C71" s="157">
        <v>564441</v>
      </c>
      <c r="D71" s="157">
        <v>584129</v>
      </c>
      <c r="E71" s="157">
        <f t="shared" si="2"/>
        <v>19688</v>
      </c>
      <c r="F71" s="161">
        <f t="shared" si="3"/>
        <v>3.4880527814244534E-2</v>
      </c>
    </row>
    <row r="72" spans="1:6" ht="15" customHeight="1" x14ac:dyDescent="0.2">
      <c r="A72" s="147">
        <v>11</v>
      </c>
      <c r="B72" s="160" t="s">
        <v>207</v>
      </c>
      <c r="C72" s="157">
        <v>52739</v>
      </c>
      <c r="D72" s="157">
        <v>113059</v>
      </c>
      <c r="E72" s="157">
        <f t="shared" si="2"/>
        <v>60320</v>
      </c>
      <c r="F72" s="161">
        <f t="shared" si="3"/>
        <v>1.1437456151993781</v>
      </c>
    </row>
    <row r="73" spans="1:6" ht="15" customHeight="1" x14ac:dyDescent="0.2">
      <c r="A73" s="147">
        <v>12</v>
      </c>
      <c r="B73" s="160" t="s">
        <v>208</v>
      </c>
      <c r="C73" s="157">
        <v>2786930</v>
      </c>
      <c r="D73" s="157">
        <v>2292824</v>
      </c>
      <c r="E73" s="157">
        <f t="shared" si="2"/>
        <v>-494106</v>
      </c>
      <c r="F73" s="161">
        <f t="shared" si="3"/>
        <v>-0.17729401169028286</v>
      </c>
    </row>
    <row r="74" spans="1:6" ht="15" customHeight="1" x14ac:dyDescent="0.2">
      <c r="A74" s="147">
        <v>13</v>
      </c>
      <c r="B74" s="160" t="s">
        <v>209</v>
      </c>
      <c r="C74" s="157">
        <v>111647</v>
      </c>
      <c r="D74" s="157">
        <v>107229</v>
      </c>
      <c r="E74" s="157">
        <f t="shared" si="2"/>
        <v>-4418</v>
      </c>
      <c r="F74" s="161">
        <f t="shared" si="3"/>
        <v>-3.9571148351500711E-2</v>
      </c>
    </row>
    <row r="75" spans="1:6" ht="15" customHeight="1" x14ac:dyDescent="0.2">
      <c r="A75" s="147">
        <v>14</v>
      </c>
      <c r="B75" s="160" t="s">
        <v>210</v>
      </c>
      <c r="C75" s="157">
        <v>121114</v>
      </c>
      <c r="D75" s="157">
        <v>159825</v>
      </c>
      <c r="E75" s="157">
        <f t="shared" si="2"/>
        <v>38711</v>
      </c>
      <c r="F75" s="161">
        <f t="shared" si="3"/>
        <v>0.31962448602143434</v>
      </c>
    </row>
    <row r="76" spans="1:6" ht="15" customHeight="1" x14ac:dyDescent="0.2">
      <c r="A76" s="147">
        <v>15</v>
      </c>
      <c r="B76" s="160" t="s">
        <v>211</v>
      </c>
      <c r="C76" s="157">
        <v>1043566</v>
      </c>
      <c r="D76" s="157">
        <v>895504</v>
      </c>
      <c r="E76" s="157">
        <f t="shared" si="2"/>
        <v>-148062</v>
      </c>
      <c r="F76" s="161">
        <f t="shared" si="3"/>
        <v>-0.14188082018770254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23113631</v>
      </c>
      <c r="D90" s="158">
        <f>SUM(D62:D89)</f>
        <v>27990668</v>
      </c>
      <c r="E90" s="158">
        <f t="shared" si="2"/>
        <v>4877037</v>
      </c>
      <c r="F90" s="159">
        <f t="shared" si="3"/>
        <v>0.21100263303502595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59816184</v>
      </c>
      <c r="D93" s="157">
        <v>55408857</v>
      </c>
      <c r="E93" s="157">
        <f>+D93-C93</f>
        <v>-4407327</v>
      </c>
      <c r="F93" s="161">
        <f>IF(C93=0,0,E93/C93)</f>
        <v>-7.3681179662012541E-2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267793841</v>
      </c>
      <c r="D95" s="158">
        <f>+D93+D90+D59+D50+D47+D44+D41+D35+D30+D24+D18</f>
        <v>280099480</v>
      </c>
      <c r="E95" s="158">
        <f>+D95-C95</f>
        <v>12305639</v>
      </c>
      <c r="F95" s="159">
        <f>IF(C95=0,0,E95/C95)</f>
        <v>4.5951911941096511E-2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24409170</v>
      </c>
      <c r="D103" s="157">
        <v>33739789</v>
      </c>
      <c r="E103" s="157">
        <f t="shared" ref="E103:E121" si="4">D103-C103</f>
        <v>9330619</v>
      </c>
      <c r="F103" s="161">
        <f t="shared" ref="F103:F121" si="5">IF(C103=0,0,E103/C103)</f>
        <v>0.38225875767180939</v>
      </c>
    </row>
    <row r="104" spans="1:6" ht="15" customHeight="1" x14ac:dyDescent="0.2">
      <c r="A104" s="147">
        <v>2</v>
      </c>
      <c r="B104" s="169" t="s">
        <v>234</v>
      </c>
      <c r="C104" s="157">
        <v>2349300</v>
      </c>
      <c r="D104" s="157">
        <v>2357721</v>
      </c>
      <c r="E104" s="157">
        <f t="shared" si="4"/>
        <v>8421</v>
      </c>
      <c r="F104" s="161">
        <f t="shared" si="5"/>
        <v>3.584471970374154E-3</v>
      </c>
    </row>
    <row r="105" spans="1:6" ht="15" customHeight="1" x14ac:dyDescent="0.2">
      <c r="A105" s="147">
        <v>3</v>
      </c>
      <c r="B105" s="169" t="s">
        <v>235</v>
      </c>
      <c r="C105" s="157">
        <v>3071206</v>
      </c>
      <c r="D105" s="157">
        <v>2935478</v>
      </c>
      <c r="E105" s="157">
        <f t="shared" si="4"/>
        <v>-135728</v>
      </c>
      <c r="F105" s="161">
        <f t="shared" si="5"/>
        <v>-4.4193714130540247E-2</v>
      </c>
    </row>
    <row r="106" spans="1:6" ht="15" customHeight="1" x14ac:dyDescent="0.2">
      <c r="A106" s="147">
        <v>4</v>
      </c>
      <c r="B106" s="169" t="s">
        <v>236</v>
      </c>
      <c r="C106" s="157">
        <v>2025762</v>
      </c>
      <c r="D106" s="157">
        <v>2359924</v>
      </c>
      <c r="E106" s="157">
        <f t="shared" si="4"/>
        <v>334162</v>
      </c>
      <c r="F106" s="161">
        <f t="shared" si="5"/>
        <v>0.1649561991981289</v>
      </c>
    </row>
    <row r="107" spans="1:6" ht="15" customHeight="1" x14ac:dyDescent="0.2">
      <c r="A107" s="147">
        <v>5</v>
      </c>
      <c r="B107" s="169" t="s">
        <v>237</v>
      </c>
      <c r="C107" s="157">
        <v>6640231</v>
      </c>
      <c r="D107" s="157">
        <v>10703485</v>
      </c>
      <c r="E107" s="157">
        <f t="shared" si="4"/>
        <v>4063254</v>
      </c>
      <c r="F107" s="161">
        <f t="shared" si="5"/>
        <v>0.61191455538218475</v>
      </c>
    </row>
    <row r="108" spans="1:6" ht="15" customHeight="1" x14ac:dyDescent="0.2">
      <c r="A108" s="147">
        <v>6</v>
      </c>
      <c r="B108" s="169" t="s">
        <v>238</v>
      </c>
      <c r="C108" s="157">
        <v>817414</v>
      </c>
      <c r="D108" s="157">
        <v>482090</v>
      </c>
      <c r="E108" s="157">
        <f t="shared" si="4"/>
        <v>-335324</v>
      </c>
      <c r="F108" s="161">
        <f t="shared" si="5"/>
        <v>-0.41022541820913272</v>
      </c>
    </row>
    <row r="109" spans="1:6" ht="15" customHeight="1" x14ac:dyDescent="0.2">
      <c r="A109" s="147">
        <v>7</v>
      </c>
      <c r="B109" s="169" t="s">
        <v>239</v>
      </c>
      <c r="C109" s="157">
        <v>3144580</v>
      </c>
      <c r="D109" s="157">
        <v>2615925</v>
      </c>
      <c r="E109" s="157">
        <f t="shared" si="4"/>
        <v>-528655</v>
      </c>
      <c r="F109" s="161">
        <f t="shared" si="5"/>
        <v>-0.1681162508188693</v>
      </c>
    </row>
    <row r="110" spans="1:6" ht="15" customHeight="1" x14ac:dyDescent="0.2">
      <c r="A110" s="147">
        <v>8</v>
      </c>
      <c r="B110" s="169" t="s">
        <v>240</v>
      </c>
      <c r="C110" s="157">
        <v>1506722</v>
      </c>
      <c r="D110" s="157">
        <v>1401803</v>
      </c>
      <c r="E110" s="157">
        <f t="shared" si="4"/>
        <v>-104919</v>
      </c>
      <c r="F110" s="161">
        <f t="shared" si="5"/>
        <v>-6.9633947071855329E-2</v>
      </c>
    </row>
    <row r="111" spans="1:6" ht="15" customHeight="1" x14ac:dyDescent="0.2">
      <c r="A111" s="147">
        <v>9</v>
      </c>
      <c r="B111" s="169" t="s">
        <v>241</v>
      </c>
      <c r="C111" s="157">
        <v>796958</v>
      </c>
      <c r="D111" s="157">
        <v>1385602</v>
      </c>
      <c r="E111" s="157">
        <f t="shared" si="4"/>
        <v>588644</v>
      </c>
      <c r="F111" s="161">
        <f t="shared" si="5"/>
        <v>0.7386135781308425</v>
      </c>
    </row>
    <row r="112" spans="1:6" ht="15" customHeight="1" x14ac:dyDescent="0.2">
      <c r="A112" s="147">
        <v>10</v>
      </c>
      <c r="B112" s="169" t="s">
        <v>242</v>
      </c>
      <c r="C112" s="157">
        <v>3127120</v>
      </c>
      <c r="D112" s="157">
        <v>3093160</v>
      </c>
      <c r="E112" s="157">
        <f t="shared" si="4"/>
        <v>-33960</v>
      </c>
      <c r="F112" s="161">
        <f t="shared" si="5"/>
        <v>-1.085983268950344E-2</v>
      </c>
    </row>
    <row r="113" spans="1:6" ht="15" customHeight="1" x14ac:dyDescent="0.2">
      <c r="A113" s="147">
        <v>11</v>
      </c>
      <c r="B113" s="169" t="s">
        <v>243</v>
      </c>
      <c r="C113" s="157">
        <v>2794551</v>
      </c>
      <c r="D113" s="157">
        <v>2633100</v>
      </c>
      <c r="E113" s="157">
        <f t="shared" si="4"/>
        <v>-161451</v>
      </c>
      <c r="F113" s="161">
        <f t="shared" si="5"/>
        <v>-5.7773502791682814E-2</v>
      </c>
    </row>
    <row r="114" spans="1:6" ht="15" customHeight="1" x14ac:dyDescent="0.2">
      <c r="A114" s="147">
        <v>12</v>
      </c>
      <c r="B114" s="169" t="s">
        <v>244</v>
      </c>
      <c r="C114" s="157">
        <v>6333</v>
      </c>
      <c r="D114" s="157">
        <v>3191</v>
      </c>
      <c r="E114" s="157">
        <f t="shared" si="4"/>
        <v>-3142</v>
      </c>
      <c r="F114" s="161">
        <f t="shared" si="5"/>
        <v>-0.49613137533554397</v>
      </c>
    </row>
    <row r="115" spans="1:6" ht="15" customHeight="1" x14ac:dyDescent="0.2">
      <c r="A115" s="147">
        <v>13</v>
      </c>
      <c r="B115" s="169" t="s">
        <v>245</v>
      </c>
      <c r="C115" s="157">
        <v>6467858</v>
      </c>
      <c r="D115" s="157">
        <v>6135441</v>
      </c>
      <c r="E115" s="157">
        <f t="shared" si="4"/>
        <v>-332417</v>
      </c>
      <c r="F115" s="161">
        <f t="shared" si="5"/>
        <v>-5.1395222344089803E-2</v>
      </c>
    </row>
    <row r="116" spans="1:6" ht="15" customHeight="1" x14ac:dyDescent="0.2">
      <c r="A116" s="147">
        <v>14</v>
      </c>
      <c r="B116" s="169" t="s">
        <v>246</v>
      </c>
      <c r="C116" s="157">
        <v>2708372</v>
      </c>
      <c r="D116" s="157">
        <v>3800890</v>
      </c>
      <c r="E116" s="157">
        <f t="shared" si="4"/>
        <v>1092518</v>
      </c>
      <c r="F116" s="161">
        <f t="shared" si="5"/>
        <v>0.40338550243467292</v>
      </c>
    </row>
    <row r="117" spans="1:6" ht="15" customHeight="1" x14ac:dyDescent="0.2">
      <c r="A117" s="147">
        <v>15</v>
      </c>
      <c r="B117" s="169" t="s">
        <v>203</v>
      </c>
      <c r="C117" s="157">
        <v>502799</v>
      </c>
      <c r="D117" s="157">
        <v>480157</v>
      </c>
      <c r="E117" s="157">
        <f t="shared" si="4"/>
        <v>-22642</v>
      </c>
      <c r="F117" s="161">
        <f t="shared" si="5"/>
        <v>-4.5031911360205568E-2</v>
      </c>
    </row>
    <row r="118" spans="1:6" ht="15" customHeight="1" x14ac:dyDescent="0.2">
      <c r="A118" s="147">
        <v>16</v>
      </c>
      <c r="B118" s="169" t="s">
        <v>247</v>
      </c>
      <c r="C118" s="157">
        <v>690423</v>
      </c>
      <c r="D118" s="157">
        <v>688316</v>
      </c>
      <c r="E118" s="157">
        <f t="shared" si="4"/>
        <v>-2107</v>
      </c>
      <c r="F118" s="161">
        <f t="shared" si="5"/>
        <v>-3.0517523315416782E-3</v>
      </c>
    </row>
    <row r="119" spans="1:6" ht="15" customHeight="1" x14ac:dyDescent="0.2">
      <c r="A119" s="147">
        <v>17</v>
      </c>
      <c r="B119" s="169" t="s">
        <v>248</v>
      </c>
      <c r="C119" s="157">
        <v>8965278</v>
      </c>
      <c r="D119" s="157">
        <v>10356291</v>
      </c>
      <c r="E119" s="157">
        <f t="shared" si="4"/>
        <v>1391013</v>
      </c>
      <c r="F119" s="161">
        <f t="shared" si="5"/>
        <v>0.15515559026725106</v>
      </c>
    </row>
    <row r="120" spans="1:6" ht="15" customHeight="1" x14ac:dyDescent="0.2">
      <c r="A120" s="147">
        <v>18</v>
      </c>
      <c r="B120" s="169" t="s">
        <v>249</v>
      </c>
      <c r="C120" s="157">
        <v>1771706</v>
      </c>
      <c r="D120" s="157">
        <v>5180532</v>
      </c>
      <c r="E120" s="157">
        <f t="shared" si="4"/>
        <v>3408826</v>
      </c>
      <c r="F120" s="161">
        <f t="shared" si="5"/>
        <v>1.9240359292117315</v>
      </c>
    </row>
    <row r="121" spans="1:6" ht="15.75" customHeight="1" x14ac:dyDescent="0.25">
      <c r="A121" s="147"/>
      <c r="B121" s="165" t="s">
        <v>250</v>
      </c>
      <c r="C121" s="158">
        <f>SUM(C103:C120)</f>
        <v>71795783</v>
      </c>
      <c r="D121" s="158">
        <f>SUM(D103:D120)</f>
        <v>90352895</v>
      </c>
      <c r="E121" s="158">
        <f t="shared" si="4"/>
        <v>18557112</v>
      </c>
      <c r="F121" s="159">
        <f t="shared" si="5"/>
        <v>0.25847077954425263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4364272</v>
      </c>
      <c r="D124" s="157">
        <v>4469460</v>
      </c>
      <c r="E124" s="157">
        <f t="shared" ref="E124:E130" si="6">D124-C124</f>
        <v>105188</v>
      </c>
      <c r="F124" s="161">
        <f t="shared" ref="F124:F130" si="7">IF(C124=0,0,E124/C124)</f>
        <v>2.4102072464777632E-2</v>
      </c>
    </row>
    <row r="125" spans="1:6" ht="15" customHeight="1" x14ac:dyDescent="0.2">
      <c r="A125" s="147">
        <v>2</v>
      </c>
      <c r="B125" s="169" t="s">
        <v>253</v>
      </c>
      <c r="C125" s="157">
        <v>11709928</v>
      </c>
      <c r="D125" s="157">
        <v>10404110</v>
      </c>
      <c r="E125" s="157">
        <f t="shared" si="6"/>
        <v>-1305818</v>
      </c>
      <c r="F125" s="161">
        <f t="shared" si="7"/>
        <v>-0.11151375140820678</v>
      </c>
    </row>
    <row r="126" spans="1:6" ht="15" customHeight="1" x14ac:dyDescent="0.2">
      <c r="A126" s="147">
        <v>3</v>
      </c>
      <c r="B126" s="169" t="s">
        <v>254</v>
      </c>
      <c r="C126" s="157">
        <v>1587136</v>
      </c>
      <c r="D126" s="157">
        <v>1709557</v>
      </c>
      <c r="E126" s="157">
        <f t="shared" si="6"/>
        <v>122421</v>
      </c>
      <c r="F126" s="161">
        <f t="shared" si="7"/>
        <v>7.7133276543409013E-2</v>
      </c>
    </row>
    <row r="127" spans="1:6" ht="15" customHeight="1" x14ac:dyDescent="0.2">
      <c r="A127" s="147">
        <v>4</v>
      </c>
      <c r="B127" s="169" t="s">
        <v>255</v>
      </c>
      <c r="C127" s="157">
        <v>2206022</v>
      </c>
      <c r="D127" s="157">
        <v>2378641</v>
      </c>
      <c r="E127" s="157">
        <f t="shared" si="6"/>
        <v>172619</v>
      </c>
      <c r="F127" s="161">
        <f t="shared" si="7"/>
        <v>7.8248992983750848E-2</v>
      </c>
    </row>
    <row r="128" spans="1:6" ht="15" customHeight="1" x14ac:dyDescent="0.2">
      <c r="A128" s="147">
        <v>5</v>
      </c>
      <c r="B128" s="169" t="s">
        <v>256</v>
      </c>
      <c r="C128" s="157">
        <v>2169316</v>
      </c>
      <c r="D128" s="157">
        <v>1916675</v>
      </c>
      <c r="E128" s="157">
        <f t="shared" si="6"/>
        <v>-252641</v>
      </c>
      <c r="F128" s="161">
        <f t="shared" si="7"/>
        <v>-0.11646113337107181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1459600</v>
      </c>
      <c r="E129" s="157">
        <f t="shared" si="6"/>
        <v>1459600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22036674</v>
      </c>
      <c r="D130" s="158">
        <f>SUM(D124:D129)</f>
        <v>22338043</v>
      </c>
      <c r="E130" s="158">
        <f t="shared" si="6"/>
        <v>301369</v>
      </c>
      <c r="F130" s="159">
        <f t="shared" si="7"/>
        <v>1.3675793361557192E-2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10277316</v>
      </c>
      <c r="D133" s="157">
        <v>11150711</v>
      </c>
      <c r="E133" s="157">
        <f t="shared" ref="E133:E167" si="8">D133-C133</f>
        <v>873395</v>
      </c>
      <c r="F133" s="161">
        <f t="shared" ref="F133:F167" si="9">IF(C133=0,0,E133/C133)</f>
        <v>8.4982791226814472E-2</v>
      </c>
    </row>
    <row r="134" spans="1:6" ht="15" customHeight="1" x14ac:dyDescent="0.2">
      <c r="A134" s="147">
        <v>2</v>
      </c>
      <c r="B134" s="169" t="s">
        <v>261</v>
      </c>
      <c r="C134" s="157">
        <v>3306835</v>
      </c>
      <c r="D134" s="157">
        <v>2796168</v>
      </c>
      <c r="E134" s="157">
        <f t="shared" si="8"/>
        <v>-510667</v>
      </c>
      <c r="F134" s="161">
        <f t="shared" si="9"/>
        <v>-0.15442772318546283</v>
      </c>
    </row>
    <row r="135" spans="1:6" ht="15" customHeight="1" x14ac:dyDescent="0.2">
      <c r="A135" s="147">
        <v>3</v>
      </c>
      <c r="B135" s="169" t="s">
        <v>262</v>
      </c>
      <c r="C135" s="157">
        <v>875479</v>
      </c>
      <c r="D135" s="157">
        <v>820664</v>
      </c>
      <c r="E135" s="157">
        <f t="shared" si="8"/>
        <v>-54815</v>
      </c>
      <c r="F135" s="161">
        <f t="shared" si="9"/>
        <v>-6.2611438995110111E-2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3290204</v>
      </c>
      <c r="D137" s="157">
        <v>2495150</v>
      </c>
      <c r="E137" s="157">
        <f t="shared" si="8"/>
        <v>-795054</v>
      </c>
      <c r="F137" s="161">
        <f t="shared" si="9"/>
        <v>-0.24164276743934418</v>
      </c>
    </row>
    <row r="138" spans="1:6" ht="15" customHeight="1" x14ac:dyDescent="0.2">
      <c r="A138" s="147">
        <v>6</v>
      </c>
      <c r="B138" s="169" t="s">
        <v>265</v>
      </c>
      <c r="C138" s="157">
        <v>732544</v>
      </c>
      <c r="D138" s="157">
        <v>707610</v>
      </c>
      <c r="E138" s="157">
        <f t="shared" si="8"/>
        <v>-24934</v>
      </c>
      <c r="F138" s="161">
        <f t="shared" si="9"/>
        <v>-3.4037545867551984E-2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0</v>
      </c>
      <c r="D140" s="157">
        <v>0</v>
      </c>
      <c r="E140" s="157">
        <f t="shared" si="8"/>
        <v>0</v>
      </c>
      <c r="F140" s="161">
        <f t="shared" si="9"/>
        <v>0</v>
      </c>
    </row>
    <row r="141" spans="1:6" ht="15" customHeight="1" x14ac:dyDescent="0.2">
      <c r="A141" s="147">
        <v>9</v>
      </c>
      <c r="B141" s="169" t="s">
        <v>268</v>
      </c>
      <c r="C141" s="157">
        <v>740329</v>
      </c>
      <c r="D141" s="157">
        <v>736703</v>
      </c>
      <c r="E141" s="157">
        <f t="shared" si="8"/>
        <v>-3626</v>
      </c>
      <c r="F141" s="161">
        <f t="shared" si="9"/>
        <v>-4.8978224546113959E-3</v>
      </c>
    </row>
    <row r="142" spans="1:6" ht="15" customHeight="1" x14ac:dyDescent="0.2">
      <c r="A142" s="147">
        <v>10</v>
      </c>
      <c r="B142" s="169" t="s">
        <v>269</v>
      </c>
      <c r="C142" s="157">
        <v>5443189</v>
      </c>
      <c r="D142" s="157">
        <v>5153004</v>
      </c>
      <c r="E142" s="157">
        <f t="shared" si="8"/>
        <v>-290185</v>
      </c>
      <c r="F142" s="161">
        <f t="shared" si="9"/>
        <v>-5.3311578929190223E-2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587058</v>
      </c>
      <c r="D144" s="157">
        <v>506821</v>
      </c>
      <c r="E144" s="157">
        <f t="shared" si="8"/>
        <v>-80237</v>
      </c>
      <c r="F144" s="161">
        <f t="shared" si="9"/>
        <v>-0.13667644423549291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478511</v>
      </c>
      <c r="D146" s="157">
        <v>383396</v>
      </c>
      <c r="E146" s="157">
        <f t="shared" si="8"/>
        <v>-95115</v>
      </c>
      <c r="F146" s="161">
        <f t="shared" si="9"/>
        <v>-0.19877285997605071</v>
      </c>
    </row>
    <row r="147" spans="1:6" ht="15" customHeight="1" x14ac:dyDescent="0.2">
      <c r="A147" s="147">
        <v>15</v>
      </c>
      <c r="B147" s="169" t="s">
        <v>274</v>
      </c>
      <c r="C147" s="157">
        <v>1343449</v>
      </c>
      <c r="D147" s="157">
        <v>1038773</v>
      </c>
      <c r="E147" s="157">
        <f t="shared" si="8"/>
        <v>-304676</v>
      </c>
      <c r="F147" s="161">
        <f t="shared" si="9"/>
        <v>-0.22678642806686372</v>
      </c>
    </row>
    <row r="148" spans="1:6" ht="15" customHeight="1" x14ac:dyDescent="0.2">
      <c r="A148" s="147">
        <v>16</v>
      </c>
      <c r="B148" s="169" t="s">
        <v>275</v>
      </c>
      <c r="C148" s="157">
        <v>1313075</v>
      </c>
      <c r="D148" s="157">
        <v>1073967</v>
      </c>
      <c r="E148" s="157">
        <f t="shared" si="8"/>
        <v>-239108</v>
      </c>
      <c r="F148" s="161">
        <f t="shared" si="9"/>
        <v>-0.18209774765340897</v>
      </c>
    </row>
    <row r="149" spans="1:6" ht="15" customHeight="1" x14ac:dyDescent="0.2">
      <c r="A149" s="147">
        <v>17</v>
      </c>
      <c r="B149" s="169" t="s">
        <v>276</v>
      </c>
      <c r="C149" s="157">
        <v>1361301</v>
      </c>
      <c r="D149" s="157">
        <v>1277849</v>
      </c>
      <c r="E149" s="157">
        <f t="shared" si="8"/>
        <v>-83452</v>
      </c>
      <c r="F149" s="161">
        <f t="shared" si="9"/>
        <v>-6.1303121058458046E-2</v>
      </c>
    </row>
    <row r="150" spans="1:6" ht="15" customHeight="1" x14ac:dyDescent="0.2">
      <c r="A150" s="147">
        <v>18</v>
      </c>
      <c r="B150" s="169" t="s">
        <v>277</v>
      </c>
      <c r="C150" s="157">
        <v>3435678</v>
      </c>
      <c r="D150" s="157">
        <v>3116107</v>
      </c>
      <c r="E150" s="157">
        <f t="shared" si="8"/>
        <v>-319571</v>
      </c>
      <c r="F150" s="161">
        <f t="shared" si="9"/>
        <v>-9.3015410640927346E-2</v>
      </c>
    </row>
    <row r="151" spans="1:6" ht="15" customHeight="1" x14ac:dyDescent="0.2">
      <c r="A151" s="147">
        <v>19</v>
      </c>
      <c r="B151" s="169" t="s">
        <v>278</v>
      </c>
      <c r="C151" s="157">
        <v>412618</v>
      </c>
      <c r="D151" s="157">
        <v>378310</v>
      </c>
      <c r="E151" s="157">
        <f t="shared" si="8"/>
        <v>-34308</v>
      </c>
      <c r="F151" s="161">
        <f t="shared" si="9"/>
        <v>-8.3147123974232823E-2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1697581</v>
      </c>
      <c r="D154" s="157">
        <v>1698012</v>
      </c>
      <c r="E154" s="157">
        <f t="shared" si="8"/>
        <v>431</v>
      </c>
      <c r="F154" s="161">
        <f t="shared" si="9"/>
        <v>2.5389068327225621E-4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7969205</v>
      </c>
      <c r="D156" s="157">
        <v>7778170</v>
      </c>
      <c r="E156" s="157">
        <f t="shared" si="8"/>
        <v>-191035</v>
      </c>
      <c r="F156" s="161">
        <f t="shared" si="9"/>
        <v>-2.3971650873581492E-2</v>
      </c>
    </row>
    <row r="157" spans="1:6" ht="15" customHeight="1" x14ac:dyDescent="0.2">
      <c r="A157" s="147">
        <v>25</v>
      </c>
      <c r="B157" s="169" t="s">
        <v>284</v>
      </c>
      <c r="C157" s="157">
        <v>696901</v>
      </c>
      <c r="D157" s="157">
        <v>724132</v>
      </c>
      <c r="E157" s="157">
        <f t="shared" si="8"/>
        <v>27231</v>
      </c>
      <c r="F157" s="161">
        <f t="shared" si="9"/>
        <v>3.9074416595757507E-2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265549</v>
      </c>
      <c r="D160" s="157">
        <v>224329</v>
      </c>
      <c r="E160" s="157">
        <f t="shared" si="8"/>
        <v>-41220</v>
      </c>
      <c r="F160" s="161">
        <f t="shared" si="9"/>
        <v>-0.15522558925094804</v>
      </c>
    </row>
    <row r="161" spans="1:6" ht="15" customHeight="1" x14ac:dyDescent="0.2">
      <c r="A161" s="147">
        <v>29</v>
      </c>
      <c r="B161" s="169" t="s">
        <v>288</v>
      </c>
      <c r="C161" s="157">
        <v>285172</v>
      </c>
      <c r="D161" s="157">
        <v>428506</v>
      </c>
      <c r="E161" s="157">
        <f t="shared" si="8"/>
        <v>143334</v>
      </c>
      <c r="F161" s="161">
        <f t="shared" si="9"/>
        <v>0.50262297841302794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628217</v>
      </c>
      <c r="D163" s="157">
        <v>629439</v>
      </c>
      <c r="E163" s="157">
        <f t="shared" si="8"/>
        <v>1222</v>
      </c>
      <c r="F163" s="161">
        <f t="shared" si="9"/>
        <v>1.9451877297175977E-3</v>
      </c>
    </row>
    <row r="164" spans="1:6" ht="15" customHeight="1" x14ac:dyDescent="0.2">
      <c r="A164" s="147">
        <v>32</v>
      </c>
      <c r="B164" s="169" t="s">
        <v>291</v>
      </c>
      <c r="C164" s="157">
        <v>3012586</v>
      </c>
      <c r="D164" s="157">
        <v>2364101</v>
      </c>
      <c r="E164" s="157">
        <f t="shared" si="8"/>
        <v>-648485</v>
      </c>
      <c r="F164" s="161">
        <f t="shared" si="9"/>
        <v>-0.21525858514910445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3896408</v>
      </c>
      <c r="D166" s="157">
        <v>4438377</v>
      </c>
      <c r="E166" s="157">
        <f t="shared" si="8"/>
        <v>541969</v>
      </c>
      <c r="F166" s="161">
        <f t="shared" si="9"/>
        <v>0.13909451987574198</v>
      </c>
    </row>
    <row r="167" spans="1:6" ht="15.75" customHeight="1" x14ac:dyDescent="0.25">
      <c r="A167" s="147"/>
      <c r="B167" s="165" t="s">
        <v>294</v>
      </c>
      <c r="C167" s="158">
        <f>SUM(C133:C166)</f>
        <v>52049205</v>
      </c>
      <c r="D167" s="158">
        <f>SUM(D133:D166)</f>
        <v>49920299</v>
      </c>
      <c r="E167" s="158">
        <f t="shared" si="8"/>
        <v>-2128906</v>
      </c>
      <c r="F167" s="159">
        <f t="shared" si="9"/>
        <v>-4.0901796674896379E-2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0</v>
      </c>
      <c r="D170" s="157">
        <v>0</v>
      </c>
      <c r="E170" s="157">
        <f t="shared" ref="E170:E183" si="10">D170-C170</f>
        <v>0</v>
      </c>
      <c r="F170" s="161">
        <f t="shared" ref="F170:F183" si="11">IF(C170=0,0,E170/C170)</f>
        <v>0</v>
      </c>
    </row>
    <row r="171" spans="1:6" ht="15" customHeight="1" x14ac:dyDescent="0.2">
      <c r="A171" s="147">
        <v>2</v>
      </c>
      <c r="B171" s="169" t="s">
        <v>297</v>
      </c>
      <c r="C171" s="157">
        <v>5803919</v>
      </c>
      <c r="D171" s="157">
        <v>5588078</v>
      </c>
      <c r="E171" s="157">
        <f t="shared" si="10"/>
        <v>-215841</v>
      </c>
      <c r="F171" s="161">
        <f t="shared" si="11"/>
        <v>-3.7188837404519254E-2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15199975</v>
      </c>
      <c r="D174" s="157">
        <v>13819643</v>
      </c>
      <c r="E174" s="157">
        <f t="shared" si="10"/>
        <v>-1380332</v>
      </c>
      <c r="F174" s="161">
        <f t="shared" si="11"/>
        <v>-9.0811465150436102E-2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28622619</v>
      </c>
      <c r="D177" s="157">
        <v>26232760</v>
      </c>
      <c r="E177" s="157">
        <f t="shared" si="10"/>
        <v>-2389859</v>
      </c>
      <c r="F177" s="161">
        <f t="shared" si="11"/>
        <v>-8.3495469090372199E-2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544931</v>
      </c>
      <c r="D179" s="157">
        <v>2397590</v>
      </c>
      <c r="E179" s="157">
        <f t="shared" si="10"/>
        <v>1852659</v>
      </c>
      <c r="F179" s="161">
        <f t="shared" si="11"/>
        <v>3.3998047459219607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51949</v>
      </c>
      <c r="E182" s="157">
        <f t="shared" si="10"/>
        <v>51949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50171444</v>
      </c>
      <c r="D183" s="158">
        <f>SUM(D170:D182)</f>
        <v>48090020</v>
      </c>
      <c r="E183" s="158">
        <f t="shared" si="10"/>
        <v>-2081424</v>
      </c>
      <c r="F183" s="159">
        <f t="shared" si="11"/>
        <v>-4.1486228700134679E-2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71740735</v>
      </c>
      <c r="D186" s="157">
        <v>69398223</v>
      </c>
      <c r="E186" s="157">
        <f>D186-C186</f>
        <v>-2342512</v>
      </c>
      <c r="F186" s="161">
        <f>IF(C186=0,0,E186/C186)</f>
        <v>-3.2652467248906775E-2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267793841</v>
      </c>
      <c r="D188" s="158">
        <f>+D186+D183+D167+D130+D121</f>
        <v>280099480</v>
      </c>
      <c r="E188" s="158">
        <f>D188-C188</f>
        <v>12305639</v>
      </c>
      <c r="F188" s="159">
        <f>IF(C188=0,0,E188/C188)</f>
        <v>4.5951911941096511E-2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FILING&amp;RCT CHILDREN`S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231197635</v>
      </c>
      <c r="D11" s="183">
        <v>239314874</v>
      </c>
      <c r="E11" s="76">
        <v>252957977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19775990</v>
      </c>
      <c r="D12" s="185">
        <v>18007225</v>
      </c>
      <c r="E12" s="185">
        <v>16353492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250973625</v>
      </c>
      <c r="D13" s="76">
        <f>+D11+D12</f>
        <v>257322099</v>
      </c>
      <c r="E13" s="76">
        <f>+E11+E12</f>
        <v>269311469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251662045</v>
      </c>
      <c r="D14" s="185">
        <v>267793841</v>
      </c>
      <c r="E14" s="185">
        <v>280099480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-688420</v>
      </c>
      <c r="D15" s="76">
        <f>+D13-D14</f>
        <v>-10471742</v>
      </c>
      <c r="E15" s="76">
        <f>+E13-E14</f>
        <v>-10788011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19597315</v>
      </c>
      <c r="D16" s="185">
        <v>10804821</v>
      </c>
      <c r="E16" s="185">
        <v>9192566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18908895</v>
      </c>
      <c r="D17" s="76">
        <f>D15+D16</f>
        <v>333079</v>
      </c>
      <c r="E17" s="76">
        <f>E15+E16</f>
        <v>-1595445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-2.5443234960857214E-3</v>
      </c>
      <c r="D20" s="189">
        <f>IF(+D27=0,0,+D24/+D27)</f>
        <v>-3.9055168350869057E-2</v>
      </c>
      <c r="E20" s="189">
        <f>IF(+E27=0,0,+E24/+E27)</f>
        <v>-3.8735564459595709E-2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7.2429489286617396E-2</v>
      </c>
      <c r="D21" s="189">
        <f>IF(D27=0,0,+D26/D27)</f>
        <v>4.0297412136013795E-2</v>
      </c>
      <c r="E21" s="189">
        <f>IF(E27=0,0,+E26/E27)</f>
        <v>3.3006940096936117E-2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6.9885165790531681E-2</v>
      </c>
      <c r="D22" s="189">
        <f>IF(D27=0,0,+D28/D27)</f>
        <v>1.2422437851447366E-3</v>
      </c>
      <c r="E22" s="189">
        <f>IF(E27=0,0,+E28/E27)</f>
        <v>-5.7286243626595932E-3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-688420</v>
      </c>
      <c r="D24" s="76">
        <f>+D15</f>
        <v>-10471742</v>
      </c>
      <c r="E24" s="76">
        <f>+E15</f>
        <v>-10788011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250973625</v>
      </c>
      <c r="D25" s="76">
        <f>+D13</f>
        <v>257322099</v>
      </c>
      <c r="E25" s="76">
        <f>+E13</f>
        <v>269311469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19597315</v>
      </c>
      <c r="D26" s="76">
        <f>+D16</f>
        <v>10804821</v>
      </c>
      <c r="E26" s="76">
        <f>+E16</f>
        <v>9192566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270570940</v>
      </c>
      <c r="D27" s="76">
        <f>+D25+D26</f>
        <v>268126920</v>
      </c>
      <c r="E27" s="76">
        <f>+E25+E26</f>
        <v>278504035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18908895</v>
      </c>
      <c r="D28" s="76">
        <f>+D17</f>
        <v>333079</v>
      </c>
      <c r="E28" s="76">
        <f>+E17</f>
        <v>-1595445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96684590</v>
      </c>
      <c r="D31" s="76">
        <v>101387989</v>
      </c>
      <c r="E31" s="76">
        <v>74193342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209337925</v>
      </c>
      <c r="D32" s="76">
        <v>219132129</v>
      </c>
      <c r="E32" s="76">
        <v>200601965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22327508</v>
      </c>
      <c r="D33" s="76">
        <f>+D32-C32</f>
        <v>9794204</v>
      </c>
      <c r="E33" s="76">
        <f>+E32-D32</f>
        <v>-18530164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1.1193</v>
      </c>
      <c r="D34" s="193">
        <f>IF(C32=0,0,+D33/C32)</f>
        <v>4.6786572476057553E-2</v>
      </c>
      <c r="E34" s="193">
        <f>IF(D32=0,0,+E33/D32)</f>
        <v>-8.4561602557149437E-2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0.46916185292638896</v>
      </c>
      <c r="D38" s="195">
        <f>IF((D40+D41)=0,0,+D39/(D40+D41))</f>
        <v>0.44380825548213915</v>
      </c>
      <c r="E38" s="195">
        <f>IF((E40+E41)=0,0,+E39/(E40+E41))</f>
        <v>0.44558692798435517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251662045</v>
      </c>
      <c r="D39" s="76">
        <v>267793841</v>
      </c>
      <c r="E39" s="196">
        <v>280099480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506581501</v>
      </c>
      <c r="D40" s="76">
        <v>574813439</v>
      </c>
      <c r="E40" s="196">
        <v>596675246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29826230</v>
      </c>
      <c r="D41" s="76">
        <v>28586425</v>
      </c>
      <c r="E41" s="196">
        <v>31932692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1.2086500332939123</v>
      </c>
      <c r="D43" s="197">
        <f>IF(D38=0,0,IF((D46-D47)=0,0,((+D44-D45)/(D46-D47)/D38)))</f>
        <v>1.2597059656344642</v>
      </c>
      <c r="E43" s="197">
        <f>IF(E38=0,0,IF((E46-E47)=0,0,((+E44-E45)/(E46-E47)/E38)))</f>
        <v>1.2869945856986076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131440212</v>
      </c>
      <c r="D44" s="76">
        <v>150223027</v>
      </c>
      <c r="E44" s="196">
        <v>155642304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1403315</v>
      </c>
      <c r="D45" s="76">
        <v>826408</v>
      </c>
      <c r="E45" s="196">
        <v>1457465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233914960</v>
      </c>
      <c r="D46" s="76">
        <v>271599289</v>
      </c>
      <c r="E46" s="196">
        <v>272351705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4594219</v>
      </c>
      <c r="D47" s="76">
        <v>4374830</v>
      </c>
      <c r="E47" s="76">
        <v>3487795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12.659093212977266</v>
      </c>
      <c r="D49" s="198">
        <f>IF(D38=0,0,IF(D51=0,0,(D50/D51)/D38))</f>
        <v>6.0250785482837559</v>
      </c>
      <c r="E49" s="198">
        <f>IF(E38=0,0,IF(E51=0,0,(E50/E51)/E38))</f>
        <v>8.7918415197366659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2951503</v>
      </c>
      <c r="D50" s="199">
        <v>2791378</v>
      </c>
      <c r="E50" s="199">
        <v>2778551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496956</v>
      </c>
      <c r="D51" s="199">
        <v>1043904</v>
      </c>
      <c r="E51" s="199">
        <v>709261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0.67299718552429844</v>
      </c>
      <c r="D53" s="198">
        <f>IF(D38=0,0,IF(D55=0,0,(D54/D55)/D38))</f>
        <v>0.58178162307099135</v>
      </c>
      <c r="E53" s="198">
        <f>IF(E38=0,0,IF(E55=0,0,(E54/E55)/E38))</f>
        <v>0.56769388709446766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84346091</v>
      </c>
      <c r="D54" s="199">
        <v>76613744</v>
      </c>
      <c r="E54" s="199">
        <v>81121874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267133909</v>
      </c>
      <c r="D55" s="199">
        <v>296723068</v>
      </c>
      <c r="E55" s="199">
        <v>320694355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2467230.2288167058</v>
      </c>
      <c r="D57" s="88">
        <f>+D60*D38</f>
        <v>2652568.7146545909</v>
      </c>
      <c r="E57" s="88">
        <f>+E60*E38</f>
        <v>2104091.3282663003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710025</v>
      </c>
      <c r="D58" s="199">
        <v>1431441</v>
      </c>
      <c r="E58" s="199">
        <v>1302183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4548779</v>
      </c>
      <c r="D59" s="199">
        <v>4545394</v>
      </c>
      <c r="E59" s="199">
        <v>3419884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5258804</v>
      </c>
      <c r="D60" s="76">
        <v>5976835</v>
      </c>
      <c r="E60" s="201">
        <v>4722067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9.8037438614023246E-3</v>
      </c>
      <c r="D62" s="202">
        <f>IF(D63=0,0,+D57/D63)</f>
        <v>9.9052640820615091E-3</v>
      </c>
      <c r="E62" s="202">
        <f>IF(E63=0,0,+E57/E63)</f>
        <v>7.5119430006307056E-3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251662045</v>
      </c>
      <c r="D63" s="199">
        <v>267793841</v>
      </c>
      <c r="E63" s="199">
        <v>280099480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1.3253415354854907</v>
      </c>
      <c r="D67" s="203">
        <f>IF(D69=0,0,D68/D69)</f>
        <v>0.9408811421665495</v>
      </c>
      <c r="E67" s="203">
        <f>IF(E69=0,0,E68/E69)</f>
        <v>0.5256494319502133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60993234</v>
      </c>
      <c r="D68" s="204">
        <v>58654314</v>
      </c>
      <c r="E68" s="204">
        <v>50491652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46020767</v>
      </c>
      <c r="D69" s="204">
        <v>62339770</v>
      </c>
      <c r="E69" s="204">
        <v>96055753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0.73034715988209076</v>
      </c>
      <c r="D71" s="203">
        <f>IF((D77/365)=0,0,+D74/(D77/365))</f>
        <v>2.540924237706943</v>
      </c>
      <c r="E71" s="203">
        <f>IF((E77/365)=0,0,+E74/(E77/365))</f>
        <v>5.2962976854982333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482737</v>
      </c>
      <c r="D72" s="183">
        <v>1782072</v>
      </c>
      <c r="E72" s="183">
        <v>3850387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482737</v>
      </c>
      <c r="D74" s="204">
        <f>+D72+D73</f>
        <v>1782072</v>
      </c>
      <c r="E74" s="204">
        <f>+E72+E73</f>
        <v>3850387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251662045</v>
      </c>
      <c r="D75" s="204">
        <f>+D14</f>
        <v>267793841</v>
      </c>
      <c r="E75" s="204">
        <f>+E14</f>
        <v>280099480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10408276</v>
      </c>
      <c r="D76" s="204">
        <v>11801840</v>
      </c>
      <c r="E76" s="204">
        <v>14745956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241253769</v>
      </c>
      <c r="D77" s="204">
        <f>+D75-D76</f>
        <v>255992001</v>
      </c>
      <c r="E77" s="204">
        <f>+E75-E76</f>
        <v>265353524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49.489411710461489</v>
      </c>
      <c r="D79" s="203">
        <f>IF((D84/365)=0,0,+D83/(D84/365))</f>
        <v>26.895524513031312</v>
      </c>
      <c r="E79" s="203">
        <f>IF((E84/365)=0,0,+E83/(E84/365))</f>
        <v>4.5462992258196309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29412780</v>
      </c>
      <c r="D80" s="212">
        <v>27453944</v>
      </c>
      <c r="E80" s="212">
        <v>30704847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4899895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2965182</v>
      </c>
      <c r="D82" s="212">
        <v>9819700</v>
      </c>
      <c r="E82" s="212">
        <v>27554100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31347493</v>
      </c>
      <c r="D83" s="212">
        <f>+D80+D81-D82</f>
        <v>17634244</v>
      </c>
      <c r="E83" s="212">
        <f>+E80+E81-E82</f>
        <v>3150747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231197635</v>
      </c>
      <c r="D84" s="204">
        <f>+D11</f>
        <v>239314874</v>
      </c>
      <c r="E84" s="204">
        <f>+E11</f>
        <v>252957977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69.626186669025671</v>
      </c>
      <c r="D86" s="203">
        <f>IF((D90/365)=0,0,+D87/(D90/365))</f>
        <v>88.885652524744316</v>
      </c>
      <c r="E86" s="203">
        <f>IF((E90/365)=0,0,+E87/(E90/365))</f>
        <v>132.12694264049043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46020767</v>
      </c>
      <c r="D87" s="76">
        <f>+D69</f>
        <v>62339770</v>
      </c>
      <c r="E87" s="76">
        <f>+E69</f>
        <v>96055753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251662045</v>
      </c>
      <c r="D88" s="76">
        <f t="shared" si="0"/>
        <v>267793841</v>
      </c>
      <c r="E88" s="76">
        <f t="shared" si="0"/>
        <v>280099480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10408276</v>
      </c>
      <c r="D89" s="201">
        <f t="shared" si="0"/>
        <v>11801840</v>
      </c>
      <c r="E89" s="201">
        <f t="shared" si="0"/>
        <v>14745956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241253769</v>
      </c>
      <c r="D90" s="76">
        <f>+D88-D89</f>
        <v>255992001</v>
      </c>
      <c r="E90" s="76">
        <f>+E88-E89</f>
        <v>265353524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58.112678641557835</v>
      </c>
      <c r="D94" s="214">
        <f>IF(D96=0,0,(D95/D96)*100)</f>
        <v>58.174859861089566</v>
      </c>
      <c r="E94" s="214">
        <f>IF(E96=0,0,(E95/E96)*100)</f>
        <v>50.984154445218245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209337925</v>
      </c>
      <c r="D95" s="76">
        <f>+D32</f>
        <v>219132129</v>
      </c>
      <c r="E95" s="76">
        <f>+E32</f>
        <v>200601965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360227630</v>
      </c>
      <c r="D96" s="76">
        <v>376678396</v>
      </c>
      <c r="E96" s="76">
        <v>393459433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28.752311991825319</v>
      </c>
      <c r="D98" s="214">
        <f>IF(D104=0,0,(D101/D104)*100)</f>
        <v>9.6670900431598028</v>
      </c>
      <c r="E98" s="214">
        <f>IF(E104=0,0,(E101/E104)*100)</f>
        <v>8.4549264170307872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18908895</v>
      </c>
      <c r="D99" s="76">
        <f>+D28</f>
        <v>333079</v>
      </c>
      <c r="E99" s="76">
        <f>+E28</f>
        <v>-1595445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10408276</v>
      </c>
      <c r="D100" s="201">
        <f>+D76</f>
        <v>11801840</v>
      </c>
      <c r="E100" s="201">
        <f>+E76</f>
        <v>14745956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29317171</v>
      </c>
      <c r="D101" s="76">
        <f>+D99+D100</f>
        <v>12134919</v>
      </c>
      <c r="E101" s="76">
        <f>+E99+E100</f>
        <v>13150511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46020767</v>
      </c>
      <c r="D102" s="204">
        <f>+D69</f>
        <v>62339770</v>
      </c>
      <c r="E102" s="204">
        <f>+E69</f>
        <v>96055753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55943802</v>
      </c>
      <c r="D103" s="216">
        <v>63188377</v>
      </c>
      <c r="E103" s="216">
        <v>59480917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101964569</v>
      </c>
      <c r="D104" s="204">
        <f>+D102+D103</f>
        <v>125528147</v>
      </c>
      <c r="E104" s="204">
        <f>+E102+E103</f>
        <v>155536670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21.088449111310258</v>
      </c>
      <c r="D106" s="214">
        <f>IF(D109=0,0,(D107/D109)*100)</f>
        <v>22.38178795273199</v>
      </c>
      <c r="E106" s="214">
        <f>IF(E109=0,0,(E107/E109)*100)</f>
        <v>22.869985345671463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55943802</v>
      </c>
      <c r="D107" s="204">
        <f>+D103</f>
        <v>63188377</v>
      </c>
      <c r="E107" s="204">
        <f>+E103</f>
        <v>59480917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209337925</v>
      </c>
      <c r="D108" s="204">
        <f>+D32</f>
        <v>219132129</v>
      </c>
      <c r="E108" s="204">
        <f>+E32</f>
        <v>200601965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265281727</v>
      </c>
      <c r="D109" s="204">
        <f>+D107+D108</f>
        <v>282320506</v>
      </c>
      <c r="E109" s="204">
        <f>+E107+E108</f>
        <v>260082882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5.5551774473450575</v>
      </c>
      <c r="D111" s="214">
        <f>IF((+D113+D115)=0,0,((+D112+D113+D114)/(+D113+D115)))</f>
        <v>2.3321863311775086</v>
      </c>
      <c r="E111" s="214">
        <f>IF((+E113+E115)=0,0,((+E112+E113+E114)/(+E113+E115)))</f>
        <v>1.7523866733763616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18908895</v>
      </c>
      <c r="D112" s="76">
        <f>+D17</f>
        <v>333079</v>
      </c>
      <c r="E112" s="76">
        <f>+E17</f>
        <v>-1595445</v>
      </c>
    </row>
    <row r="113" spans="1:8" ht="24" customHeight="1" x14ac:dyDescent="0.2">
      <c r="A113" s="85">
        <v>17</v>
      </c>
      <c r="B113" s="75" t="s">
        <v>88</v>
      </c>
      <c r="C113" s="218">
        <v>910866</v>
      </c>
      <c r="D113" s="76">
        <v>1294274</v>
      </c>
      <c r="E113" s="76">
        <v>1231379</v>
      </c>
    </row>
    <row r="114" spans="1:8" ht="24" customHeight="1" x14ac:dyDescent="0.2">
      <c r="A114" s="85">
        <v>18</v>
      </c>
      <c r="B114" s="75" t="s">
        <v>374</v>
      </c>
      <c r="C114" s="218">
        <v>10408276</v>
      </c>
      <c r="D114" s="76">
        <v>11801840</v>
      </c>
      <c r="E114" s="76">
        <v>14745956</v>
      </c>
    </row>
    <row r="115" spans="1:8" ht="24" customHeight="1" x14ac:dyDescent="0.2">
      <c r="A115" s="85">
        <v>19</v>
      </c>
      <c r="B115" s="75" t="s">
        <v>104</v>
      </c>
      <c r="C115" s="218">
        <v>4530551</v>
      </c>
      <c r="D115" s="76">
        <v>4463925</v>
      </c>
      <c r="E115" s="76">
        <v>6975651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8.991193834598544</v>
      </c>
      <c r="D119" s="214">
        <f>IF(+D121=0,0,(+D120)/(+D121))</f>
        <v>8.8284777627895306</v>
      </c>
      <c r="E119" s="214">
        <f>IF(+E121=0,0,(+E120)/(+E121))</f>
        <v>8.0233384664921008</v>
      </c>
    </row>
    <row r="120" spans="1:8" ht="24" customHeight="1" x14ac:dyDescent="0.2">
      <c r="A120" s="85">
        <v>21</v>
      </c>
      <c r="B120" s="75" t="s">
        <v>378</v>
      </c>
      <c r="C120" s="218">
        <v>93582827</v>
      </c>
      <c r="D120" s="218">
        <v>104192282</v>
      </c>
      <c r="E120" s="218">
        <v>118311796</v>
      </c>
    </row>
    <row r="121" spans="1:8" ht="24" customHeight="1" x14ac:dyDescent="0.2">
      <c r="A121" s="85">
        <v>22</v>
      </c>
      <c r="B121" s="75" t="s">
        <v>374</v>
      </c>
      <c r="C121" s="218">
        <v>10408276</v>
      </c>
      <c r="D121" s="218">
        <v>11801840</v>
      </c>
      <c r="E121" s="218">
        <v>14745956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44449</v>
      </c>
      <c r="D124" s="218">
        <v>46107</v>
      </c>
      <c r="E124" s="218">
        <v>42524</v>
      </c>
    </row>
    <row r="125" spans="1:8" ht="24" customHeight="1" x14ac:dyDescent="0.2">
      <c r="A125" s="85">
        <v>2</v>
      </c>
      <c r="B125" s="75" t="s">
        <v>381</v>
      </c>
      <c r="C125" s="218">
        <v>6642</v>
      </c>
      <c r="D125" s="218">
        <v>6422</v>
      </c>
      <c r="E125" s="218">
        <v>5803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6.692110809996989</v>
      </c>
      <c r="D126" s="219">
        <f>IF(D125=0,0,D124/D125)</f>
        <v>7.1795390843973843</v>
      </c>
      <c r="E126" s="219">
        <f>IF(E125=0,0,E124/E125)</f>
        <v>7.3279338273306909</v>
      </c>
    </row>
    <row r="127" spans="1:8" ht="24" customHeight="1" x14ac:dyDescent="0.2">
      <c r="A127" s="85">
        <v>4</v>
      </c>
      <c r="B127" s="75" t="s">
        <v>383</v>
      </c>
      <c r="C127" s="218">
        <v>182</v>
      </c>
      <c r="D127" s="218">
        <v>182</v>
      </c>
      <c r="E127" s="218">
        <v>182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187</v>
      </c>
      <c r="E128" s="218">
        <v>187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187</v>
      </c>
      <c r="D129" s="218">
        <v>187</v>
      </c>
      <c r="E129" s="218">
        <v>187</v>
      </c>
    </row>
    <row r="130" spans="1:7" ht="24" customHeight="1" x14ac:dyDescent="0.2">
      <c r="A130" s="85">
        <v>7</v>
      </c>
      <c r="B130" s="75" t="s">
        <v>386</v>
      </c>
      <c r="C130" s="193">
        <v>0.66910000000000003</v>
      </c>
      <c r="D130" s="193">
        <v>0.69399999999999995</v>
      </c>
      <c r="E130" s="193">
        <v>0.6401</v>
      </c>
    </row>
    <row r="131" spans="1:7" ht="24" customHeight="1" x14ac:dyDescent="0.2">
      <c r="A131" s="85">
        <v>8</v>
      </c>
      <c r="B131" s="75" t="s">
        <v>387</v>
      </c>
      <c r="C131" s="193">
        <v>0.6512</v>
      </c>
      <c r="D131" s="193">
        <v>0.67549999999999999</v>
      </c>
      <c r="E131" s="193">
        <v>0.623</v>
      </c>
    </row>
    <row r="132" spans="1:7" ht="24" customHeight="1" x14ac:dyDescent="0.2">
      <c r="A132" s="85">
        <v>9</v>
      </c>
      <c r="B132" s="75" t="s">
        <v>388</v>
      </c>
      <c r="C132" s="219">
        <v>1331.9</v>
      </c>
      <c r="D132" s="219">
        <v>1429.7</v>
      </c>
      <c r="E132" s="219">
        <v>1454.4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0.45268281717219672</v>
      </c>
      <c r="D135" s="227">
        <f>IF(D149=0,0,D143/D149)</f>
        <v>0.46488902462838905</v>
      </c>
      <c r="E135" s="227">
        <f>IF(E149=0,0,E143/E149)</f>
        <v>0.45060342590448271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9.8099910679525578E-4</v>
      </c>
      <c r="D136" s="227">
        <f>IF(D149=0,0,D144/D149)</f>
        <v>1.8160744498529374E-3</v>
      </c>
      <c r="E136" s="227">
        <f>IF(E149=0,0,E144/E149)</f>
        <v>1.1886884947125828E-3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0.52732661668985814</v>
      </c>
      <c r="D137" s="227">
        <f>IF(D149=0,0,D145/D149)</f>
        <v>0.51620760383787756</v>
      </c>
      <c r="E137" s="227">
        <f>IF(E149=0,0,E145/E149)</f>
        <v>0.53746884448429089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9.0690619198113987E-3</v>
      </c>
      <c r="D139" s="227">
        <f>IF(D149=0,0,D147/D149)</f>
        <v>7.6108693763508196E-3</v>
      </c>
      <c r="E139" s="227">
        <f>IF(E149=0,0,E147/E149)</f>
        <v>5.8453824310318384E-3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9.9405051113384425E-3</v>
      </c>
      <c r="D140" s="227">
        <f>IF(D149=0,0,D148/D149)</f>
        <v>9.4764277075296433E-3</v>
      </c>
      <c r="E140" s="227">
        <f>IF(E149=0,0,E148/E149)</f>
        <v>4.8936586854819849E-3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229320741</v>
      </c>
      <c r="D143" s="229">
        <f>+D46-D147</f>
        <v>267224459</v>
      </c>
      <c r="E143" s="229">
        <f>+E46-E147</f>
        <v>268863910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496956</v>
      </c>
      <c r="D144" s="229">
        <f>+D51</f>
        <v>1043904</v>
      </c>
      <c r="E144" s="229">
        <f>+E51</f>
        <v>709261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267133909</v>
      </c>
      <c r="D145" s="229">
        <f>+D55</f>
        <v>296723068</v>
      </c>
      <c r="E145" s="229">
        <f>+E55</f>
        <v>320694355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4594219</v>
      </c>
      <c r="D147" s="229">
        <f>+D47</f>
        <v>4374830</v>
      </c>
      <c r="E147" s="229">
        <f>+E47</f>
        <v>3487795</v>
      </c>
    </row>
    <row r="148" spans="1:7" ht="20.100000000000001" customHeight="1" x14ac:dyDescent="0.2">
      <c r="A148" s="226">
        <v>13</v>
      </c>
      <c r="B148" s="224" t="s">
        <v>402</v>
      </c>
      <c r="C148" s="230">
        <v>5035676</v>
      </c>
      <c r="D148" s="229">
        <v>5447178</v>
      </c>
      <c r="E148" s="229">
        <v>2919925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506581501</v>
      </c>
      <c r="D149" s="229">
        <f>SUM(D143:D148)</f>
        <v>574813439</v>
      </c>
      <c r="E149" s="229">
        <f>SUM(E143:E148)</f>
        <v>596675246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0.58839223555114073</v>
      </c>
      <c r="D152" s="227">
        <f>IF(D166=0,0,D160/D166)</f>
        <v>0.64335790663032533</v>
      </c>
      <c r="E152" s="227">
        <f>IF(E166=0,0,E160/E166)</f>
        <v>0.6404404482015329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1.3354989918022255E-2</v>
      </c>
      <c r="D153" s="227">
        <f>IF(D166=0,0,D161/D166)</f>
        <v>1.2020721209855119E-2</v>
      </c>
      <c r="E153" s="227">
        <f>IF(E166=0,0,E161/E166)</f>
        <v>1.1541319233020163E-2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0.38165002540386633</v>
      </c>
      <c r="D154" s="227">
        <f>IF(D166=0,0,D162/D166)</f>
        <v>0.32992753309197476</v>
      </c>
      <c r="E154" s="227">
        <f>IF(E166=0,0,E162/E166)</f>
        <v>0.33695744458706656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6.3497335685613063E-3</v>
      </c>
      <c r="D156" s="227">
        <f>IF(D166=0,0,D164/D166)</f>
        <v>3.558822980475575E-3</v>
      </c>
      <c r="E156" s="227">
        <f>IF(E166=0,0,E164/E166)</f>
        <v>6.0538996174458312E-3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1.0253015558409434E-2</v>
      </c>
      <c r="D157" s="227">
        <f>IF(D166=0,0,D165/D166)</f>
        <v>1.1135016087369189E-2</v>
      </c>
      <c r="E157" s="227">
        <f>IF(E166=0,0,E165/E166)</f>
        <v>5.0068883609346278E-3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130036897</v>
      </c>
      <c r="D160" s="229">
        <f>+D44-D164</f>
        <v>149396619</v>
      </c>
      <c r="E160" s="229">
        <f>+E44-E164</f>
        <v>154184839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2951503</v>
      </c>
      <c r="D161" s="229">
        <f>+D50</f>
        <v>2791378</v>
      </c>
      <c r="E161" s="229">
        <f>+E50</f>
        <v>2778551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84346091</v>
      </c>
      <c r="D162" s="229">
        <f>+D54</f>
        <v>76613744</v>
      </c>
      <c r="E162" s="229">
        <f>+E54</f>
        <v>81121874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1403315</v>
      </c>
      <c r="D164" s="229">
        <f>+D45</f>
        <v>826408</v>
      </c>
      <c r="E164" s="229">
        <f>+E45</f>
        <v>1457465</v>
      </c>
    </row>
    <row r="165" spans="1:6" ht="20.100000000000001" customHeight="1" x14ac:dyDescent="0.2">
      <c r="A165" s="226">
        <v>13</v>
      </c>
      <c r="B165" s="224" t="s">
        <v>417</v>
      </c>
      <c r="C165" s="230">
        <v>2265955</v>
      </c>
      <c r="D165" s="229">
        <v>2585705</v>
      </c>
      <c r="E165" s="229">
        <v>1205399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221003761</v>
      </c>
      <c r="D166" s="229">
        <f>SUM(D160:D165)</f>
        <v>232213854</v>
      </c>
      <c r="E166" s="229">
        <f>SUM(E160:E165)</f>
        <v>240748128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3194</v>
      </c>
      <c r="D169" s="218">
        <v>2975</v>
      </c>
      <c r="E169" s="218">
        <v>2598</v>
      </c>
    </row>
    <row r="170" spans="1:6" ht="20.100000000000001" customHeight="1" x14ac:dyDescent="0.2">
      <c r="A170" s="226">
        <v>2</v>
      </c>
      <c r="B170" s="224" t="s">
        <v>420</v>
      </c>
      <c r="C170" s="218">
        <v>3</v>
      </c>
      <c r="D170" s="218">
        <v>20</v>
      </c>
      <c r="E170" s="218">
        <v>9</v>
      </c>
    </row>
    <row r="171" spans="1:6" ht="20.100000000000001" customHeight="1" x14ac:dyDescent="0.2">
      <c r="A171" s="226">
        <v>3</v>
      </c>
      <c r="B171" s="224" t="s">
        <v>421</v>
      </c>
      <c r="C171" s="218">
        <v>3392</v>
      </c>
      <c r="D171" s="218">
        <v>3357</v>
      </c>
      <c r="E171" s="218">
        <v>3153</v>
      </c>
    </row>
    <row r="172" spans="1:6" ht="20.100000000000001" customHeight="1" x14ac:dyDescent="0.2">
      <c r="A172" s="226">
        <v>4</v>
      </c>
      <c r="B172" s="224" t="s">
        <v>422</v>
      </c>
      <c r="C172" s="218">
        <v>3392</v>
      </c>
      <c r="D172" s="218">
        <v>3357</v>
      </c>
      <c r="E172" s="218">
        <v>3153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53</v>
      </c>
      <c r="D174" s="218">
        <v>70</v>
      </c>
      <c r="E174" s="218">
        <v>43</v>
      </c>
    </row>
    <row r="175" spans="1:6" ht="20.100000000000001" customHeight="1" x14ac:dyDescent="0.2">
      <c r="A175" s="226">
        <v>7</v>
      </c>
      <c r="B175" s="224" t="s">
        <v>425</v>
      </c>
      <c r="C175" s="218">
        <v>72</v>
      </c>
      <c r="D175" s="218">
        <v>47</v>
      </c>
      <c r="E175" s="218">
        <v>34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6642</v>
      </c>
      <c r="D176" s="218">
        <f>+D169+D170+D171+D174</f>
        <v>6422</v>
      </c>
      <c r="E176" s="218">
        <f>+E169+E170+E171+E174</f>
        <v>5803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1.5525</v>
      </c>
      <c r="D179" s="231">
        <v>1.6778</v>
      </c>
      <c r="E179" s="231">
        <v>1.8827</v>
      </c>
    </row>
    <row r="180" spans="1:6" ht="20.100000000000001" customHeight="1" x14ac:dyDescent="0.2">
      <c r="A180" s="226">
        <v>2</v>
      </c>
      <c r="B180" s="224" t="s">
        <v>420</v>
      </c>
      <c r="C180" s="231">
        <v>2.5541</v>
      </c>
      <c r="D180" s="231">
        <v>1.7544999999999999</v>
      </c>
      <c r="E180" s="231">
        <v>1.038</v>
      </c>
    </row>
    <row r="181" spans="1:6" ht="20.100000000000001" customHeight="1" x14ac:dyDescent="0.2">
      <c r="A181" s="226">
        <v>3</v>
      </c>
      <c r="B181" s="224" t="s">
        <v>421</v>
      </c>
      <c r="C181" s="231">
        <v>1.5658000000000001</v>
      </c>
      <c r="D181" s="231">
        <v>1.5775999999999999</v>
      </c>
      <c r="E181" s="231">
        <v>1.7053</v>
      </c>
    </row>
    <row r="182" spans="1:6" ht="20.100000000000001" customHeight="1" x14ac:dyDescent="0.2">
      <c r="A182" s="226">
        <v>4</v>
      </c>
      <c r="B182" s="224" t="s">
        <v>422</v>
      </c>
      <c r="C182" s="231">
        <v>1.5658000000000001</v>
      </c>
      <c r="D182" s="231">
        <v>1.5775999999999999</v>
      </c>
      <c r="E182" s="231">
        <v>1.7053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1.8080000000000001</v>
      </c>
      <c r="D184" s="231">
        <v>1.4213</v>
      </c>
      <c r="E184" s="231">
        <v>1.1034999999999999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0.94810000000000005</v>
      </c>
      <c r="D185" s="231">
        <v>1.2221</v>
      </c>
      <c r="E185" s="231">
        <v>1.0401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1.5617829999999999</v>
      </c>
      <c r="D186" s="231">
        <v>1.622865</v>
      </c>
      <c r="E186" s="231">
        <v>1.7792269999999999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3365</v>
      </c>
      <c r="D189" s="218">
        <v>3299</v>
      </c>
      <c r="E189" s="218">
        <v>2972</v>
      </c>
    </row>
    <row r="190" spans="1:6" ht="20.100000000000001" customHeight="1" x14ac:dyDescent="0.2">
      <c r="A190" s="226">
        <v>2</v>
      </c>
      <c r="B190" s="224" t="s">
        <v>433</v>
      </c>
      <c r="C190" s="218">
        <v>52613</v>
      </c>
      <c r="D190" s="218">
        <v>52341</v>
      </c>
      <c r="E190" s="218">
        <v>51438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55978</v>
      </c>
      <c r="D191" s="218">
        <f>+D190+D189</f>
        <v>55640</v>
      </c>
      <c r="E191" s="218">
        <f>+E190+E189</f>
        <v>54410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FILING&amp;RCT CHILDREN`S MEDICAL CENTER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0</v>
      </c>
      <c r="D40" s="258">
        <v>0</v>
      </c>
      <c r="E40" s="258">
        <f t="shared" ref="E40:E50" si="4">D40-C40</f>
        <v>0</v>
      </c>
      <c r="F40" s="259">
        <f t="shared" ref="F40:F50" si="5">IF(C40=0,0,E40/C40)</f>
        <v>0</v>
      </c>
    </row>
    <row r="41" spans="1:6" ht="20.25" customHeight="1" x14ac:dyDescent="0.3">
      <c r="A41" s="256">
        <v>2</v>
      </c>
      <c r="B41" s="257" t="s">
        <v>442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3</v>
      </c>
      <c r="B42" s="257" t="s">
        <v>443</v>
      </c>
      <c r="C42" s="258">
        <v>0</v>
      </c>
      <c r="D42" s="258">
        <v>0</v>
      </c>
      <c r="E42" s="258">
        <f t="shared" si="4"/>
        <v>0</v>
      </c>
      <c r="F42" s="259">
        <f t="shared" si="5"/>
        <v>0</v>
      </c>
    </row>
    <row r="43" spans="1:6" ht="20.25" customHeight="1" x14ac:dyDescent="0.3">
      <c r="A43" s="256">
        <v>4</v>
      </c>
      <c r="B43" s="257" t="s">
        <v>444</v>
      </c>
      <c r="C43" s="258">
        <v>0</v>
      </c>
      <c r="D43" s="258">
        <v>0</v>
      </c>
      <c r="E43" s="258">
        <f t="shared" si="4"/>
        <v>0</v>
      </c>
      <c r="F43" s="259">
        <f t="shared" si="5"/>
        <v>0</v>
      </c>
    </row>
    <row r="44" spans="1:6" ht="20.25" customHeight="1" x14ac:dyDescent="0.3">
      <c r="A44" s="256">
        <v>5</v>
      </c>
      <c r="B44" s="257" t="s">
        <v>381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6</v>
      </c>
      <c r="B45" s="257" t="s">
        <v>380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7</v>
      </c>
      <c r="B46" s="257" t="s">
        <v>445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ht="20.25" customHeight="1" x14ac:dyDescent="0.3">
      <c r="A47" s="256">
        <v>8</v>
      </c>
      <c r="B47" s="257" t="s">
        <v>446</v>
      </c>
      <c r="C47" s="260">
        <v>0</v>
      </c>
      <c r="D47" s="260">
        <v>0</v>
      </c>
      <c r="E47" s="260">
        <f t="shared" si="4"/>
        <v>0</v>
      </c>
      <c r="F47" s="259">
        <f t="shared" si="5"/>
        <v>0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0</v>
      </c>
      <c r="D49" s="263">
        <f>+D40+D42</f>
        <v>0</v>
      </c>
      <c r="E49" s="263">
        <f t="shared" si="4"/>
        <v>0</v>
      </c>
      <c r="F49" s="264">
        <f t="shared" si="5"/>
        <v>0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0</v>
      </c>
      <c r="D50" s="263">
        <f>+D41+D43</f>
        <v>0</v>
      </c>
      <c r="E50" s="263">
        <f t="shared" si="4"/>
        <v>0</v>
      </c>
      <c r="F50" s="264">
        <f t="shared" si="5"/>
        <v>0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0</v>
      </c>
      <c r="D118" s="258">
        <v>0</v>
      </c>
      <c r="E118" s="258">
        <f t="shared" ref="E118:E128" si="16">D118-C118</f>
        <v>0</v>
      </c>
      <c r="F118" s="259">
        <f t="shared" ref="F118:F128" si="17">IF(C118=0,0,E118/C118)</f>
        <v>0</v>
      </c>
    </row>
    <row r="119" spans="1:6" ht="20.25" customHeight="1" x14ac:dyDescent="0.3">
      <c r="A119" s="256">
        <v>2</v>
      </c>
      <c r="B119" s="257" t="s">
        <v>442</v>
      </c>
      <c r="C119" s="258">
        <v>0</v>
      </c>
      <c r="D119" s="258">
        <v>0</v>
      </c>
      <c r="E119" s="258">
        <f t="shared" si="16"/>
        <v>0</v>
      </c>
      <c r="F119" s="259">
        <f t="shared" si="17"/>
        <v>0</v>
      </c>
    </row>
    <row r="120" spans="1:6" ht="20.25" customHeight="1" x14ac:dyDescent="0.3">
      <c r="A120" s="256">
        <v>3</v>
      </c>
      <c r="B120" s="257" t="s">
        <v>443</v>
      </c>
      <c r="C120" s="258">
        <v>0</v>
      </c>
      <c r="D120" s="258">
        <v>0</v>
      </c>
      <c r="E120" s="258">
        <f t="shared" si="16"/>
        <v>0</v>
      </c>
      <c r="F120" s="259">
        <f t="shared" si="17"/>
        <v>0</v>
      </c>
    </row>
    <row r="121" spans="1:6" ht="20.25" customHeight="1" x14ac:dyDescent="0.3">
      <c r="A121" s="256">
        <v>4</v>
      </c>
      <c r="B121" s="257" t="s">
        <v>444</v>
      </c>
      <c r="C121" s="258">
        <v>0</v>
      </c>
      <c r="D121" s="258">
        <v>0</v>
      </c>
      <c r="E121" s="258">
        <f t="shared" si="16"/>
        <v>0</v>
      </c>
      <c r="F121" s="259">
        <f t="shared" si="17"/>
        <v>0</v>
      </c>
    </row>
    <row r="122" spans="1:6" ht="20.25" customHeight="1" x14ac:dyDescent="0.3">
      <c r="A122" s="256">
        <v>5</v>
      </c>
      <c r="B122" s="257" t="s">
        <v>381</v>
      </c>
      <c r="C122" s="260">
        <v>0</v>
      </c>
      <c r="D122" s="260">
        <v>0</v>
      </c>
      <c r="E122" s="260">
        <f t="shared" si="16"/>
        <v>0</v>
      </c>
      <c r="F122" s="259">
        <f t="shared" si="17"/>
        <v>0</v>
      </c>
    </row>
    <row r="123" spans="1:6" ht="20.25" customHeight="1" x14ac:dyDescent="0.3">
      <c r="A123" s="256">
        <v>6</v>
      </c>
      <c r="B123" s="257" t="s">
        <v>380</v>
      </c>
      <c r="C123" s="260">
        <v>0</v>
      </c>
      <c r="D123" s="260">
        <v>0</v>
      </c>
      <c r="E123" s="260">
        <f t="shared" si="16"/>
        <v>0</v>
      </c>
      <c r="F123" s="259">
        <f t="shared" si="17"/>
        <v>0</v>
      </c>
    </row>
    <row r="124" spans="1:6" ht="20.25" customHeight="1" x14ac:dyDescent="0.3">
      <c r="A124" s="256">
        <v>7</v>
      </c>
      <c r="B124" s="257" t="s">
        <v>445</v>
      </c>
      <c r="C124" s="260">
        <v>0</v>
      </c>
      <c r="D124" s="260">
        <v>0</v>
      </c>
      <c r="E124" s="260">
        <f t="shared" si="16"/>
        <v>0</v>
      </c>
      <c r="F124" s="259">
        <f t="shared" si="17"/>
        <v>0</v>
      </c>
    </row>
    <row r="125" spans="1:6" ht="20.25" customHeight="1" x14ac:dyDescent="0.3">
      <c r="A125" s="256">
        <v>8</v>
      </c>
      <c r="B125" s="257" t="s">
        <v>446</v>
      </c>
      <c r="C125" s="260">
        <v>0</v>
      </c>
      <c r="D125" s="260">
        <v>0</v>
      </c>
      <c r="E125" s="260">
        <f t="shared" si="16"/>
        <v>0</v>
      </c>
      <c r="F125" s="259">
        <f t="shared" si="17"/>
        <v>0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0</v>
      </c>
      <c r="D127" s="263">
        <f>+D118+D120</f>
        <v>0</v>
      </c>
      <c r="E127" s="263">
        <f t="shared" si="16"/>
        <v>0</v>
      </c>
      <c r="F127" s="264">
        <f t="shared" si="17"/>
        <v>0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0</v>
      </c>
      <c r="D128" s="263">
        <f>+D119+D121</f>
        <v>0</v>
      </c>
      <c r="E128" s="263">
        <f t="shared" si="16"/>
        <v>0</v>
      </c>
      <c r="F128" s="264">
        <f t="shared" si="17"/>
        <v>0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0</v>
      </c>
      <c r="D198" s="263">
        <f t="shared" si="28"/>
        <v>0</v>
      </c>
      <c r="E198" s="263">
        <f t="shared" ref="E198:E208" si="29">D198-C198</f>
        <v>0</v>
      </c>
      <c r="F198" s="273">
        <f t="shared" ref="F198:F208" si="30">IF(C198=0,0,E198/C198)</f>
        <v>0</v>
      </c>
    </row>
    <row r="199" spans="1:9" ht="20.25" customHeight="1" x14ac:dyDescent="0.3">
      <c r="A199" s="271"/>
      <c r="B199" s="272" t="s">
        <v>466</v>
      </c>
      <c r="C199" s="263">
        <f t="shared" si="28"/>
        <v>0</v>
      </c>
      <c r="D199" s="263">
        <f t="shared" si="28"/>
        <v>0</v>
      </c>
      <c r="E199" s="263">
        <f t="shared" si="29"/>
        <v>0</v>
      </c>
      <c r="F199" s="273">
        <f t="shared" si="30"/>
        <v>0</v>
      </c>
    </row>
    <row r="200" spans="1:9" ht="20.25" customHeight="1" x14ac:dyDescent="0.3">
      <c r="A200" s="271"/>
      <c r="B200" s="272" t="s">
        <v>467</v>
      </c>
      <c r="C200" s="263">
        <f t="shared" si="28"/>
        <v>0</v>
      </c>
      <c r="D200" s="263">
        <f t="shared" si="28"/>
        <v>0</v>
      </c>
      <c r="E200" s="263">
        <f t="shared" si="29"/>
        <v>0</v>
      </c>
      <c r="F200" s="273">
        <f t="shared" si="30"/>
        <v>0</v>
      </c>
    </row>
    <row r="201" spans="1:9" ht="20.25" customHeight="1" x14ac:dyDescent="0.3">
      <c r="A201" s="271"/>
      <c r="B201" s="272" t="s">
        <v>468</v>
      </c>
      <c r="C201" s="263">
        <f t="shared" si="28"/>
        <v>0</v>
      </c>
      <c r="D201" s="263">
        <f t="shared" si="28"/>
        <v>0</v>
      </c>
      <c r="E201" s="263">
        <f t="shared" si="29"/>
        <v>0</v>
      </c>
      <c r="F201" s="273">
        <f t="shared" si="30"/>
        <v>0</v>
      </c>
    </row>
    <row r="202" spans="1:9" ht="20.25" customHeight="1" x14ac:dyDescent="0.3">
      <c r="A202" s="271"/>
      <c r="B202" s="272" t="s">
        <v>138</v>
      </c>
      <c r="C202" s="274">
        <f t="shared" si="28"/>
        <v>0</v>
      </c>
      <c r="D202" s="274">
        <f t="shared" si="28"/>
        <v>0</v>
      </c>
      <c r="E202" s="274">
        <f t="shared" si="29"/>
        <v>0</v>
      </c>
      <c r="F202" s="273">
        <f t="shared" si="30"/>
        <v>0</v>
      </c>
    </row>
    <row r="203" spans="1:9" ht="20.25" customHeight="1" x14ac:dyDescent="0.3">
      <c r="A203" s="271"/>
      <c r="B203" s="272" t="s">
        <v>140</v>
      </c>
      <c r="C203" s="274">
        <f t="shared" si="28"/>
        <v>0</v>
      </c>
      <c r="D203" s="274">
        <f t="shared" si="28"/>
        <v>0</v>
      </c>
      <c r="E203" s="274">
        <f t="shared" si="29"/>
        <v>0</v>
      </c>
      <c r="F203" s="273">
        <f t="shared" si="30"/>
        <v>0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0</v>
      </c>
      <c r="D204" s="274">
        <f t="shared" si="28"/>
        <v>0</v>
      </c>
      <c r="E204" s="274">
        <f t="shared" si="29"/>
        <v>0</v>
      </c>
      <c r="F204" s="273">
        <f t="shared" si="30"/>
        <v>0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0</v>
      </c>
      <c r="D205" s="274">
        <f t="shared" si="28"/>
        <v>0</v>
      </c>
      <c r="E205" s="274">
        <f t="shared" si="29"/>
        <v>0</v>
      </c>
      <c r="F205" s="273">
        <f t="shared" si="30"/>
        <v>0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0</v>
      </c>
      <c r="E206" s="274">
        <f t="shared" si="29"/>
        <v>0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0</v>
      </c>
      <c r="D207" s="263">
        <f>+D198+D200</f>
        <v>0</v>
      </c>
      <c r="E207" s="263">
        <f t="shared" si="29"/>
        <v>0</v>
      </c>
      <c r="F207" s="273">
        <f t="shared" si="30"/>
        <v>0</v>
      </c>
    </row>
    <row r="208" spans="1:9" ht="20.25" customHeight="1" x14ac:dyDescent="0.3">
      <c r="A208" s="271"/>
      <c r="B208" s="262" t="s">
        <v>472</v>
      </c>
      <c r="C208" s="263">
        <f>+C199+C201</f>
        <v>0</v>
      </c>
      <c r="D208" s="263">
        <f>+D199+D201</f>
        <v>0</v>
      </c>
      <c r="E208" s="263">
        <f t="shared" si="29"/>
        <v>0</v>
      </c>
      <c r="F208" s="273">
        <f t="shared" si="30"/>
        <v>0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FILING&amp;RCT CHILDREN`S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FILING&amp;RCT CHILDREN`S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3643185</v>
      </c>
      <c r="D13" s="22">
        <v>6660856</v>
      </c>
      <c r="E13" s="22">
        <f t="shared" ref="E13:E22" si="0">D13-C13</f>
        <v>3017671</v>
      </c>
      <c r="F13" s="306">
        <f t="shared" ref="F13:F22" si="1">IF(C13=0,0,E13/C13)</f>
        <v>0.82830572699437444</v>
      </c>
    </row>
    <row r="14" spans="1:8" ht="24" customHeight="1" x14ac:dyDescent="0.2">
      <c r="A14" s="304">
        <v>2</v>
      </c>
      <c r="B14" s="305" t="s">
        <v>17</v>
      </c>
      <c r="C14" s="22">
        <v>4292988</v>
      </c>
      <c r="D14" s="22">
        <v>11232933</v>
      </c>
      <c r="E14" s="22">
        <f t="shared" si="0"/>
        <v>6939945</v>
      </c>
      <c r="F14" s="306">
        <f t="shared" si="1"/>
        <v>1.6165768457773466</v>
      </c>
    </row>
    <row r="15" spans="1:8" ht="35.1" customHeight="1" x14ac:dyDescent="0.2">
      <c r="A15" s="304">
        <v>3</v>
      </c>
      <c r="B15" s="305" t="s">
        <v>18</v>
      </c>
      <c r="C15" s="22">
        <v>35721547</v>
      </c>
      <c r="D15" s="22">
        <v>39656117</v>
      </c>
      <c r="E15" s="22">
        <f t="shared" si="0"/>
        <v>3934570</v>
      </c>
      <c r="F15" s="306">
        <f t="shared" si="1"/>
        <v>0.11014556564417549</v>
      </c>
    </row>
    <row r="16" spans="1:8" ht="35.1" customHeight="1" x14ac:dyDescent="0.2">
      <c r="A16" s="304">
        <v>4</v>
      </c>
      <c r="B16" s="305" t="s">
        <v>19</v>
      </c>
      <c r="C16" s="22">
        <v>17008322</v>
      </c>
      <c r="D16" s="22">
        <v>5021620</v>
      </c>
      <c r="E16" s="22">
        <f t="shared" si="0"/>
        <v>-11986702</v>
      </c>
      <c r="F16" s="306">
        <f t="shared" si="1"/>
        <v>-0.70475511928807555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1094287</v>
      </c>
      <c r="D19" s="22">
        <v>1389353</v>
      </c>
      <c r="E19" s="22">
        <f t="shared" si="0"/>
        <v>295066</v>
      </c>
      <c r="F19" s="306">
        <f t="shared" si="1"/>
        <v>0.26964224193470271</v>
      </c>
    </row>
    <row r="20" spans="1:11" ht="24" customHeight="1" x14ac:dyDescent="0.2">
      <c r="A20" s="304">
        <v>8</v>
      </c>
      <c r="B20" s="305" t="s">
        <v>23</v>
      </c>
      <c r="C20" s="22">
        <v>1664752</v>
      </c>
      <c r="D20" s="22">
        <v>1710411</v>
      </c>
      <c r="E20" s="22">
        <f t="shared" si="0"/>
        <v>45659</v>
      </c>
      <c r="F20" s="306">
        <f t="shared" si="1"/>
        <v>2.7426908031947101E-2</v>
      </c>
    </row>
    <row r="21" spans="1:11" ht="24" customHeight="1" x14ac:dyDescent="0.2">
      <c r="A21" s="304">
        <v>9</v>
      </c>
      <c r="B21" s="305" t="s">
        <v>24</v>
      </c>
      <c r="C21" s="22">
        <v>14844181</v>
      </c>
      <c r="D21" s="22">
        <v>12153939</v>
      </c>
      <c r="E21" s="22">
        <f t="shared" si="0"/>
        <v>-2690242</v>
      </c>
      <c r="F21" s="306">
        <f t="shared" si="1"/>
        <v>-0.18123209357255884</v>
      </c>
    </row>
    <row r="22" spans="1:11" ht="24" customHeight="1" x14ac:dyDescent="0.25">
      <c r="A22" s="307"/>
      <c r="B22" s="308" t="s">
        <v>25</v>
      </c>
      <c r="C22" s="309">
        <f>SUM(C13:C21)</f>
        <v>78269262</v>
      </c>
      <c r="D22" s="309">
        <f>SUM(D13:D21)</f>
        <v>77825229</v>
      </c>
      <c r="E22" s="309">
        <f t="shared" si="0"/>
        <v>-444033</v>
      </c>
      <c r="F22" s="310">
        <f t="shared" si="1"/>
        <v>-5.673146630665816E-3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79200328</v>
      </c>
      <c r="D25" s="22">
        <v>82885871</v>
      </c>
      <c r="E25" s="22">
        <f>D25-C25</f>
        <v>3685543</v>
      </c>
      <c r="F25" s="306">
        <f>IF(C25=0,0,E25/C25)</f>
        <v>4.6534441119991318E-2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79200328</v>
      </c>
      <c r="D29" s="309">
        <f>SUM(D25:D28)</f>
        <v>82885871</v>
      </c>
      <c r="E29" s="309">
        <f>D29-C29</f>
        <v>3685543</v>
      </c>
      <c r="F29" s="310">
        <f>IF(C29=0,0,E29/C29)</f>
        <v>4.6534441119991318E-2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118334089</v>
      </c>
      <c r="D32" s="22">
        <v>115153581</v>
      </c>
      <c r="E32" s="22">
        <f>D32-C32</f>
        <v>-3180508</v>
      </c>
      <c r="F32" s="306">
        <f>IF(C32=0,0,E32/C32)</f>
        <v>-2.6877360757811723E-2</v>
      </c>
    </row>
    <row r="33" spans="1:8" ht="24" customHeight="1" x14ac:dyDescent="0.2">
      <c r="A33" s="304">
        <v>7</v>
      </c>
      <c r="B33" s="305" t="s">
        <v>35</v>
      </c>
      <c r="C33" s="22">
        <v>23134374</v>
      </c>
      <c r="D33" s="22">
        <v>30495913</v>
      </c>
      <c r="E33" s="22">
        <f>D33-C33</f>
        <v>7361539</v>
      </c>
      <c r="F33" s="306">
        <f>IF(C33=0,0,E33/C33)</f>
        <v>0.31820783220674137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208941289</v>
      </c>
      <c r="D36" s="22">
        <v>247665809</v>
      </c>
      <c r="E36" s="22">
        <f>D36-C36</f>
        <v>38724520</v>
      </c>
      <c r="F36" s="306">
        <f>IF(C36=0,0,E36/C36)</f>
        <v>0.18533684838136516</v>
      </c>
    </row>
    <row r="37" spans="1:8" ht="24" customHeight="1" x14ac:dyDescent="0.2">
      <c r="A37" s="304">
        <v>2</v>
      </c>
      <c r="B37" s="305" t="s">
        <v>39</v>
      </c>
      <c r="C37" s="22">
        <v>108858277</v>
      </c>
      <c r="D37" s="22">
        <v>123858803</v>
      </c>
      <c r="E37" s="22">
        <f>D37-C37</f>
        <v>15000526</v>
      </c>
      <c r="F37" s="22">
        <f>IF(C37=0,0,E37/C37)</f>
        <v>0.13779867193745865</v>
      </c>
    </row>
    <row r="38" spans="1:8" ht="24" customHeight="1" x14ac:dyDescent="0.25">
      <c r="A38" s="307"/>
      <c r="B38" s="308" t="s">
        <v>40</v>
      </c>
      <c r="C38" s="309">
        <f>C36-C37</f>
        <v>100083012</v>
      </c>
      <c r="D38" s="309">
        <f>D36-D37</f>
        <v>123807006</v>
      </c>
      <c r="E38" s="309">
        <f>D38-C38</f>
        <v>23723994</v>
      </c>
      <c r="F38" s="310">
        <f>IF(C38=0,0,E38/C38)</f>
        <v>0.23704316572726647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29060602</v>
      </c>
      <c r="D40" s="22">
        <v>16921791</v>
      </c>
      <c r="E40" s="22">
        <f>D40-C40</f>
        <v>-12138811</v>
      </c>
      <c r="F40" s="306">
        <f>IF(C40=0,0,E40/C40)</f>
        <v>-0.41770679767748792</v>
      </c>
    </row>
    <row r="41" spans="1:8" ht="24" customHeight="1" x14ac:dyDescent="0.25">
      <c r="A41" s="307"/>
      <c r="B41" s="308" t="s">
        <v>42</v>
      </c>
      <c r="C41" s="309">
        <f>+C38+C40</f>
        <v>129143614</v>
      </c>
      <c r="D41" s="309">
        <f>+D38+D40</f>
        <v>140728797</v>
      </c>
      <c r="E41" s="309">
        <f>D41-C41</f>
        <v>11585183</v>
      </c>
      <c r="F41" s="310">
        <f>IF(C41=0,0,E41/C41)</f>
        <v>8.9707749699493466E-2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428081667</v>
      </c>
      <c r="D43" s="309">
        <f>D22+D29+D31+D32+D33+D41</f>
        <v>447089391</v>
      </c>
      <c r="E43" s="309">
        <f>D43-C43</f>
        <v>19007724</v>
      </c>
      <c r="F43" s="310">
        <f>IF(C43=0,0,E43/C43)</f>
        <v>4.4402097695998739E-2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40018124</v>
      </c>
      <c r="D49" s="22">
        <v>46888207</v>
      </c>
      <c r="E49" s="22">
        <f t="shared" ref="E49:E56" si="2">D49-C49</f>
        <v>6870083</v>
      </c>
      <c r="F49" s="306">
        <f t="shared" ref="F49:F56" si="3">IF(C49=0,0,E49/C49)</f>
        <v>0.17167428937948215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18099416</v>
      </c>
      <c r="D50" s="22">
        <v>19785007</v>
      </c>
      <c r="E50" s="22">
        <f t="shared" si="2"/>
        <v>1685591</v>
      </c>
      <c r="F50" s="306">
        <f t="shared" si="3"/>
        <v>9.3129579429524129E-2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13394804</v>
      </c>
      <c r="D51" s="22">
        <v>33564770</v>
      </c>
      <c r="E51" s="22">
        <f t="shared" si="2"/>
        <v>20169966</v>
      </c>
      <c r="F51" s="306">
        <f t="shared" si="3"/>
        <v>1.5058052361199163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1280000</v>
      </c>
      <c r="D53" s="22">
        <v>1350000</v>
      </c>
      <c r="E53" s="22">
        <f t="shared" si="2"/>
        <v>70000</v>
      </c>
      <c r="F53" s="306">
        <f t="shared" si="3"/>
        <v>5.46875E-2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5447651</v>
      </c>
      <c r="D54" s="22">
        <v>6189100</v>
      </c>
      <c r="E54" s="22">
        <f t="shared" si="2"/>
        <v>741449</v>
      </c>
      <c r="F54" s="306">
        <f t="shared" si="3"/>
        <v>0.13610435029703627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307335</v>
      </c>
      <c r="D55" s="22">
        <v>64013</v>
      </c>
      <c r="E55" s="22">
        <f t="shared" si="2"/>
        <v>-243322</v>
      </c>
      <c r="F55" s="306">
        <f t="shared" si="3"/>
        <v>-0.79171588006572635</v>
      </c>
    </row>
    <row r="56" spans="1:6" ht="24" customHeight="1" x14ac:dyDescent="0.25">
      <c r="A56" s="307"/>
      <c r="B56" s="308" t="s">
        <v>54</v>
      </c>
      <c r="C56" s="309">
        <f>SUM(C49:C55)</f>
        <v>78547330</v>
      </c>
      <c r="D56" s="309">
        <f>SUM(D49:D55)</f>
        <v>107841097</v>
      </c>
      <c r="E56" s="309">
        <f t="shared" si="2"/>
        <v>29293767</v>
      </c>
      <c r="F56" s="310">
        <f t="shared" si="3"/>
        <v>0.37294414717852281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38035000</v>
      </c>
      <c r="D59" s="22">
        <v>36685000</v>
      </c>
      <c r="E59" s="22">
        <f>D59-C59</f>
        <v>-1350000</v>
      </c>
      <c r="F59" s="306">
        <f>IF(C59=0,0,E59/C59)</f>
        <v>-3.5493624293413961E-2</v>
      </c>
    </row>
    <row r="60" spans="1:6" ht="24" customHeight="1" x14ac:dyDescent="0.2">
      <c r="A60" s="304">
        <v>2</v>
      </c>
      <c r="B60" s="305" t="s">
        <v>57</v>
      </c>
      <c r="C60" s="22">
        <v>25226326</v>
      </c>
      <c r="D60" s="22">
        <v>22855716</v>
      </c>
      <c r="E60" s="22">
        <f>D60-C60</f>
        <v>-2370610</v>
      </c>
      <c r="F60" s="306">
        <f>IF(C60=0,0,E60/C60)</f>
        <v>-9.3973652762594131E-2</v>
      </c>
    </row>
    <row r="61" spans="1:6" ht="24" customHeight="1" x14ac:dyDescent="0.25">
      <c r="A61" s="307"/>
      <c r="B61" s="308" t="s">
        <v>58</v>
      </c>
      <c r="C61" s="309">
        <f>SUM(C59:C60)</f>
        <v>63261326</v>
      </c>
      <c r="D61" s="309">
        <f>SUM(D59:D60)</f>
        <v>59540716</v>
      </c>
      <c r="E61" s="309">
        <f>D61-C61</f>
        <v>-3720610</v>
      </c>
      <c r="F61" s="310">
        <f>IF(C61=0,0,E61/C61)</f>
        <v>-5.8813341977687915E-2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8357282</v>
      </c>
      <c r="D63" s="22">
        <v>11770096</v>
      </c>
      <c r="E63" s="22">
        <f>D63-C63</f>
        <v>3412814</v>
      </c>
      <c r="F63" s="306">
        <f>IF(C63=0,0,E63/C63)</f>
        <v>0.40836410689504077</v>
      </c>
    </row>
    <row r="64" spans="1:6" ht="24" customHeight="1" x14ac:dyDescent="0.2">
      <c r="A64" s="304">
        <v>4</v>
      </c>
      <c r="B64" s="305" t="s">
        <v>60</v>
      </c>
      <c r="C64" s="22">
        <v>32203191</v>
      </c>
      <c r="D64" s="22">
        <v>35250131</v>
      </c>
      <c r="E64" s="22">
        <f>D64-C64</f>
        <v>3046940</v>
      </c>
      <c r="F64" s="306">
        <f>IF(C64=0,0,E64/C64)</f>
        <v>9.4616089442813286E-2</v>
      </c>
    </row>
    <row r="65" spans="1:6" ht="24" customHeight="1" x14ac:dyDescent="0.25">
      <c r="A65" s="307"/>
      <c r="B65" s="308" t="s">
        <v>61</v>
      </c>
      <c r="C65" s="309">
        <f>SUM(C61:C64)</f>
        <v>103821799</v>
      </c>
      <c r="D65" s="309">
        <f>SUM(D61:D64)</f>
        <v>106560943</v>
      </c>
      <c r="E65" s="309">
        <f>D65-C65</f>
        <v>2739144</v>
      </c>
      <c r="F65" s="310">
        <f>IF(C65=0,0,E65/C65)</f>
        <v>2.638312980879863E-2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127634615</v>
      </c>
      <c r="D70" s="22">
        <v>106219054</v>
      </c>
      <c r="E70" s="22">
        <f>D70-C70</f>
        <v>-21415561</v>
      </c>
      <c r="F70" s="306">
        <f>IF(C70=0,0,E70/C70)</f>
        <v>-0.16778803305043855</v>
      </c>
    </row>
    <row r="71" spans="1:6" ht="24" customHeight="1" x14ac:dyDescent="0.2">
      <c r="A71" s="304">
        <v>2</v>
      </c>
      <c r="B71" s="305" t="s">
        <v>65</v>
      </c>
      <c r="C71" s="22">
        <v>21970909</v>
      </c>
      <c r="D71" s="22">
        <v>26244572</v>
      </c>
      <c r="E71" s="22">
        <f>D71-C71</f>
        <v>4273663</v>
      </c>
      <c r="F71" s="306">
        <f>IF(C71=0,0,E71/C71)</f>
        <v>0.19451461930865035</v>
      </c>
    </row>
    <row r="72" spans="1:6" ht="24" customHeight="1" x14ac:dyDescent="0.2">
      <c r="A72" s="304">
        <v>3</v>
      </c>
      <c r="B72" s="305" t="s">
        <v>66</v>
      </c>
      <c r="C72" s="22">
        <v>96107014</v>
      </c>
      <c r="D72" s="22">
        <v>100223725</v>
      </c>
      <c r="E72" s="22">
        <f>D72-C72</f>
        <v>4116711</v>
      </c>
      <c r="F72" s="306">
        <f>IF(C72=0,0,E72/C72)</f>
        <v>4.2834657208265778E-2</v>
      </c>
    </row>
    <row r="73" spans="1:6" ht="24" customHeight="1" x14ac:dyDescent="0.25">
      <c r="A73" s="304"/>
      <c r="B73" s="308" t="s">
        <v>67</v>
      </c>
      <c r="C73" s="309">
        <f>SUM(C70:C72)</f>
        <v>245712538</v>
      </c>
      <c r="D73" s="309">
        <f>SUM(D70:D72)</f>
        <v>232687351</v>
      </c>
      <c r="E73" s="309">
        <f>D73-C73</f>
        <v>-13025187</v>
      </c>
      <c r="F73" s="310">
        <f>IF(C73=0,0,E73/C73)</f>
        <v>-5.300985902477634E-2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428081667</v>
      </c>
      <c r="D75" s="309">
        <f>D56+D65+D67+D73</f>
        <v>447089391</v>
      </c>
      <c r="E75" s="309">
        <f>D75-C75</f>
        <v>19007724</v>
      </c>
      <c r="F75" s="310">
        <f>IF(C75=0,0,E75/C75)</f>
        <v>4.4402097695998739E-2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FILING&amp;RCCMC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G40" sqref="G40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676878020</v>
      </c>
      <c r="D11" s="76">
        <v>702777015</v>
      </c>
      <c r="E11" s="76">
        <f t="shared" ref="E11:E20" si="0">D11-C11</f>
        <v>25898995</v>
      </c>
      <c r="F11" s="77">
        <f t="shared" ref="F11:F20" si="1">IF(C11=0,0,E11/C11)</f>
        <v>3.8262425776508444E-2</v>
      </c>
    </row>
    <row r="12" spans="1:7" ht="23.1" customHeight="1" x14ac:dyDescent="0.2">
      <c r="A12" s="74">
        <v>2</v>
      </c>
      <c r="B12" s="75" t="s">
        <v>72</v>
      </c>
      <c r="C12" s="76">
        <v>377012973</v>
      </c>
      <c r="D12" s="76">
        <v>387252545</v>
      </c>
      <c r="E12" s="76">
        <f t="shared" si="0"/>
        <v>10239572</v>
      </c>
      <c r="F12" s="77">
        <f t="shared" si="1"/>
        <v>2.7159733837593965E-2</v>
      </c>
    </row>
    <row r="13" spans="1:7" ht="23.1" customHeight="1" x14ac:dyDescent="0.2">
      <c r="A13" s="74">
        <v>3</v>
      </c>
      <c r="B13" s="75" t="s">
        <v>73</v>
      </c>
      <c r="C13" s="76">
        <v>1613807</v>
      </c>
      <c r="D13" s="76">
        <v>1531966</v>
      </c>
      <c r="E13" s="76">
        <f t="shared" si="0"/>
        <v>-81841</v>
      </c>
      <c r="F13" s="77">
        <f t="shared" si="1"/>
        <v>-5.0713003475632464E-2</v>
      </c>
    </row>
    <row r="14" spans="1:7" ht="23.1" customHeight="1" x14ac:dyDescent="0.2">
      <c r="A14" s="74">
        <v>4</v>
      </c>
      <c r="B14" s="75" t="s">
        <v>74</v>
      </c>
      <c r="C14" s="76">
        <v>5803703</v>
      </c>
      <c r="D14" s="76">
        <v>4573990</v>
      </c>
      <c r="E14" s="76">
        <f t="shared" si="0"/>
        <v>-1229713</v>
      </c>
      <c r="F14" s="77">
        <f t="shared" si="1"/>
        <v>-0.21188420565283922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292447537</v>
      </c>
      <c r="D15" s="79">
        <f>D11-D12-D13-D14</f>
        <v>309418514</v>
      </c>
      <c r="E15" s="79">
        <f t="shared" si="0"/>
        <v>16970977</v>
      </c>
      <c r="F15" s="80">
        <f t="shared" si="1"/>
        <v>5.8030842639649242E-2</v>
      </c>
    </row>
    <row r="16" spans="1:7" ht="23.1" customHeight="1" x14ac:dyDescent="0.2">
      <c r="A16" s="74">
        <v>5</v>
      </c>
      <c r="B16" s="75" t="s">
        <v>76</v>
      </c>
      <c r="C16" s="76">
        <v>5933509</v>
      </c>
      <c r="D16" s="76">
        <v>4813073</v>
      </c>
      <c r="E16" s="76">
        <f t="shared" si="0"/>
        <v>-1120436</v>
      </c>
      <c r="F16" s="77">
        <f t="shared" si="1"/>
        <v>-0.18883193739151655</v>
      </c>
      <c r="G16" s="65"/>
    </row>
    <row r="17" spans="1:7" ht="31.5" customHeight="1" x14ac:dyDescent="0.25">
      <c r="A17" s="71"/>
      <c r="B17" s="81" t="s">
        <v>77</v>
      </c>
      <c r="C17" s="79">
        <f>C15-C16</f>
        <v>286514028</v>
      </c>
      <c r="D17" s="79">
        <f>D15-D16</f>
        <v>304605441</v>
      </c>
      <c r="E17" s="79">
        <f t="shared" si="0"/>
        <v>18091413</v>
      </c>
      <c r="F17" s="80">
        <f t="shared" si="1"/>
        <v>6.3143201490992965E-2</v>
      </c>
    </row>
    <row r="18" spans="1:7" ht="23.1" customHeight="1" x14ac:dyDescent="0.2">
      <c r="A18" s="74">
        <v>6</v>
      </c>
      <c r="B18" s="75" t="s">
        <v>78</v>
      </c>
      <c r="C18" s="76">
        <v>21891523</v>
      </c>
      <c r="D18" s="76">
        <v>19385792</v>
      </c>
      <c r="E18" s="76">
        <f t="shared" si="0"/>
        <v>-2505731</v>
      </c>
      <c r="F18" s="77">
        <f t="shared" si="1"/>
        <v>-0.11446124602660125</v>
      </c>
      <c r="G18" s="65"/>
    </row>
    <row r="19" spans="1:7" ht="33" customHeight="1" x14ac:dyDescent="0.2">
      <c r="A19" s="74">
        <v>7</v>
      </c>
      <c r="B19" s="82" t="s">
        <v>79</v>
      </c>
      <c r="C19" s="76">
        <v>16410503</v>
      </c>
      <c r="D19" s="76">
        <v>13856995</v>
      </c>
      <c r="E19" s="76">
        <f t="shared" si="0"/>
        <v>-2553508</v>
      </c>
      <c r="F19" s="77">
        <f t="shared" si="1"/>
        <v>-0.15560205558598661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324816054</v>
      </c>
      <c r="D20" s="79">
        <f>SUM(D17:D19)</f>
        <v>337848228</v>
      </c>
      <c r="E20" s="79">
        <f t="shared" si="0"/>
        <v>13032174</v>
      </c>
      <c r="F20" s="80">
        <f t="shared" si="1"/>
        <v>4.0121705314479311E-2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174652632</v>
      </c>
      <c r="D23" s="76">
        <v>176241523</v>
      </c>
      <c r="E23" s="76">
        <f t="shared" ref="E23:E32" si="2">D23-C23</f>
        <v>1588891</v>
      </c>
      <c r="F23" s="77">
        <f t="shared" ref="F23:F32" si="3">IF(C23=0,0,E23/C23)</f>
        <v>9.0974351878075326E-3</v>
      </c>
    </row>
    <row r="24" spans="1:7" ht="23.1" customHeight="1" x14ac:dyDescent="0.2">
      <c r="A24" s="74">
        <v>2</v>
      </c>
      <c r="B24" s="75" t="s">
        <v>83</v>
      </c>
      <c r="C24" s="76">
        <v>45276368</v>
      </c>
      <c r="D24" s="76">
        <v>44093788</v>
      </c>
      <c r="E24" s="76">
        <f t="shared" si="2"/>
        <v>-1182580</v>
      </c>
      <c r="F24" s="77">
        <f t="shared" si="3"/>
        <v>-2.6119144539155613E-2</v>
      </c>
    </row>
    <row r="25" spans="1:7" ht="23.1" customHeight="1" x14ac:dyDescent="0.2">
      <c r="A25" s="74">
        <v>3</v>
      </c>
      <c r="B25" s="75" t="s">
        <v>84</v>
      </c>
      <c r="C25" s="76">
        <v>10667380</v>
      </c>
      <c r="D25" s="76">
        <v>10590399</v>
      </c>
      <c r="E25" s="76">
        <f t="shared" si="2"/>
        <v>-76981</v>
      </c>
      <c r="F25" s="77">
        <f t="shared" si="3"/>
        <v>-7.2164861474888868E-3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22426746</v>
      </c>
      <c r="D26" s="76">
        <v>27198087</v>
      </c>
      <c r="E26" s="76">
        <f t="shared" si="2"/>
        <v>4771341</v>
      </c>
      <c r="F26" s="77">
        <f t="shared" si="3"/>
        <v>0.21275226463972971</v>
      </c>
    </row>
    <row r="27" spans="1:7" ht="23.1" customHeight="1" x14ac:dyDescent="0.2">
      <c r="A27" s="74">
        <v>5</v>
      </c>
      <c r="B27" s="75" t="s">
        <v>86</v>
      </c>
      <c r="C27" s="76">
        <v>12798412</v>
      </c>
      <c r="D27" s="76">
        <v>15884013</v>
      </c>
      <c r="E27" s="76">
        <f t="shared" si="2"/>
        <v>3085601</v>
      </c>
      <c r="F27" s="77">
        <f t="shared" si="3"/>
        <v>0.2410924886618746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1314300</v>
      </c>
      <c r="D29" s="76">
        <v>1242337</v>
      </c>
      <c r="E29" s="76">
        <f t="shared" si="2"/>
        <v>-71963</v>
      </c>
      <c r="F29" s="77">
        <f t="shared" si="3"/>
        <v>-5.4753861371072056E-2</v>
      </c>
    </row>
    <row r="30" spans="1:7" ht="23.1" customHeight="1" x14ac:dyDescent="0.2">
      <c r="A30" s="74">
        <v>8</v>
      </c>
      <c r="B30" s="75" t="s">
        <v>89</v>
      </c>
      <c r="C30" s="76">
        <v>3777589</v>
      </c>
      <c r="D30" s="76">
        <v>7156393</v>
      </c>
      <c r="E30" s="76">
        <f t="shared" si="2"/>
        <v>3378804</v>
      </c>
      <c r="F30" s="77">
        <f t="shared" si="3"/>
        <v>0.89443398951024056</v>
      </c>
    </row>
    <row r="31" spans="1:7" ht="23.1" customHeight="1" x14ac:dyDescent="0.2">
      <c r="A31" s="74">
        <v>9</v>
      </c>
      <c r="B31" s="75" t="s">
        <v>90</v>
      </c>
      <c r="C31" s="76">
        <v>87588797</v>
      </c>
      <c r="D31" s="76">
        <v>90082509</v>
      </c>
      <c r="E31" s="76">
        <f t="shared" si="2"/>
        <v>2493712</v>
      </c>
      <c r="F31" s="77">
        <f t="shared" si="3"/>
        <v>2.8470673024542169E-2</v>
      </c>
    </row>
    <row r="32" spans="1:7" ht="23.1" customHeight="1" x14ac:dyDescent="0.25">
      <c r="A32" s="71"/>
      <c r="B32" s="78" t="s">
        <v>91</v>
      </c>
      <c r="C32" s="79">
        <f>SUM(C23:C31)</f>
        <v>358502224</v>
      </c>
      <c r="D32" s="79">
        <f>SUM(D23:D31)</f>
        <v>372489049</v>
      </c>
      <c r="E32" s="79">
        <f t="shared" si="2"/>
        <v>13986825</v>
      </c>
      <c r="F32" s="80">
        <f t="shared" si="3"/>
        <v>3.9014611524418326E-2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-33686170</v>
      </c>
      <c r="D34" s="79">
        <f>+D20-D32</f>
        <v>-34640821</v>
      </c>
      <c r="E34" s="79">
        <f>D34-C34</f>
        <v>-954651</v>
      </c>
      <c r="F34" s="80">
        <f>IF(C34=0,0,E34/C34)</f>
        <v>2.8339552997565468E-2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10255795</v>
      </c>
      <c r="D37" s="76">
        <v>15468829</v>
      </c>
      <c r="E37" s="76">
        <f>D37-C37</f>
        <v>5213034</v>
      </c>
      <c r="F37" s="77">
        <f>IF(C37=0,0,E37/C37)</f>
        <v>0.50830130672463714</v>
      </c>
    </row>
    <row r="38" spans="1:6" ht="23.1" customHeight="1" x14ac:dyDescent="0.2">
      <c r="A38" s="85">
        <v>2</v>
      </c>
      <c r="B38" s="75" t="s">
        <v>95</v>
      </c>
      <c r="C38" s="76">
        <v>6356113</v>
      </c>
      <c r="D38" s="76">
        <v>2073903</v>
      </c>
      <c r="E38" s="76">
        <f>D38-C38</f>
        <v>-4282210</v>
      </c>
      <c r="F38" s="77">
        <f>IF(C38=0,0,E38/C38)</f>
        <v>-0.67371520927963369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16611908</v>
      </c>
      <c r="D40" s="79">
        <f>SUM(D37:D39)</f>
        <v>17542732</v>
      </c>
      <c r="E40" s="79">
        <f>D40-C40</f>
        <v>930824</v>
      </c>
      <c r="F40" s="80">
        <f>IF(C40=0,0,E40/C40)</f>
        <v>5.6033539314087222E-2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-17074262</v>
      </c>
      <c r="D42" s="79">
        <f>D34+D40</f>
        <v>-17098089</v>
      </c>
      <c r="E42" s="79">
        <f>D42-C42</f>
        <v>-23827</v>
      </c>
      <c r="F42" s="80">
        <f>IF(C42=0,0,E42/C42)</f>
        <v>1.3954922326950355E-3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-17074262</v>
      </c>
      <c r="D49" s="79">
        <f>D42+D47</f>
        <v>-17098089</v>
      </c>
      <c r="E49" s="79">
        <f>D49-C49</f>
        <v>-23827</v>
      </c>
      <c r="F49" s="80">
        <f>IF(C49=0,0,E49/C49)</f>
        <v>1.3954922326950355E-3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FILING&amp;R&amp;8CCMC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2015-07-06T19:52:29Z</cp:lastPrinted>
  <dcterms:created xsi:type="dcterms:W3CDTF">2015-07-06T19:42:57Z</dcterms:created>
  <dcterms:modified xsi:type="dcterms:W3CDTF">2015-07-06T19:52:37Z</dcterms:modified>
</cp:coreProperties>
</file>