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Report485!$A$11:$F$28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/>
  <c r="D96" i="22"/>
  <c r="D98" i="22"/>
  <c r="C96" i="22"/>
  <c r="E92" i="22"/>
  <c r="D92" i="22"/>
  <c r="C92" i="22"/>
  <c r="E91" i="22"/>
  <c r="E93" i="22"/>
  <c r="D91" i="22"/>
  <c r="D93" i="22" s="1"/>
  <c r="C91" i="22"/>
  <c r="C93" i="22" s="1"/>
  <c r="E87" i="22"/>
  <c r="D87" i="22"/>
  <c r="D88" i="22" s="1"/>
  <c r="C87" i="22"/>
  <c r="E86" i="22"/>
  <c r="E88" i="22"/>
  <c r="D86" i="22"/>
  <c r="C86" i="22"/>
  <c r="C88" i="22"/>
  <c r="E83" i="22"/>
  <c r="E102" i="22" s="1"/>
  <c r="D83" i="22"/>
  <c r="C83" i="22"/>
  <c r="C102" i="22" s="1"/>
  <c r="E76" i="22"/>
  <c r="D76" i="22"/>
  <c r="C76" i="22"/>
  <c r="E75" i="22"/>
  <c r="D75" i="22"/>
  <c r="C75" i="22"/>
  <c r="C77" i="22" s="1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E21" i="22"/>
  <c r="D21" i="22"/>
  <c r="C21" i="22"/>
  <c r="E12" i="22"/>
  <c r="E33" i="22" s="1"/>
  <c r="D12" i="22"/>
  <c r="D34" i="22"/>
  <c r="C12" i="22"/>
  <c r="C34" i="22" s="1"/>
  <c r="D21" i="21"/>
  <c r="E21" i="21"/>
  <c r="C21" i="21"/>
  <c r="F21" i="21" s="1"/>
  <c r="D19" i="21"/>
  <c r="E19" i="21"/>
  <c r="C19" i="21"/>
  <c r="E17" i="21"/>
  <c r="F17" i="21" s="1"/>
  <c r="E15" i="21"/>
  <c r="F15" i="21" s="1"/>
  <c r="D45" i="20"/>
  <c r="C45" i="20"/>
  <c r="D44" i="20"/>
  <c r="E44" i="20" s="1"/>
  <c r="F44" i="20" s="1"/>
  <c r="C44" i="20"/>
  <c r="D43" i="20"/>
  <c r="C43" i="20"/>
  <c r="D36" i="20"/>
  <c r="D40" i="20"/>
  <c r="C36" i="20"/>
  <c r="E35" i="20"/>
  <c r="F35" i="20" s="1"/>
  <c r="E34" i="20"/>
  <c r="F34" i="20" s="1"/>
  <c r="E33" i="20"/>
  <c r="F33" i="20" s="1"/>
  <c r="E30" i="20"/>
  <c r="F30" i="20"/>
  <c r="E29" i="20"/>
  <c r="F29" i="20"/>
  <c r="E28" i="20"/>
  <c r="F28" i="20" s="1"/>
  <c r="E27" i="20"/>
  <c r="F27" i="20"/>
  <c r="D25" i="20"/>
  <c r="D39" i="20"/>
  <c r="C25" i="20"/>
  <c r="E24" i="20"/>
  <c r="F24" i="20" s="1"/>
  <c r="E23" i="20"/>
  <c r="F23" i="20" s="1"/>
  <c r="E22" i="20"/>
  <c r="F22" i="20" s="1"/>
  <c r="D19" i="20"/>
  <c r="E19" i="20" s="1"/>
  <c r="F19" i="20" s="1"/>
  <c r="D20" i="20"/>
  <c r="E20" i="20" s="1"/>
  <c r="F20" i="20" s="1"/>
  <c r="C19" i="20"/>
  <c r="C20" i="20" s="1"/>
  <c r="E18" i="20"/>
  <c r="F18" i="20"/>
  <c r="D16" i="20"/>
  <c r="C16" i="20"/>
  <c r="E15" i="20"/>
  <c r="F15" i="20"/>
  <c r="E13" i="20"/>
  <c r="F13" i="20" s="1"/>
  <c r="E12" i="20"/>
  <c r="F12" i="20" s="1"/>
  <c r="C115" i="19"/>
  <c r="C105" i="19"/>
  <c r="C137" i="19" s="1"/>
  <c r="C139" i="19" s="1"/>
  <c r="C143" i="19"/>
  <c r="C96" i="19"/>
  <c r="C95" i="19"/>
  <c r="C89" i="19"/>
  <c r="C88" i="19"/>
  <c r="C83" i="19"/>
  <c r="C77" i="19"/>
  <c r="C78" i="19"/>
  <c r="C63" i="19"/>
  <c r="C59" i="19"/>
  <c r="C60" i="19"/>
  <c r="C48" i="19"/>
  <c r="C64" i="19" s="1"/>
  <c r="C36" i="19"/>
  <c r="C32" i="19"/>
  <c r="C33" i="19"/>
  <c r="C21" i="19"/>
  <c r="C37" i="19"/>
  <c r="E328" i="18"/>
  <c r="E325" i="18"/>
  <c r="D324" i="18"/>
  <c r="D326" i="18"/>
  <c r="C324" i="18"/>
  <c r="C326" i="18"/>
  <c r="C330" i="18" s="1"/>
  <c r="E318" i="18"/>
  <c r="E315" i="18"/>
  <c r="D314" i="18"/>
  <c r="D316" i="18" s="1"/>
  <c r="C314" i="18"/>
  <c r="C316" i="18" s="1"/>
  <c r="E316" i="18" s="1"/>
  <c r="C320" i="18"/>
  <c r="E308" i="18"/>
  <c r="E305" i="18"/>
  <c r="D301" i="18"/>
  <c r="D303" i="18"/>
  <c r="C301" i="18"/>
  <c r="D293" i="18"/>
  <c r="C293" i="18"/>
  <c r="D292" i="18"/>
  <c r="E292" i="18" s="1"/>
  <c r="C292" i="18"/>
  <c r="D291" i="18"/>
  <c r="E291" i="18" s="1"/>
  <c r="C291" i="18"/>
  <c r="D290" i="18"/>
  <c r="C290" i="18"/>
  <c r="E290" i="18"/>
  <c r="D288" i="18"/>
  <c r="E288" i="18" s="1"/>
  <c r="C288" i="18"/>
  <c r="D287" i="18"/>
  <c r="E287" i="18"/>
  <c r="C287" i="18"/>
  <c r="D282" i="18"/>
  <c r="C282" i="18"/>
  <c r="E282" i="18"/>
  <c r="D281" i="18"/>
  <c r="E281" i="18"/>
  <c r="C281" i="18"/>
  <c r="D280" i="18"/>
  <c r="C280" i="18"/>
  <c r="E280" i="18"/>
  <c r="D279" i="18"/>
  <c r="E279" i="18"/>
  <c r="C279" i="18"/>
  <c r="D278" i="18"/>
  <c r="E278" i="18" s="1"/>
  <c r="C278" i="18"/>
  <c r="D277" i="18"/>
  <c r="C277" i="18"/>
  <c r="E277" i="18" s="1"/>
  <c r="D276" i="18"/>
  <c r="C276" i="18"/>
  <c r="E270" i="18"/>
  <c r="D265" i="18"/>
  <c r="D302" i="18"/>
  <c r="C265" i="18"/>
  <c r="C302" i="18"/>
  <c r="D262" i="18"/>
  <c r="E262" i="18" s="1"/>
  <c r="C262" i="18"/>
  <c r="D251" i="18"/>
  <c r="E251" i="18" s="1"/>
  <c r="C251" i="18"/>
  <c r="D233" i="18"/>
  <c r="C233" i="18"/>
  <c r="D232" i="18"/>
  <c r="C232" i="18"/>
  <c r="E232" i="18" s="1"/>
  <c r="D231" i="18"/>
  <c r="E231" i="18" s="1"/>
  <c r="C231" i="18"/>
  <c r="D230" i="18"/>
  <c r="E230" i="18"/>
  <c r="C230" i="18"/>
  <c r="D228" i="18"/>
  <c r="E228" i="18"/>
  <c r="C228" i="18"/>
  <c r="D227" i="18"/>
  <c r="C227" i="18"/>
  <c r="E227" i="18"/>
  <c r="D221" i="18"/>
  <c r="C221" i="18"/>
  <c r="C245" i="18"/>
  <c r="D220" i="18"/>
  <c r="D244" i="18" s="1"/>
  <c r="C220" i="18"/>
  <c r="C244" i="18"/>
  <c r="D219" i="18"/>
  <c r="D243" i="18"/>
  <c r="D252" i="18" s="1"/>
  <c r="C219" i="18"/>
  <c r="C243" i="18" s="1"/>
  <c r="D218" i="18"/>
  <c r="D242" i="18" s="1"/>
  <c r="C218" i="18"/>
  <c r="C242" i="18"/>
  <c r="D217" i="18"/>
  <c r="D216" i="18"/>
  <c r="D240" i="18"/>
  <c r="E240" i="18" s="1"/>
  <c r="C216" i="18"/>
  <c r="C240" i="18" s="1"/>
  <c r="D215" i="18"/>
  <c r="D239" i="18"/>
  <c r="C215" i="18"/>
  <c r="C239" i="18" s="1"/>
  <c r="D210" i="18"/>
  <c r="E209" i="18"/>
  <c r="E208" i="18"/>
  <c r="E207" i="18"/>
  <c r="E206" i="18"/>
  <c r="D205" i="18"/>
  <c r="D229" i="18"/>
  <c r="C205" i="18"/>
  <c r="E204" i="18"/>
  <c r="E203" i="18"/>
  <c r="E197" i="18"/>
  <c r="E196" i="18"/>
  <c r="D195" i="18"/>
  <c r="C195" i="18"/>
  <c r="C260" i="18"/>
  <c r="E194" i="18"/>
  <c r="E193" i="18"/>
  <c r="E192" i="18"/>
  <c r="E191" i="18"/>
  <c r="E190" i="18"/>
  <c r="D189" i="18"/>
  <c r="D188" i="18"/>
  <c r="D261" i="18"/>
  <c r="C188" i="18"/>
  <c r="E186" i="18"/>
  <c r="E185" i="18"/>
  <c r="D179" i="18"/>
  <c r="C179" i="18"/>
  <c r="E179" i="18"/>
  <c r="D178" i="18"/>
  <c r="E178" i="18"/>
  <c r="C178" i="18"/>
  <c r="D177" i="18"/>
  <c r="E177" i="18" s="1"/>
  <c r="C177" i="18"/>
  <c r="D176" i="18"/>
  <c r="C176" i="18"/>
  <c r="E176" i="18" s="1"/>
  <c r="D174" i="18"/>
  <c r="E174" i="18"/>
  <c r="C174" i="18"/>
  <c r="D173" i="18"/>
  <c r="C173" i="18"/>
  <c r="E173" i="18"/>
  <c r="D167" i="18"/>
  <c r="E167" i="18"/>
  <c r="C167" i="18"/>
  <c r="D166" i="18"/>
  <c r="E166" i="18" s="1"/>
  <c r="C166" i="18"/>
  <c r="D165" i="18"/>
  <c r="C165" i="18"/>
  <c r="E165" i="18" s="1"/>
  <c r="D164" i="18"/>
  <c r="E164" i="18" s="1"/>
  <c r="C164" i="18"/>
  <c r="D162" i="18"/>
  <c r="E162" i="18" s="1"/>
  <c r="C162" i="18"/>
  <c r="D161" i="18"/>
  <c r="C161" i="18"/>
  <c r="E161" i="18" s="1"/>
  <c r="D156" i="18"/>
  <c r="E155" i="18"/>
  <c r="E154" i="18"/>
  <c r="E153" i="18"/>
  <c r="E152" i="18"/>
  <c r="D151" i="18"/>
  <c r="C151" i="18"/>
  <c r="E151" i="18"/>
  <c r="E150" i="18"/>
  <c r="E149" i="18"/>
  <c r="E143" i="18"/>
  <c r="E142" i="18"/>
  <c r="E141" i="18"/>
  <c r="E140" i="18"/>
  <c r="D139" i="18"/>
  <c r="E139" i="18" s="1"/>
  <c r="D163" i="18"/>
  <c r="C139" i="18"/>
  <c r="E138" i="18"/>
  <c r="E137" i="18"/>
  <c r="D75" i="18"/>
  <c r="C75" i="18"/>
  <c r="E75" i="18"/>
  <c r="D74" i="18"/>
  <c r="D76" i="18" s="1"/>
  <c r="E74" i="18"/>
  <c r="C74" i="18"/>
  <c r="D73" i="18"/>
  <c r="C73" i="18"/>
  <c r="E73" i="18"/>
  <c r="D72" i="18"/>
  <c r="C72" i="18"/>
  <c r="E72" i="18" s="1"/>
  <c r="C71" i="18"/>
  <c r="D70" i="18"/>
  <c r="C70" i="18"/>
  <c r="D69" i="18"/>
  <c r="C69" i="18"/>
  <c r="C66" i="18"/>
  <c r="E64" i="18"/>
  <c r="E63" i="18"/>
  <c r="E62" i="18"/>
  <c r="E61" i="18"/>
  <c r="D60" i="18"/>
  <c r="C60" i="18"/>
  <c r="C65" i="18" s="1"/>
  <c r="E59" i="18"/>
  <c r="E58" i="18"/>
  <c r="D54" i="18"/>
  <c r="D55" i="18" s="1"/>
  <c r="C54" i="18"/>
  <c r="E54" i="18"/>
  <c r="E53" i="18"/>
  <c r="E52" i="18"/>
  <c r="E51" i="18"/>
  <c r="E50" i="18"/>
  <c r="E49" i="18"/>
  <c r="E48" i="18"/>
  <c r="E47" i="18"/>
  <c r="D42" i="18"/>
  <c r="E42" i="18" s="1"/>
  <c r="C42" i="18"/>
  <c r="D41" i="18"/>
  <c r="E41" i="18"/>
  <c r="C41" i="18"/>
  <c r="D40" i="18"/>
  <c r="C40" i="18"/>
  <c r="E40" i="18"/>
  <c r="D39" i="18"/>
  <c r="E39" i="18"/>
  <c r="C39" i="18"/>
  <c r="D38" i="18"/>
  <c r="E38" i="18" s="1"/>
  <c r="C38" i="18"/>
  <c r="D37" i="18"/>
  <c r="D43" i="18"/>
  <c r="C37" i="18"/>
  <c r="D36" i="18"/>
  <c r="C36" i="18"/>
  <c r="D32" i="18"/>
  <c r="D33" i="18" s="1"/>
  <c r="E33" i="18" s="1"/>
  <c r="C32" i="18"/>
  <c r="E31" i="18"/>
  <c r="E30" i="18"/>
  <c r="E29" i="18"/>
  <c r="E28" i="18"/>
  <c r="E27" i="18"/>
  <c r="E26" i="18"/>
  <c r="E25" i="18"/>
  <c r="C22" i="18"/>
  <c r="D21" i="18"/>
  <c r="D283" i="18" s="1"/>
  <c r="C21" i="18"/>
  <c r="E20" i="18"/>
  <c r="E19" i="18"/>
  <c r="E18" i="18"/>
  <c r="E17" i="18"/>
  <c r="E16" i="18"/>
  <c r="E15" i="18"/>
  <c r="E14" i="18"/>
  <c r="E335" i="17"/>
  <c r="F335" i="17" s="1"/>
  <c r="E334" i="17"/>
  <c r="F334" i="17" s="1"/>
  <c r="E333" i="17"/>
  <c r="F333" i="17" s="1"/>
  <c r="F332" i="17"/>
  <c r="E332" i="17"/>
  <c r="E331" i="17"/>
  <c r="F331" i="17" s="1"/>
  <c r="F330" i="17"/>
  <c r="E330" i="17"/>
  <c r="F329" i="17"/>
  <c r="E329" i="17"/>
  <c r="F316" i="17"/>
  <c r="E316" i="17"/>
  <c r="D311" i="17"/>
  <c r="E311" i="17"/>
  <c r="C311" i="17"/>
  <c r="F311" i="17" s="1"/>
  <c r="F308" i="17"/>
  <c r="E308" i="17"/>
  <c r="D307" i="17"/>
  <c r="E307" i="17" s="1"/>
  <c r="C307" i="17"/>
  <c r="F307" i="17" s="1"/>
  <c r="D299" i="17"/>
  <c r="C299" i="17"/>
  <c r="D298" i="17"/>
  <c r="C298" i="17"/>
  <c r="D297" i="17"/>
  <c r="C297" i="17"/>
  <c r="D296" i="17"/>
  <c r="C296" i="17"/>
  <c r="D295" i="17"/>
  <c r="C295" i="17"/>
  <c r="E295" i="17" s="1"/>
  <c r="D294" i="17"/>
  <c r="C294" i="17"/>
  <c r="D250" i="17"/>
  <c r="D306" i="17" s="1"/>
  <c r="C250" i="17"/>
  <c r="C306" i="17" s="1"/>
  <c r="E306" i="17" s="1"/>
  <c r="E249" i="17"/>
  <c r="F249" i="17"/>
  <c r="E248" i="17"/>
  <c r="F248" i="17"/>
  <c r="F245" i="17"/>
  <c r="E245" i="17"/>
  <c r="E244" i="17"/>
  <c r="F244" i="17"/>
  <c r="E243" i="17"/>
  <c r="F243" i="17"/>
  <c r="D238" i="17"/>
  <c r="C238" i="17"/>
  <c r="D237" i="17"/>
  <c r="C237" i="17"/>
  <c r="E234" i="17"/>
  <c r="F234" i="17"/>
  <c r="E233" i="17"/>
  <c r="F233" i="17"/>
  <c r="D230" i="17"/>
  <c r="C230" i="17"/>
  <c r="D229" i="17"/>
  <c r="C229" i="17"/>
  <c r="E228" i="17"/>
  <c r="F228" i="17"/>
  <c r="D226" i="17"/>
  <c r="D227" i="17"/>
  <c r="E227" i="17"/>
  <c r="C226" i="17"/>
  <c r="C227" i="17"/>
  <c r="E225" i="17"/>
  <c r="F225" i="17"/>
  <c r="E224" i="17"/>
  <c r="F224" i="17" s="1"/>
  <c r="D223" i="17"/>
  <c r="C223" i="17"/>
  <c r="E222" i="17"/>
  <c r="F222" i="17"/>
  <c r="E221" i="17"/>
  <c r="F221" i="17"/>
  <c r="D204" i="17"/>
  <c r="C204" i="17"/>
  <c r="D203" i="17"/>
  <c r="C203" i="17"/>
  <c r="C283" i="17" s="1"/>
  <c r="D198" i="17"/>
  <c r="C198" i="17"/>
  <c r="D191" i="17"/>
  <c r="D280" i="17" s="1"/>
  <c r="C191" i="17"/>
  <c r="C264" i="17" s="1"/>
  <c r="C280" i="17"/>
  <c r="D189" i="17"/>
  <c r="D278" i="17" s="1"/>
  <c r="C189" i="17"/>
  <c r="C278" i="17" s="1"/>
  <c r="D188" i="17"/>
  <c r="D277" i="17" s="1"/>
  <c r="C188" i="17"/>
  <c r="C277" i="17" s="1"/>
  <c r="D180" i="17"/>
  <c r="C180" i="17"/>
  <c r="F180" i="17"/>
  <c r="D179" i="17"/>
  <c r="C179" i="17"/>
  <c r="D171" i="17"/>
  <c r="D172" i="17" s="1"/>
  <c r="D173" i="17"/>
  <c r="D175" i="17" s="1"/>
  <c r="C171" i="17"/>
  <c r="F171" i="17"/>
  <c r="D170" i="17"/>
  <c r="C170" i="17"/>
  <c r="F169" i="17"/>
  <c r="E169" i="17"/>
  <c r="F168" i="17"/>
  <c r="E168" i="17"/>
  <c r="D165" i="17"/>
  <c r="C165" i="17"/>
  <c r="F165" i="17"/>
  <c r="D164" i="17"/>
  <c r="C164" i="17"/>
  <c r="F164" i="17" s="1"/>
  <c r="F163" i="17"/>
  <c r="E163" i="17"/>
  <c r="D158" i="17"/>
  <c r="D159" i="17"/>
  <c r="D160" i="17" s="1"/>
  <c r="C158" i="17"/>
  <c r="F157" i="17"/>
  <c r="E157" i="17"/>
  <c r="F156" i="17"/>
  <c r="E156" i="17"/>
  <c r="F155" i="17"/>
  <c r="D155" i="17"/>
  <c r="E155" i="17" s="1"/>
  <c r="C155" i="17"/>
  <c r="F154" i="17"/>
  <c r="E154" i="17"/>
  <c r="F153" i="17"/>
  <c r="E153" i="17"/>
  <c r="D145" i="17"/>
  <c r="E145" i="17"/>
  <c r="C145" i="17"/>
  <c r="F145" i="17" s="1"/>
  <c r="D144" i="17"/>
  <c r="C144" i="17"/>
  <c r="C146" i="17"/>
  <c r="D136" i="17"/>
  <c r="C136" i="17"/>
  <c r="C137" i="17" s="1"/>
  <c r="D135" i="17"/>
  <c r="C135" i="17"/>
  <c r="F134" i="17"/>
  <c r="E134" i="17"/>
  <c r="E133" i="17"/>
  <c r="F133" i="17" s="1"/>
  <c r="D130" i="17"/>
  <c r="C130" i="17"/>
  <c r="D129" i="17"/>
  <c r="C129" i="17"/>
  <c r="E128" i="17"/>
  <c r="F128" i="17" s="1"/>
  <c r="D123" i="17"/>
  <c r="D192" i="17"/>
  <c r="D193" i="17" s="1"/>
  <c r="C123" i="17"/>
  <c r="F122" i="17"/>
  <c r="E122" i="17"/>
  <c r="F121" i="17"/>
  <c r="E121" i="17"/>
  <c r="D120" i="17"/>
  <c r="C120" i="17"/>
  <c r="E119" i="17"/>
  <c r="F119" i="17" s="1"/>
  <c r="F118" i="17"/>
  <c r="E118" i="17"/>
  <c r="D110" i="17"/>
  <c r="E110" i="17" s="1"/>
  <c r="F110" i="17"/>
  <c r="C110" i="17"/>
  <c r="C111" i="17" s="1"/>
  <c r="D109" i="17"/>
  <c r="C109" i="17"/>
  <c r="D101" i="17"/>
  <c r="D102" i="17"/>
  <c r="C101" i="17"/>
  <c r="C102" i="17"/>
  <c r="D100" i="17"/>
  <c r="E100" i="17" s="1"/>
  <c r="C100" i="17"/>
  <c r="E99" i="17"/>
  <c r="F99" i="17" s="1"/>
  <c r="F98" i="17"/>
  <c r="E98" i="17"/>
  <c r="D95" i="17"/>
  <c r="E95" i="17" s="1"/>
  <c r="C95" i="17"/>
  <c r="F95" i="17" s="1"/>
  <c r="D94" i="17"/>
  <c r="C94" i="17"/>
  <c r="E93" i="17"/>
  <c r="F93" i="17" s="1"/>
  <c r="D88" i="17"/>
  <c r="D89" i="17"/>
  <c r="E89" i="17" s="1"/>
  <c r="C88" i="17"/>
  <c r="C89" i="17"/>
  <c r="E87" i="17"/>
  <c r="F87" i="17" s="1"/>
  <c r="F86" i="17"/>
  <c r="E86" i="17"/>
  <c r="D85" i="17"/>
  <c r="E85" i="17" s="1"/>
  <c r="F85" i="17" s="1"/>
  <c r="C85" i="17"/>
  <c r="F84" i="17"/>
  <c r="E84" i="17"/>
  <c r="F83" i="17"/>
  <c r="E83" i="17"/>
  <c r="D76" i="17"/>
  <c r="D77" i="17" s="1"/>
  <c r="E77" i="17" s="1"/>
  <c r="C76" i="17"/>
  <c r="C77" i="17" s="1"/>
  <c r="E74" i="17"/>
  <c r="F74" i="17" s="1"/>
  <c r="E73" i="17"/>
  <c r="F73" i="17"/>
  <c r="D67" i="17"/>
  <c r="C67" i="17"/>
  <c r="D66" i="17"/>
  <c r="C66" i="17"/>
  <c r="D59" i="17"/>
  <c r="D60" i="17"/>
  <c r="C59" i="17"/>
  <c r="C60" i="17"/>
  <c r="E60" i="17" s="1"/>
  <c r="D58" i="17"/>
  <c r="C58" i="17"/>
  <c r="E57" i="17"/>
  <c r="F57" i="17" s="1"/>
  <c r="E56" i="17"/>
  <c r="F56" i="17"/>
  <c r="D53" i="17"/>
  <c r="C53" i="17"/>
  <c r="D52" i="17"/>
  <c r="C52" i="17"/>
  <c r="E51" i="17"/>
  <c r="F51" i="17" s="1"/>
  <c r="D47" i="17"/>
  <c r="D48" i="17"/>
  <c r="C47" i="17"/>
  <c r="C48" i="17"/>
  <c r="E46" i="17"/>
  <c r="F46" i="17"/>
  <c r="E45" i="17"/>
  <c r="F45" i="17" s="1"/>
  <c r="D44" i="17"/>
  <c r="C44" i="17"/>
  <c r="E44" i="17"/>
  <c r="E43" i="17"/>
  <c r="F43" i="17"/>
  <c r="E42" i="17"/>
  <c r="F42" i="17"/>
  <c r="D36" i="17"/>
  <c r="E36" i="17" s="1"/>
  <c r="F36" i="17" s="1"/>
  <c r="C36" i="17"/>
  <c r="D35" i="17"/>
  <c r="D37" i="17" s="1"/>
  <c r="C35" i="17"/>
  <c r="D30" i="17"/>
  <c r="D31" i="17"/>
  <c r="C30" i="17"/>
  <c r="C31" i="17" s="1"/>
  <c r="D29" i="17"/>
  <c r="C29" i="17"/>
  <c r="E29" i="17"/>
  <c r="E28" i="17"/>
  <c r="F28" i="17"/>
  <c r="E27" i="17"/>
  <c r="F27" i="17" s="1"/>
  <c r="D24" i="17"/>
  <c r="C24" i="17"/>
  <c r="E24" i="17"/>
  <c r="F24" i="17" s="1"/>
  <c r="D23" i="17"/>
  <c r="E23" i="17" s="1"/>
  <c r="C23" i="17"/>
  <c r="E22" i="17"/>
  <c r="F22" i="17" s="1"/>
  <c r="D20" i="17"/>
  <c r="C20" i="17"/>
  <c r="E19" i="17"/>
  <c r="F19" i="17" s="1"/>
  <c r="E18" i="17"/>
  <c r="F18" i="17" s="1"/>
  <c r="D17" i="17"/>
  <c r="C17" i="17"/>
  <c r="E16" i="17"/>
  <c r="F16" i="17" s="1"/>
  <c r="E15" i="17"/>
  <c r="F15" i="17" s="1"/>
  <c r="D21" i="16"/>
  <c r="E21" i="16" s="1"/>
  <c r="C21" i="16"/>
  <c r="F20" i="16"/>
  <c r="E20" i="16"/>
  <c r="D17" i="16"/>
  <c r="E17" i="16"/>
  <c r="F17" i="16"/>
  <c r="C17" i="16"/>
  <c r="E16" i="16"/>
  <c r="F16" i="16" s="1"/>
  <c r="D13" i="16"/>
  <c r="C13" i="16"/>
  <c r="E12" i="16"/>
  <c r="F12" i="16" s="1"/>
  <c r="D107" i="15"/>
  <c r="E107" i="15"/>
  <c r="C107" i="15"/>
  <c r="E106" i="15"/>
  <c r="F106" i="15" s="1"/>
  <c r="E105" i="15"/>
  <c r="F105" i="15" s="1"/>
  <c r="F104" i="15"/>
  <c r="E104" i="15"/>
  <c r="D100" i="15"/>
  <c r="C100" i="15"/>
  <c r="E99" i="15"/>
  <c r="F99" i="15" s="1"/>
  <c r="E98" i="15"/>
  <c r="F98" i="15" s="1"/>
  <c r="F97" i="15"/>
  <c r="E97" i="15"/>
  <c r="F96" i="15"/>
  <c r="E96" i="15"/>
  <c r="E95" i="15"/>
  <c r="F95" i="15" s="1"/>
  <c r="F92" i="15"/>
  <c r="D92" i="15"/>
  <c r="E92" i="15" s="1"/>
  <c r="C92" i="15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F81" i="15"/>
  <c r="E81" i="15"/>
  <c r="F80" i="15"/>
  <c r="E80" i="15"/>
  <c r="F79" i="15"/>
  <c r="E79" i="15"/>
  <c r="D75" i="15"/>
  <c r="C75" i="15"/>
  <c r="F74" i="15"/>
  <c r="E74" i="15"/>
  <c r="F73" i="15"/>
  <c r="E73" i="15"/>
  <c r="E75" i="15" s="1"/>
  <c r="F75" i="15"/>
  <c r="D70" i="15"/>
  <c r="E70" i="15"/>
  <c r="C70" i="15"/>
  <c r="F69" i="15"/>
  <c r="E69" i="15"/>
  <c r="E68" i="15"/>
  <c r="F68" i="15" s="1"/>
  <c r="D65" i="15"/>
  <c r="E65" i="15"/>
  <c r="F65" i="15" s="1"/>
  <c r="C65" i="15"/>
  <c r="F64" i="15"/>
  <c r="E64" i="15"/>
  <c r="E63" i="15"/>
  <c r="F63" i="15" s="1"/>
  <c r="D60" i="15"/>
  <c r="C60" i="15"/>
  <c r="F59" i="15"/>
  <c r="E59" i="15"/>
  <c r="F58" i="15"/>
  <c r="E58" i="15"/>
  <c r="D55" i="15"/>
  <c r="E55" i="15"/>
  <c r="F55" i="15"/>
  <c r="C55" i="15"/>
  <c r="F54" i="15"/>
  <c r="E54" i="15"/>
  <c r="E53" i="15"/>
  <c r="F53" i="15" s="1"/>
  <c r="D50" i="15"/>
  <c r="C50" i="15"/>
  <c r="E50" i="15" s="1"/>
  <c r="F49" i="15"/>
  <c r="E49" i="15"/>
  <c r="E48" i="15"/>
  <c r="F48" i="15" s="1"/>
  <c r="D45" i="15"/>
  <c r="E45" i="15"/>
  <c r="C45" i="15"/>
  <c r="F45" i="15" s="1"/>
  <c r="F44" i="15"/>
  <c r="E44" i="15"/>
  <c r="F43" i="15"/>
  <c r="E43" i="15"/>
  <c r="D37" i="15"/>
  <c r="C37" i="15"/>
  <c r="F37" i="15" s="1"/>
  <c r="F36" i="15"/>
  <c r="E36" i="15"/>
  <c r="F35" i="15"/>
  <c r="E35" i="15"/>
  <c r="F34" i="15"/>
  <c r="E34" i="15"/>
  <c r="F33" i="15"/>
  <c r="E33" i="15"/>
  <c r="D30" i="15"/>
  <c r="C30" i="15"/>
  <c r="F30" i="15" s="1"/>
  <c r="F29" i="15"/>
  <c r="E29" i="15"/>
  <c r="F28" i="15"/>
  <c r="E28" i="15"/>
  <c r="F27" i="15"/>
  <c r="E27" i="15"/>
  <c r="F26" i="15"/>
  <c r="E26" i="15"/>
  <c r="D23" i="15"/>
  <c r="E23" i="15" s="1"/>
  <c r="F23" i="15" s="1"/>
  <c r="C23" i="15"/>
  <c r="F22" i="15"/>
  <c r="E22" i="15"/>
  <c r="E21" i="15"/>
  <c r="F21" i="15" s="1"/>
  <c r="F20" i="15"/>
  <c r="E20" i="15"/>
  <c r="E19" i="15"/>
  <c r="F19" i="15" s="1"/>
  <c r="D16" i="15"/>
  <c r="C16" i="15"/>
  <c r="F15" i="15"/>
  <c r="E15" i="15"/>
  <c r="E14" i="15"/>
  <c r="F14" i="15" s="1"/>
  <c r="F13" i="15"/>
  <c r="E13" i="15"/>
  <c r="E12" i="15"/>
  <c r="F12" i="15" s="1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/>
  <c r="F17" i="14"/>
  <c r="F33" i="14" s="1"/>
  <c r="E17" i="14"/>
  <c r="E31" i="14"/>
  <c r="D17" i="14"/>
  <c r="D33" i="14" s="1"/>
  <c r="D36" i="14" s="1"/>
  <c r="D38" i="14" s="1"/>
  <c r="D40" i="14" s="1"/>
  <c r="C17" i="14"/>
  <c r="C31" i="14"/>
  <c r="I16" i="14"/>
  <c r="H16" i="14"/>
  <c r="I15" i="14"/>
  <c r="H15" i="14"/>
  <c r="I13" i="14"/>
  <c r="H13" i="14"/>
  <c r="I11" i="14"/>
  <c r="H11" i="14"/>
  <c r="E79" i="13"/>
  <c r="E80" i="13" s="1"/>
  <c r="E77" i="13" s="1"/>
  <c r="D79" i="13"/>
  <c r="C79" i="13"/>
  <c r="E78" i="13"/>
  <c r="D78" i="13"/>
  <c r="D80" i="13"/>
  <c r="D77" i="13"/>
  <c r="C78" i="13"/>
  <c r="C80" i="13" s="1"/>
  <c r="C77" i="13" s="1"/>
  <c r="E75" i="13"/>
  <c r="C75" i="13"/>
  <c r="E73" i="13"/>
  <c r="D73" i="13"/>
  <c r="D75" i="13" s="1"/>
  <c r="C73" i="13"/>
  <c r="E71" i="13"/>
  <c r="D71" i="13"/>
  <c r="C71" i="13"/>
  <c r="E66" i="13"/>
  <c r="E65" i="13" s="1"/>
  <c r="D66" i="13"/>
  <c r="D65" i="13" s="1"/>
  <c r="C66" i="13"/>
  <c r="C65" i="13" s="1"/>
  <c r="E60" i="13"/>
  <c r="D60" i="13"/>
  <c r="C60" i="13"/>
  <c r="E58" i="13"/>
  <c r="D58" i="13"/>
  <c r="C58" i="13"/>
  <c r="E55" i="13"/>
  <c r="D55" i="13"/>
  <c r="C55" i="13"/>
  <c r="E54" i="13"/>
  <c r="E50" i="13"/>
  <c r="D54" i="13"/>
  <c r="D50" i="13" s="1"/>
  <c r="C54" i="13"/>
  <c r="C50" i="13" s="1"/>
  <c r="E46" i="13"/>
  <c r="D46" i="13"/>
  <c r="D59" i="13" s="1"/>
  <c r="D61" i="13"/>
  <c r="D57" i="13" s="1"/>
  <c r="C46" i="13"/>
  <c r="C48" i="13" s="1"/>
  <c r="C42" i="13" s="1"/>
  <c r="E45" i="13"/>
  <c r="D45" i="13"/>
  <c r="C45" i="13"/>
  <c r="E38" i="13"/>
  <c r="D38" i="13"/>
  <c r="C38" i="13"/>
  <c r="E33" i="13"/>
  <c r="E34" i="13" s="1"/>
  <c r="D33" i="13"/>
  <c r="D34" i="13"/>
  <c r="E26" i="13"/>
  <c r="D26" i="13"/>
  <c r="C26" i="13"/>
  <c r="C15" i="13"/>
  <c r="C24" i="13"/>
  <c r="E13" i="13"/>
  <c r="D13" i="13"/>
  <c r="C13" i="13"/>
  <c r="C25" i="13" s="1"/>
  <c r="C27" i="13" s="1"/>
  <c r="D47" i="12"/>
  <c r="E47" i="12" s="1"/>
  <c r="C47" i="12"/>
  <c r="F47" i="12" s="1"/>
  <c r="F46" i="12"/>
  <c r="E46" i="12"/>
  <c r="F45" i="12"/>
  <c r="E45" i="12"/>
  <c r="D40" i="12"/>
  <c r="C40" i="12"/>
  <c r="F39" i="12"/>
  <c r="E39" i="12"/>
  <c r="E38" i="12"/>
  <c r="F38" i="12" s="1"/>
  <c r="F37" i="12"/>
  <c r="E37" i="12"/>
  <c r="D32" i="12"/>
  <c r="E32" i="12" s="1"/>
  <c r="F32" i="12" s="1"/>
  <c r="C32" i="12"/>
  <c r="E31" i="12"/>
  <c r="F31" i="12" s="1"/>
  <c r="E30" i="12"/>
  <c r="F30" i="12" s="1"/>
  <c r="E29" i="12"/>
  <c r="F29" i="12" s="1"/>
  <c r="F28" i="12"/>
  <c r="E28" i="12"/>
  <c r="E27" i="12"/>
  <c r="F27" i="12" s="1"/>
  <c r="E26" i="12"/>
  <c r="F26" i="12" s="1"/>
  <c r="F25" i="12"/>
  <c r="E25" i="12"/>
  <c r="F24" i="12"/>
  <c r="E24" i="12"/>
  <c r="E23" i="12"/>
  <c r="F23" i="12" s="1"/>
  <c r="F19" i="12"/>
  <c r="E19" i="12"/>
  <c r="F18" i="12"/>
  <c r="E18" i="12"/>
  <c r="F16" i="12"/>
  <c r="E16" i="12"/>
  <c r="D15" i="12"/>
  <c r="D17" i="12" s="1"/>
  <c r="C15" i="12"/>
  <c r="C17" i="12"/>
  <c r="E14" i="12"/>
  <c r="F14" i="12" s="1"/>
  <c r="F13" i="12"/>
  <c r="E13" i="12"/>
  <c r="F12" i="12"/>
  <c r="E12" i="12"/>
  <c r="F11" i="12"/>
  <c r="E11" i="12"/>
  <c r="D73" i="11"/>
  <c r="E73" i="11"/>
  <c r="F73" i="11" s="1"/>
  <c r="C73" i="11"/>
  <c r="E72" i="11"/>
  <c r="F72" i="11" s="1"/>
  <c r="E71" i="11"/>
  <c r="F71" i="11" s="1"/>
  <c r="E70" i="11"/>
  <c r="F70" i="11" s="1"/>
  <c r="F67" i="11"/>
  <c r="E67" i="11"/>
  <c r="E64" i="11"/>
  <c r="F64" i="11" s="1"/>
  <c r="F63" i="11"/>
  <c r="E63" i="11"/>
  <c r="D61" i="11"/>
  <c r="D65" i="11" s="1"/>
  <c r="D75" i="11" s="1"/>
  <c r="C61" i="11"/>
  <c r="C65" i="11" s="1"/>
  <c r="E60" i="11"/>
  <c r="F60" i="11" s="1"/>
  <c r="E59" i="11"/>
  <c r="F59" i="11" s="1"/>
  <c r="D56" i="11"/>
  <c r="C56" i="11"/>
  <c r="F55" i="11"/>
  <c r="E55" i="11"/>
  <c r="E54" i="11"/>
  <c r="F54" i="11" s="1"/>
  <c r="F53" i="11"/>
  <c r="E53" i="11"/>
  <c r="F52" i="11"/>
  <c r="E52" i="11"/>
  <c r="E51" i="11"/>
  <c r="F51" i="11" s="1"/>
  <c r="A51" i="11"/>
  <c r="A52" i="11" s="1"/>
  <c r="A53" i="11" s="1"/>
  <c r="A54" i="11" s="1"/>
  <c r="A55" i="11" s="1"/>
  <c r="E50" i="11"/>
  <c r="F50" i="11"/>
  <c r="A50" i="11"/>
  <c r="F49" i="11"/>
  <c r="E49" i="11"/>
  <c r="F40" i="11"/>
  <c r="E40" i="11"/>
  <c r="D38" i="11"/>
  <c r="D41" i="11" s="1"/>
  <c r="C38" i="11"/>
  <c r="C41" i="11" s="1"/>
  <c r="F37" i="11"/>
  <c r="E37" i="11"/>
  <c r="E36" i="11"/>
  <c r="F36" i="11" s="1"/>
  <c r="E33" i="11"/>
  <c r="F33" i="11" s="1"/>
  <c r="F32" i="11"/>
  <c r="E32" i="11"/>
  <c r="F31" i="11"/>
  <c r="E31" i="11"/>
  <c r="D29" i="11"/>
  <c r="E29" i="11" s="1"/>
  <c r="C29" i="11"/>
  <c r="F28" i="11"/>
  <c r="E28" i="11"/>
  <c r="F27" i="11"/>
  <c r="E27" i="11"/>
  <c r="F26" i="11"/>
  <c r="E26" i="11"/>
  <c r="E25" i="11"/>
  <c r="F25" i="11" s="1"/>
  <c r="D22" i="11"/>
  <c r="D43" i="11" s="1"/>
  <c r="C22" i="11"/>
  <c r="E21" i="11"/>
  <c r="F21" i="11" s="1"/>
  <c r="F20" i="11"/>
  <c r="E20" i="11"/>
  <c r="F19" i="11"/>
  <c r="E19" i="11"/>
  <c r="F18" i="11"/>
  <c r="E18" i="11"/>
  <c r="F17" i="11"/>
  <c r="E17" i="11"/>
  <c r="F16" i="11"/>
  <c r="E16" i="11"/>
  <c r="F15" i="11"/>
  <c r="E15" i="11"/>
  <c r="F14" i="11"/>
  <c r="E14" i="11"/>
  <c r="E13" i="11"/>
  <c r="F13" i="11" s="1"/>
  <c r="D120" i="10"/>
  <c r="C120" i="10"/>
  <c r="D119" i="10"/>
  <c r="E119" i="10" s="1"/>
  <c r="C119" i="10"/>
  <c r="D118" i="10"/>
  <c r="C118" i="10"/>
  <c r="D117" i="10"/>
  <c r="E117" i="10" s="1"/>
  <c r="C117" i="10"/>
  <c r="F117" i="10" s="1"/>
  <c r="D116" i="10"/>
  <c r="E116" i="10"/>
  <c r="C116" i="10"/>
  <c r="D115" i="10"/>
  <c r="E115" i="10" s="1"/>
  <c r="C115" i="10"/>
  <c r="F115" i="10" s="1"/>
  <c r="D114" i="10"/>
  <c r="E114" i="10" s="1"/>
  <c r="C114" i="10"/>
  <c r="F114" i="10" s="1"/>
  <c r="D113" i="10"/>
  <c r="D122" i="10" s="1"/>
  <c r="E122" i="10" s="1"/>
  <c r="C113" i="10"/>
  <c r="C122" i="10"/>
  <c r="D112" i="10"/>
  <c r="D121" i="10"/>
  <c r="C112" i="10"/>
  <c r="D108" i="10"/>
  <c r="F108" i="10"/>
  <c r="C108" i="10"/>
  <c r="E108" i="10" s="1"/>
  <c r="D107" i="10"/>
  <c r="E107" i="10"/>
  <c r="F107" i="10"/>
  <c r="C107" i="10"/>
  <c r="E106" i="10"/>
  <c r="F106" i="10" s="1"/>
  <c r="F105" i="10"/>
  <c r="E105" i="10"/>
  <c r="F104" i="10"/>
  <c r="E104" i="10"/>
  <c r="F103" i="10"/>
  <c r="E103" i="10"/>
  <c r="E102" i="10"/>
  <c r="F102" i="10" s="1"/>
  <c r="F101" i="10"/>
  <c r="E101" i="10"/>
  <c r="E100" i="10"/>
  <c r="F100" i="10" s="1"/>
  <c r="F99" i="10"/>
  <c r="E99" i="10"/>
  <c r="E98" i="10"/>
  <c r="F98" i="10" s="1"/>
  <c r="D96" i="10"/>
  <c r="E96" i="10" s="1"/>
  <c r="F96" i="10" s="1"/>
  <c r="C96" i="10"/>
  <c r="D95" i="10"/>
  <c r="E95" i="10" s="1"/>
  <c r="C95" i="10"/>
  <c r="F94" i="10"/>
  <c r="E94" i="10"/>
  <c r="F93" i="10"/>
  <c r="E93" i="10"/>
  <c r="F92" i="10"/>
  <c r="E92" i="10"/>
  <c r="E91" i="10"/>
  <c r="F91" i="10" s="1"/>
  <c r="E90" i="10"/>
  <c r="F90" i="10" s="1"/>
  <c r="F89" i="10"/>
  <c r="E89" i="10"/>
  <c r="F88" i="10"/>
  <c r="E88" i="10"/>
  <c r="E87" i="10"/>
  <c r="F87" i="10" s="1"/>
  <c r="F86" i="10"/>
  <c r="E86" i="10"/>
  <c r="F84" i="10"/>
  <c r="D84" i="10"/>
  <c r="E84" i="10" s="1"/>
  <c r="C84" i="10"/>
  <c r="D83" i="10"/>
  <c r="C83" i="10"/>
  <c r="F83" i="10" s="1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2" i="10"/>
  <c r="D72" i="10"/>
  <c r="E72" i="10" s="1"/>
  <c r="C72" i="10"/>
  <c r="F71" i="10"/>
  <c r="D71" i="10"/>
  <c r="E71" i="10"/>
  <c r="C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C60" i="10"/>
  <c r="F59" i="10"/>
  <c r="D59" i="10"/>
  <c r="E59" i="10" s="1"/>
  <c r="C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8" i="10"/>
  <c r="D48" i="10"/>
  <c r="E48" i="10" s="1"/>
  <c r="C48" i="10"/>
  <c r="F47" i="10"/>
  <c r="D47" i="10"/>
  <c r="E47" i="10" s="1"/>
  <c r="C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E36" i="10" s="1"/>
  <c r="F36" i="10" s="1"/>
  <c r="C36" i="10"/>
  <c r="D35" i="10"/>
  <c r="C35" i="10"/>
  <c r="E35" i="10" s="1"/>
  <c r="E34" i="10"/>
  <c r="F34" i="10" s="1"/>
  <c r="F33" i="10"/>
  <c r="E33" i="10"/>
  <c r="E32" i="10"/>
  <c r="F32" i="10" s="1"/>
  <c r="E31" i="10"/>
  <c r="F31" i="10" s="1"/>
  <c r="F30" i="10"/>
  <c r="E30" i="10"/>
  <c r="F29" i="10"/>
  <c r="E29" i="10"/>
  <c r="E28" i="10"/>
  <c r="F28" i="10" s="1"/>
  <c r="E27" i="10"/>
  <c r="F27" i="10" s="1"/>
  <c r="E26" i="10"/>
  <c r="F26" i="10" s="1"/>
  <c r="F24" i="10"/>
  <c r="D24" i="10"/>
  <c r="E24" i="10" s="1"/>
  <c r="C24" i="10"/>
  <c r="D23" i="10"/>
  <c r="E23" i="10"/>
  <c r="C23" i="10"/>
  <c r="F23" i="10" s="1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C206" i="9"/>
  <c r="E206" i="9" s="1"/>
  <c r="F206" i="9"/>
  <c r="F205" i="9"/>
  <c r="D205" i="9"/>
  <c r="E205" i="9" s="1"/>
  <c r="C205" i="9"/>
  <c r="D204" i="9"/>
  <c r="E204" i="9"/>
  <c r="C204" i="9"/>
  <c r="F204" i="9" s="1"/>
  <c r="F203" i="9"/>
  <c r="D203" i="9"/>
  <c r="E203" i="9"/>
  <c r="C203" i="9"/>
  <c r="D202" i="9"/>
  <c r="C202" i="9"/>
  <c r="F201" i="9"/>
  <c r="D201" i="9"/>
  <c r="E201" i="9" s="1"/>
  <c r="C201" i="9"/>
  <c r="D200" i="9"/>
  <c r="C200" i="9"/>
  <c r="F199" i="9"/>
  <c r="D199" i="9"/>
  <c r="D208" i="9" s="1"/>
  <c r="C199" i="9"/>
  <c r="C208" i="9" s="1"/>
  <c r="F208" i="9" s="1"/>
  <c r="F198" i="9"/>
  <c r="D198" i="9"/>
  <c r="D207" i="9"/>
  <c r="C198" i="9"/>
  <c r="D193" i="9"/>
  <c r="E193" i="9" s="1"/>
  <c r="C193" i="9"/>
  <c r="F193" i="9" s="1"/>
  <c r="F192" i="9"/>
  <c r="D192" i="9"/>
  <c r="E192" i="9" s="1"/>
  <c r="C192" i="9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D180" i="9"/>
  <c r="C180" i="9"/>
  <c r="F180" i="9" s="1"/>
  <c r="D179" i="9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F167" i="9"/>
  <c r="D167" i="9"/>
  <c r="E167" i="9" s="1"/>
  <c r="C167" i="9"/>
  <c r="D166" i="9"/>
  <c r="E166" i="9" s="1"/>
  <c r="C166" i="9"/>
  <c r="F166" i="9" s="1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C154" i="9"/>
  <c r="D153" i="9"/>
  <c r="E153" i="9"/>
  <c r="C153" i="9"/>
  <c r="F153" i="9" s="1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E141" i="9"/>
  <c r="C141" i="9"/>
  <c r="F141" i="9" s="1"/>
  <c r="F140" i="9"/>
  <c r="D140" i="9"/>
  <c r="E140" i="9" s="1"/>
  <c r="C140" i="9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D128" i="9"/>
  <c r="E128" i="9" s="1"/>
  <c r="C128" i="9"/>
  <c r="F128" i="9" s="1"/>
  <c r="D127" i="9"/>
  <c r="C127" i="9"/>
  <c r="F126" i="9"/>
  <c r="E126" i="9"/>
  <c r="F125" i="9"/>
  <c r="E125" i="9"/>
  <c r="F124" i="9"/>
  <c r="E124" i="9"/>
  <c r="F123" i="9"/>
  <c r="E123" i="9"/>
  <c r="F122" i="9"/>
  <c r="E122" i="9"/>
  <c r="F121" i="9"/>
  <c r="E121" i="9"/>
  <c r="F120" i="9"/>
  <c r="E120" i="9"/>
  <c r="F119" i="9"/>
  <c r="E119" i="9"/>
  <c r="F118" i="9"/>
  <c r="E118" i="9"/>
  <c r="F115" i="9"/>
  <c r="D115" i="9"/>
  <c r="E115" i="9" s="1"/>
  <c r="C115" i="9"/>
  <c r="D114" i="9"/>
  <c r="C114" i="9"/>
  <c r="F114" i="9" s="1"/>
  <c r="F113" i="9"/>
  <c r="E113" i="9"/>
  <c r="F112" i="9"/>
  <c r="E112" i="9"/>
  <c r="F111" i="9"/>
  <c r="E111" i="9"/>
  <c r="F110" i="9"/>
  <c r="E110" i="9"/>
  <c r="F109" i="9"/>
  <c r="E109" i="9"/>
  <c r="F108" i="9"/>
  <c r="E108" i="9"/>
  <c r="F107" i="9"/>
  <c r="E107" i="9"/>
  <c r="F106" i="9"/>
  <c r="E106" i="9"/>
  <c r="F105" i="9"/>
  <c r="E105" i="9"/>
  <c r="D102" i="9"/>
  <c r="C102" i="9"/>
  <c r="D101" i="9"/>
  <c r="E101" i="9"/>
  <c r="C101" i="9"/>
  <c r="F101" i="9" s="1"/>
  <c r="F100" i="9"/>
  <c r="E100" i="9"/>
  <c r="F99" i="9"/>
  <c r="E99" i="9"/>
  <c r="F98" i="9"/>
  <c r="E98" i="9"/>
  <c r="F97" i="9"/>
  <c r="E97" i="9"/>
  <c r="F96" i="9"/>
  <c r="E96" i="9"/>
  <c r="F95" i="9"/>
  <c r="E95" i="9"/>
  <c r="F94" i="9"/>
  <c r="E94" i="9"/>
  <c r="F93" i="9"/>
  <c r="E93" i="9"/>
  <c r="F92" i="9"/>
  <c r="E92" i="9"/>
  <c r="D89" i="9"/>
  <c r="E89" i="9"/>
  <c r="C89" i="9"/>
  <c r="F89" i="9" s="1"/>
  <c r="F88" i="9"/>
  <c r="D88" i="9"/>
  <c r="E88" i="9" s="1"/>
  <c r="C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E76" i="9" s="1"/>
  <c r="C76" i="9"/>
  <c r="F76" i="9" s="1"/>
  <c r="D75" i="9"/>
  <c r="C75" i="9"/>
  <c r="F74" i="9"/>
  <c r="E74" i="9"/>
  <c r="F73" i="9"/>
  <c r="E73" i="9"/>
  <c r="F72" i="9"/>
  <c r="E72" i="9"/>
  <c r="F71" i="9"/>
  <c r="E71" i="9"/>
  <c r="F70" i="9"/>
  <c r="E70" i="9"/>
  <c r="F69" i="9"/>
  <c r="E69" i="9"/>
  <c r="F68" i="9"/>
  <c r="E68" i="9"/>
  <c r="F67" i="9"/>
  <c r="E67" i="9"/>
  <c r="F66" i="9"/>
  <c r="E66" i="9"/>
  <c r="F63" i="9"/>
  <c r="D63" i="9"/>
  <c r="E63" i="9" s="1"/>
  <c r="C63" i="9"/>
  <c r="D62" i="9"/>
  <c r="E62" i="9" s="1"/>
  <c r="C62" i="9"/>
  <c r="F62" i="9" s="1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C50" i="9"/>
  <c r="D49" i="9"/>
  <c r="E49" i="9"/>
  <c r="C49" i="9"/>
  <c r="F49" i="9" s="1"/>
  <c r="F48" i="9"/>
  <c r="E48" i="9"/>
  <c r="F47" i="9"/>
  <c r="E47" i="9"/>
  <c r="F46" i="9"/>
  <c r="E46" i="9"/>
  <c r="F45" i="9"/>
  <c r="E45" i="9"/>
  <c r="F44" i="9"/>
  <c r="E44" i="9"/>
  <c r="F43" i="9"/>
  <c r="E43" i="9"/>
  <c r="F42" i="9"/>
  <c r="E42" i="9"/>
  <c r="F41" i="9"/>
  <c r="E41" i="9"/>
  <c r="F40" i="9"/>
  <c r="E40" i="9"/>
  <c r="D37" i="9"/>
  <c r="E37" i="9"/>
  <c r="C37" i="9"/>
  <c r="F37" i="9" s="1"/>
  <c r="F36" i="9"/>
  <c r="D36" i="9"/>
  <c r="E36" i="9" s="1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C24" i="9"/>
  <c r="F24" i="9" s="1"/>
  <c r="D23" i="9"/>
  <c r="C23" i="9"/>
  <c r="F22" i="9"/>
  <c r="E22" i="9"/>
  <c r="F21" i="9"/>
  <c r="E21" i="9"/>
  <c r="F20" i="9"/>
  <c r="E20" i="9"/>
  <c r="F19" i="9"/>
  <c r="E19" i="9"/>
  <c r="F18" i="9"/>
  <c r="E18" i="9"/>
  <c r="F17" i="9"/>
  <c r="E17" i="9"/>
  <c r="F16" i="9"/>
  <c r="E16" i="9"/>
  <c r="F15" i="9"/>
  <c r="E15" i="9"/>
  <c r="F14" i="9"/>
  <c r="E14" i="9"/>
  <c r="E191" i="8"/>
  <c r="D191" i="8"/>
  <c r="C191" i="8"/>
  <c r="E176" i="8"/>
  <c r="D176" i="8"/>
  <c r="C176" i="8"/>
  <c r="E164" i="8"/>
  <c r="E160" i="8" s="1"/>
  <c r="E166" i="8" s="1"/>
  <c r="D164" i="8"/>
  <c r="D160" i="8" s="1"/>
  <c r="C164" i="8"/>
  <c r="C160" i="8" s="1"/>
  <c r="E162" i="8"/>
  <c r="D162" i="8"/>
  <c r="C162" i="8"/>
  <c r="E161" i="8"/>
  <c r="D161" i="8"/>
  <c r="C161" i="8"/>
  <c r="E147" i="8"/>
  <c r="D147" i="8"/>
  <c r="D143" i="8"/>
  <c r="D149" i="8" s="1"/>
  <c r="D139" i="8" s="1"/>
  <c r="C147" i="8"/>
  <c r="C143" i="8" s="1"/>
  <c r="C149" i="8" s="1"/>
  <c r="C135" i="8" s="1"/>
  <c r="E145" i="8"/>
  <c r="D145" i="8"/>
  <c r="C145" i="8"/>
  <c r="E144" i="8"/>
  <c r="D144" i="8"/>
  <c r="C144" i="8"/>
  <c r="E143" i="8"/>
  <c r="E149" i="8"/>
  <c r="E126" i="8"/>
  <c r="D126" i="8"/>
  <c r="C126" i="8"/>
  <c r="E119" i="8"/>
  <c r="D119" i="8"/>
  <c r="C119" i="8"/>
  <c r="E108" i="8"/>
  <c r="D108" i="8"/>
  <c r="C108" i="8"/>
  <c r="E107" i="8"/>
  <c r="E109" i="8"/>
  <c r="E106" i="8" s="1"/>
  <c r="D107" i="8"/>
  <c r="D109" i="8" s="1"/>
  <c r="D106" i="8" s="1"/>
  <c r="C107" i="8"/>
  <c r="C109" i="8"/>
  <c r="C106" i="8"/>
  <c r="E104" i="8"/>
  <c r="C104" i="8"/>
  <c r="E102" i="8"/>
  <c r="D102" i="8"/>
  <c r="D104" i="8" s="1"/>
  <c r="C102" i="8"/>
  <c r="E100" i="8"/>
  <c r="D100" i="8"/>
  <c r="C100" i="8"/>
  <c r="E95" i="8"/>
  <c r="E94" i="8"/>
  <c r="D95" i="8"/>
  <c r="D94" i="8" s="1"/>
  <c r="C95" i="8"/>
  <c r="C94" i="8"/>
  <c r="E89" i="8"/>
  <c r="D89" i="8"/>
  <c r="D90" i="8" s="1"/>
  <c r="D86" i="8" s="1"/>
  <c r="C89" i="8"/>
  <c r="E87" i="8"/>
  <c r="D87" i="8"/>
  <c r="C87" i="8"/>
  <c r="E84" i="8"/>
  <c r="D84" i="8"/>
  <c r="C84" i="8"/>
  <c r="C79" i="8" s="1"/>
  <c r="E83" i="8"/>
  <c r="E79" i="8"/>
  <c r="D83" i="8"/>
  <c r="D79" i="8" s="1"/>
  <c r="C83" i="8"/>
  <c r="C77" i="8"/>
  <c r="C71" i="8"/>
  <c r="E75" i="8"/>
  <c r="E77" i="8" s="1"/>
  <c r="E71" i="8" s="1"/>
  <c r="E88" i="8"/>
  <c r="E90" i="8" s="1"/>
  <c r="E86" i="8" s="1"/>
  <c r="D75" i="8"/>
  <c r="D88" i="8"/>
  <c r="C75" i="8"/>
  <c r="C88" i="8"/>
  <c r="E74" i="8"/>
  <c r="D74" i="8"/>
  <c r="C74" i="8"/>
  <c r="E67" i="8"/>
  <c r="D67" i="8"/>
  <c r="C67" i="8"/>
  <c r="E38" i="8"/>
  <c r="E57" i="8"/>
  <c r="E62" i="8"/>
  <c r="D38" i="8"/>
  <c r="C38" i="8"/>
  <c r="C57" i="8" s="1"/>
  <c r="C62" i="8" s="1"/>
  <c r="E33" i="8"/>
  <c r="E34" i="8"/>
  <c r="D33" i="8"/>
  <c r="D34" i="8" s="1"/>
  <c r="E26" i="8"/>
  <c r="D26" i="8"/>
  <c r="C26" i="8"/>
  <c r="E15" i="8"/>
  <c r="E24" i="8"/>
  <c r="E13" i="8"/>
  <c r="E25" i="8" s="1"/>
  <c r="E27" i="8" s="1"/>
  <c r="E20" i="8" s="1"/>
  <c r="D13" i="8"/>
  <c r="C13" i="8"/>
  <c r="C15" i="8" s="1"/>
  <c r="C24" i="8" s="1"/>
  <c r="F186" i="7"/>
  <c r="E186" i="7"/>
  <c r="D183" i="7"/>
  <c r="C183" i="7"/>
  <c r="F182" i="7"/>
  <c r="E182" i="7"/>
  <c r="F181" i="7"/>
  <c r="E181" i="7"/>
  <c r="F180" i="7"/>
  <c r="E180" i="7"/>
  <c r="F179" i="7"/>
  <c r="E179" i="7"/>
  <c r="F178" i="7"/>
  <c r="E178" i="7"/>
  <c r="F177" i="7"/>
  <c r="E177" i="7"/>
  <c r="F176" i="7"/>
  <c r="E176" i="7"/>
  <c r="F175" i="7"/>
  <c r="E175" i="7"/>
  <c r="F174" i="7"/>
  <c r="E174" i="7"/>
  <c r="F173" i="7"/>
  <c r="E173" i="7"/>
  <c r="F172" i="7"/>
  <c r="E172" i="7"/>
  <c r="F171" i="7"/>
  <c r="E171" i="7"/>
  <c r="F170" i="7"/>
  <c r="E170" i="7"/>
  <c r="D167" i="7"/>
  <c r="E167" i="7" s="1"/>
  <c r="C167" i="7"/>
  <c r="E166" i="7"/>
  <c r="F166" i="7" s="1"/>
  <c r="F165" i="7"/>
  <c r="E165" i="7"/>
  <c r="F164" i="7"/>
  <c r="E164" i="7"/>
  <c r="E163" i="7"/>
  <c r="F163" i="7" s="1"/>
  <c r="F162" i="7"/>
  <c r="E162" i="7"/>
  <c r="F161" i="7"/>
  <c r="E161" i="7"/>
  <c r="F160" i="7"/>
  <c r="E160" i="7"/>
  <c r="F159" i="7"/>
  <c r="E159" i="7"/>
  <c r="F158" i="7"/>
  <c r="E158" i="7"/>
  <c r="F157" i="7"/>
  <c r="E157" i="7"/>
  <c r="F156" i="7"/>
  <c r="E156" i="7"/>
  <c r="F155" i="7"/>
  <c r="E155" i="7"/>
  <c r="F154" i="7"/>
  <c r="E154" i="7"/>
  <c r="F153" i="7"/>
  <c r="E153" i="7"/>
  <c r="F152" i="7"/>
  <c r="E152" i="7"/>
  <c r="E151" i="7"/>
  <c r="F151" i="7" s="1"/>
  <c r="E150" i="7"/>
  <c r="F150" i="7" s="1"/>
  <c r="E149" i="7"/>
  <c r="F149" i="7" s="1"/>
  <c r="F148" i="7"/>
  <c r="E148" i="7"/>
  <c r="E147" i="7"/>
  <c r="F147" i="7" s="1"/>
  <c r="E146" i="7"/>
  <c r="F146" i="7" s="1"/>
  <c r="F145" i="7"/>
  <c r="E145" i="7"/>
  <c r="F144" i="7"/>
  <c r="E144" i="7"/>
  <c r="F143" i="7"/>
  <c r="E143" i="7"/>
  <c r="E142" i="7"/>
  <c r="F142" i="7" s="1"/>
  <c r="F141" i="7"/>
  <c r="E141" i="7"/>
  <c r="F140" i="7"/>
  <c r="E140" i="7"/>
  <c r="F139" i="7"/>
  <c r="E139" i="7"/>
  <c r="E138" i="7"/>
  <c r="F138" i="7" s="1"/>
  <c r="F137" i="7"/>
  <c r="E137" i="7"/>
  <c r="F136" i="7"/>
  <c r="E136" i="7"/>
  <c r="E135" i="7"/>
  <c r="F135" i="7" s="1"/>
  <c r="F134" i="7"/>
  <c r="E134" i="7"/>
  <c r="E133" i="7"/>
  <c r="F133" i="7" s="1"/>
  <c r="D130" i="7"/>
  <c r="E130" i="7" s="1"/>
  <c r="C130" i="7"/>
  <c r="F129" i="7"/>
  <c r="E129" i="7"/>
  <c r="F128" i="7"/>
  <c r="E128" i="7"/>
  <c r="F127" i="7"/>
  <c r="E127" i="7"/>
  <c r="E126" i="7"/>
  <c r="F126" i="7" s="1"/>
  <c r="E125" i="7"/>
  <c r="F125" i="7" s="1"/>
  <c r="E124" i="7"/>
  <c r="F124" i="7" s="1"/>
  <c r="D121" i="7"/>
  <c r="C121" i="7"/>
  <c r="E120" i="7"/>
  <c r="F120" i="7" s="1"/>
  <c r="F119" i="7"/>
  <c r="E119" i="7"/>
  <c r="F118" i="7"/>
  <c r="E118" i="7"/>
  <c r="E117" i="7"/>
  <c r="F117" i="7" s="1"/>
  <c r="E116" i="7"/>
  <c r="F116" i="7" s="1"/>
  <c r="E115" i="7"/>
  <c r="F115" i="7" s="1"/>
  <c r="F114" i="7"/>
  <c r="E114" i="7"/>
  <c r="F113" i="7"/>
  <c r="E113" i="7"/>
  <c r="E112" i="7"/>
  <c r="F112" i="7" s="1"/>
  <c r="E111" i="7"/>
  <c r="F111" i="7" s="1"/>
  <c r="F110" i="7"/>
  <c r="E110" i="7"/>
  <c r="F109" i="7"/>
  <c r="E109" i="7"/>
  <c r="E108" i="7"/>
  <c r="F108" i="7" s="1"/>
  <c r="E107" i="7"/>
  <c r="F107" i="7" s="1"/>
  <c r="F106" i="7"/>
  <c r="E106" i="7"/>
  <c r="F105" i="7"/>
  <c r="E105" i="7"/>
  <c r="E104" i="7"/>
  <c r="F104" i="7" s="1"/>
  <c r="F103" i="7"/>
  <c r="E103" i="7"/>
  <c r="F93" i="7"/>
  <c r="E93" i="7"/>
  <c r="D90" i="7"/>
  <c r="C90" i="7"/>
  <c r="F89" i="7"/>
  <c r="E89" i="7"/>
  <c r="F88" i="7"/>
  <c r="E88" i="7"/>
  <c r="F87" i="7"/>
  <c r="E87" i="7"/>
  <c r="F86" i="7"/>
  <c r="E86" i="7"/>
  <c r="F85" i="7"/>
  <c r="E85" i="7"/>
  <c r="F84" i="7"/>
  <c r="E84" i="7"/>
  <c r="F83" i="7"/>
  <c r="E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E74" i="7"/>
  <c r="F74" i="7" s="1"/>
  <c r="F73" i="7"/>
  <c r="E73" i="7"/>
  <c r="F72" i="7"/>
  <c r="E72" i="7"/>
  <c r="F71" i="7"/>
  <c r="E71" i="7"/>
  <c r="E70" i="7"/>
  <c r="F70" i="7" s="1"/>
  <c r="F69" i="7"/>
  <c r="E69" i="7"/>
  <c r="F68" i="7"/>
  <c r="E68" i="7"/>
  <c r="F67" i="7"/>
  <c r="E67" i="7"/>
  <c r="E66" i="7"/>
  <c r="F66" i="7" s="1"/>
  <c r="F65" i="7"/>
  <c r="E65" i="7"/>
  <c r="F64" i="7"/>
  <c r="E64" i="7"/>
  <c r="F63" i="7"/>
  <c r="E63" i="7"/>
  <c r="E62" i="7"/>
  <c r="F62" i="7" s="1"/>
  <c r="D59" i="7"/>
  <c r="E59" i="7" s="1"/>
  <c r="F59" i="7" s="1"/>
  <c r="C59" i="7"/>
  <c r="F58" i="7"/>
  <c r="E58" i="7"/>
  <c r="F57" i="7"/>
  <c r="E57" i="7"/>
  <c r="F56" i="7"/>
  <c r="E56" i="7"/>
  <c r="F55" i="7"/>
  <c r="E55" i="7"/>
  <c r="F54" i="7"/>
  <c r="E54" i="7"/>
  <c r="F53" i="7"/>
  <c r="E53" i="7"/>
  <c r="F50" i="7"/>
  <c r="E50" i="7"/>
  <c r="F47" i="7"/>
  <c r="E47" i="7"/>
  <c r="F44" i="7"/>
  <c r="E44" i="7"/>
  <c r="D41" i="7"/>
  <c r="E41" i="7" s="1"/>
  <c r="F41" i="7" s="1"/>
  <c r="C41" i="7"/>
  <c r="F40" i="7"/>
  <c r="E40" i="7"/>
  <c r="F39" i="7"/>
  <c r="E39" i="7"/>
  <c r="F38" i="7"/>
  <c r="E38" i="7"/>
  <c r="D35" i="7"/>
  <c r="E35" i="7" s="1"/>
  <c r="F35" i="7" s="1"/>
  <c r="C35" i="7"/>
  <c r="F34" i="7"/>
  <c r="E34" i="7"/>
  <c r="F33" i="7"/>
  <c r="E33" i="7"/>
  <c r="D30" i="7"/>
  <c r="E30" i="7" s="1"/>
  <c r="F30" i="7" s="1"/>
  <c r="C30" i="7"/>
  <c r="F29" i="7"/>
  <c r="E29" i="7"/>
  <c r="F28" i="7"/>
  <c r="E28" i="7"/>
  <c r="F27" i="7"/>
  <c r="E27" i="7"/>
  <c r="D24" i="7"/>
  <c r="C24" i="7"/>
  <c r="F23" i="7"/>
  <c r="E23" i="7"/>
  <c r="F22" i="7"/>
  <c r="E22" i="7"/>
  <c r="F21" i="7"/>
  <c r="E21" i="7"/>
  <c r="D18" i="7"/>
  <c r="E18" i="7"/>
  <c r="F18" i="7" s="1"/>
  <c r="C18" i="7"/>
  <c r="F17" i="7"/>
  <c r="E17" i="7"/>
  <c r="F16" i="7"/>
  <c r="E16" i="7"/>
  <c r="E15" i="7"/>
  <c r="F15" i="7" s="1"/>
  <c r="D179" i="6"/>
  <c r="E179" i="6" s="1"/>
  <c r="F179" i="6" s="1"/>
  <c r="C179" i="6"/>
  <c r="F178" i="6"/>
  <c r="E178" i="6"/>
  <c r="F177" i="6"/>
  <c r="E177" i="6"/>
  <c r="E176" i="6"/>
  <c r="F176" i="6" s="1"/>
  <c r="F175" i="6"/>
  <c r="E175" i="6"/>
  <c r="E174" i="6"/>
  <c r="F174" i="6" s="1"/>
  <c r="F173" i="6"/>
  <c r="E173" i="6"/>
  <c r="E172" i="6"/>
  <c r="F172" i="6" s="1"/>
  <c r="E171" i="6"/>
  <c r="F171" i="6" s="1"/>
  <c r="E170" i="6"/>
  <c r="F170" i="6" s="1"/>
  <c r="F169" i="6"/>
  <c r="E169" i="6"/>
  <c r="F168" i="6"/>
  <c r="E168" i="6"/>
  <c r="D166" i="6"/>
  <c r="E166" i="6" s="1"/>
  <c r="C166" i="6"/>
  <c r="F166" i="6" s="1"/>
  <c r="F165" i="6"/>
  <c r="E165" i="6"/>
  <c r="F164" i="6"/>
  <c r="E164" i="6"/>
  <c r="E163" i="6"/>
  <c r="F163" i="6" s="1"/>
  <c r="F162" i="6"/>
  <c r="E162" i="6"/>
  <c r="E161" i="6"/>
  <c r="F161" i="6" s="1"/>
  <c r="F160" i="6"/>
  <c r="E160" i="6"/>
  <c r="F159" i="6"/>
  <c r="E159" i="6"/>
  <c r="E158" i="6"/>
  <c r="F158" i="6" s="1"/>
  <c r="E157" i="6"/>
  <c r="F157" i="6" s="1"/>
  <c r="F156" i="6"/>
  <c r="E156" i="6"/>
  <c r="F155" i="6"/>
  <c r="E155" i="6"/>
  <c r="D153" i="6"/>
  <c r="C153" i="6"/>
  <c r="F152" i="6"/>
  <c r="E152" i="6"/>
  <c r="F151" i="6"/>
  <c r="E151" i="6"/>
  <c r="E150" i="6"/>
  <c r="F150" i="6" s="1"/>
  <c r="F149" i="6"/>
  <c r="E149" i="6"/>
  <c r="E148" i="6"/>
  <c r="F148" i="6" s="1"/>
  <c r="F147" i="6"/>
  <c r="E147" i="6"/>
  <c r="E146" i="6"/>
  <c r="F146" i="6" s="1"/>
  <c r="E145" i="6"/>
  <c r="F145" i="6" s="1"/>
  <c r="E144" i="6"/>
  <c r="F144" i="6" s="1"/>
  <c r="F143" i="6"/>
  <c r="E143" i="6"/>
  <c r="E142" i="6"/>
  <c r="F142" i="6" s="1"/>
  <c r="D137" i="6"/>
  <c r="E137" i="6"/>
  <c r="F137" i="6" s="1"/>
  <c r="C137" i="6"/>
  <c r="F136" i="6"/>
  <c r="E136" i="6"/>
  <c r="F135" i="6"/>
  <c r="E135" i="6"/>
  <c r="E134" i="6"/>
  <c r="F134" i="6" s="1"/>
  <c r="F133" i="6"/>
  <c r="E133" i="6"/>
  <c r="E132" i="6"/>
  <c r="F132" i="6" s="1"/>
  <c r="F131" i="6"/>
  <c r="E131" i="6"/>
  <c r="E130" i="6"/>
  <c r="F130" i="6" s="1"/>
  <c r="F129" i="6"/>
  <c r="E129" i="6"/>
  <c r="F128" i="6"/>
  <c r="E128" i="6"/>
  <c r="F127" i="6"/>
  <c r="E127" i="6"/>
  <c r="E126" i="6"/>
  <c r="F126" i="6" s="1"/>
  <c r="D124" i="6"/>
  <c r="E124" i="6"/>
  <c r="C124" i="6"/>
  <c r="F123" i="6"/>
  <c r="E123" i="6"/>
  <c r="F122" i="6"/>
  <c r="E122" i="6"/>
  <c r="E121" i="6"/>
  <c r="F121" i="6" s="1"/>
  <c r="F120" i="6"/>
  <c r="E120" i="6"/>
  <c r="E119" i="6"/>
  <c r="F119" i="6" s="1"/>
  <c r="F118" i="6"/>
  <c r="E118" i="6"/>
  <c r="E117" i="6"/>
  <c r="F117" i="6" s="1"/>
  <c r="F116" i="6"/>
  <c r="E116" i="6"/>
  <c r="E115" i="6"/>
  <c r="F115" i="6" s="1"/>
  <c r="F114" i="6"/>
  <c r="E114" i="6"/>
  <c r="E113" i="6"/>
  <c r="F113" i="6" s="1"/>
  <c r="D111" i="6"/>
  <c r="E111" i="6"/>
  <c r="F111" i="6" s="1"/>
  <c r="C111" i="6"/>
  <c r="F110" i="6"/>
  <c r="E110" i="6"/>
  <c r="F109" i="6"/>
  <c r="E109" i="6"/>
  <c r="E108" i="6"/>
  <c r="F108" i="6" s="1"/>
  <c r="F107" i="6"/>
  <c r="E107" i="6"/>
  <c r="E106" i="6"/>
  <c r="F106" i="6" s="1"/>
  <c r="F105" i="6"/>
  <c r="E105" i="6"/>
  <c r="F104" i="6"/>
  <c r="E104" i="6"/>
  <c r="E103" i="6"/>
  <c r="F103" i="6" s="1"/>
  <c r="E102" i="6"/>
  <c r="F102" i="6" s="1"/>
  <c r="F101" i="6"/>
  <c r="E101" i="6"/>
  <c r="E100" i="6"/>
  <c r="F100" i="6" s="1"/>
  <c r="F94" i="6"/>
  <c r="D94" i="6"/>
  <c r="C94" i="6"/>
  <c r="F93" i="6"/>
  <c r="D93" i="6"/>
  <c r="E93" i="6"/>
  <c r="C93" i="6"/>
  <c r="D92" i="6"/>
  <c r="E92" i="6"/>
  <c r="C92" i="6"/>
  <c r="F91" i="6"/>
  <c r="D91" i="6"/>
  <c r="E91" i="6" s="1"/>
  <c r="C91" i="6"/>
  <c r="D90" i="6"/>
  <c r="C90" i="6"/>
  <c r="F89" i="6"/>
  <c r="D89" i="6"/>
  <c r="E89" i="6"/>
  <c r="C89" i="6"/>
  <c r="D88" i="6"/>
  <c r="C88" i="6"/>
  <c r="D87" i="6"/>
  <c r="E87" i="6"/>
  <c r="F87" i="6" s="1"/>
  <c r="C87" i="6"/>
  <c r="D86" i="6"/>
  <c r="E86" i="6"/>
  <c r="C86" i="6"/>
  <c r="D85" i="6"/>
  <c r="C85" i="6"/>
  <c r="E85" i="6" s="1"/>
  <c r="D84" i="6"/>
  <c r="C84" i="6"/>
  <c r="D81" i="6"/>
  <c r="E81" i="6" s="1"/>
  <c r="F81" i="6" s="1"/>
  <c r="C81" i="6"/>
  <c r="F80" i="6"/>
  <c r="E80" i="6"/>
  <c r="F79" i="6"/>
  <c r="E79" i="6"/>
  <c r="F78" i="6"/>
  <c r="E78" i="6"/>
  <c r="F77" i="6"/>
  <c r="E77" i="6"/>
  <c r="F76" i="6"/>
  <c r="E76" i="6"/>
  <c r="F75" i="6"/>
  <c r="E75" i="6"/>
  <c r="F74" i="6"/>
  <c r="E74" i="6"/>
  <c r="F73" i="6"/>
  <c r="E73" i="6"/>
  <c r="F72" i="6"/>
  <c r="E72" i="6"/>
  <c r="F71" i="6"/>
  <c r="E71" i="6"/>
  <c r="F70" i="6"/>
  <c r="E70" i="6"/>
  <c r="D68" i="6"/>
  <c r="E68" i="6" s="1"/>
  <c r="F68" i="6" s="1"/>
  <c r="C68" i="6"/>
  <c r="F67" i="6"/>
  <c r="E67" i="6"/>
  <c r="F66" i="6"/>
  <c r="E66" i="6"/>
  <c r="F65" i="6"/>
  <c r="E65" i="6"/>
  <c r="F64" i="6"/>
  <c r="E64" i="6"/>
  <c r="E63" i="6"/>
  <c r="F63" i="6" s="1"/>
  <c r="F62" i="6"/>
  <c r="E62" i="6"/>
  <c r="E61" i="6"/>
  <c r="F61" i="6" s="1"/>
  <c r="E60" i="6"/>
  <c r="F60" i="6" s="1"/>
  <c r="E59" i="6"/>
  <c r="F59" i="6" s="1"/>
  <c r="F58" i="6"/>
  <c r="E58" i="6"/>
  <c r="F57" i="6"/>
  <c r="E57" i="6"/>
  <c r="D51" i="6"/>
  <c r="C51" i="6"/>
  <c r="F51" i="6" s="1"/>
  <c r="D50" i="6"/>
  <c r="E50" i="6" s="1"/>
  <c r="C50" i="6"/>
  <c r="F50" i="6" s="1"/>
  <c r="D49" i="6"/>
  <c r="E49" i="6"/>
  <c r="C49" i="6"/>
  <c r="F48" i="6"/>
  <c r="D48" i="6"/>
  <c r="E48" i="6"/>
  <c r="C48" i="6"/>
  <c r="D47" i="6"/>
  <c r="C47" i="6"/>
  <c r="F46" i="6"/>
  <c r="D46" i="6"/>
  <c r="E46" i="6" s="1"/>
  <c r="C46" i="6"/>
  <c r="D45" i="6"/>
  <c r="E45" i="6"/>
  <c r="C45" i="6"/>
  <c r="D44" i="6"/>
  <c r="E44" i="6"/>
  <c r="F44" i="6" s="1"/>
  <c r="C44" i="6"/>
  <c r="D43" i="6"/>
  <c r="C43" i="6"/>
  <c r="F42" i="6"/>
  <c r="D42" i="6"/>
  <c r="E42" i="6" s="1"/>
  <c r="C42" i="6"/>
  <c r="D41" i="6"/>
  <c r="C41" i="6"/>
  <c r="C52" i="6"/>
  <c r="D38" i="6"/>
  <c r="E38" i="6"/>
  <c r="C38" i="6"/>
  <c r="F38" i="6" s="1"/>
  <c r="F37" i="6"/>
  <c r="E37" i="6"/>
  <c r="F36" i="6"/>
  <c r="E36" i="6"/>
  <c r="F35" i="6"/>
  <c r="E35" i="6"/>
  <c r="F34" i="6"/>
  <c r="E34" i="6"/>
  <c r="E33" i="6"/>
  <c r="F33" i="6" s="1"/>
  <c r="F32" i="6"/>
  <c r="E32" i="6"/>
  <c r="E31" i="6"/>
  <c r="F31" i="6" s="1"/>
  <c r="E30" i="6"/>
  <c r="F30" i="6" s="1"/>
  <c r="E29" i="6"/>
  <c r="F29" i="6" s="1"/>
  <c r="F28" i="6"/>
  <c r="E28" i="6"/>
  <c r="F27" i="6"/>
  <c r="E27" i="6"/>
  <c r="D25" i="6"/>
  <c r="C25" i="6"/>
  <c r="F24" i="6"/>
  <c r="E24" i="6"/>
  <c r="F23" i="6"/>
  <c r="E23" i="6"/>
  <c r="E22" i="6"/>
  <c r="F22" i="6" s="1"/>
  <c r="F21" i="6"/>
  <c r="E21" i="6"/>
  <c r="F20" i="6"/>
  <c r="E20" i="6"/>
  <c r="F19" i="6"/>
  <c r="E19" i="6"/>
  <c r="E18" i="6"/>
  <c r="F18" i="6" s="1"/>
  <c r="E17" i="6"/>
  <c r="F17" i="6" s="1"/>
  <c r="E16" i="6"/>
  <c r="F16" i="6" s="1"/>
  <c r="F15" i="6"/>
  <c r="E15" i="6"/>
  <c r="E14" i="6"/>
  <c r="F14" i="6" s="1"/>
  <c r="E51" i="5"/>
  <c r="F51" i="5" s="1"/>
  <c r="D48" i="5"/>
  <c r="E48" i="5" s="1"/>
  <c r="C48" i="5"/>
  <c r="F48" i="5" s="1"/>
  <c r="F47" i="5"/>
  <c r="E47" i="5"/>
  <c r="F46" i="5"/>
  <c r="E46" i="5"/>
  <c r="D41" i="5"/>
  <c r="C41" i="5"/>
  <c r="F40" i="5"/>
  <c r="E40" i="5"/>
  <c r="F39" i="5"/>
  <c r="E39" i="5"/>
  <c r="E38" i="5"/>
  <c r="F38" i="5" s="1"/>
  <c r="D33" i="5"/>
  <c r="E33" i="5"/>
  <c r="C33" i="5"/>
  <c r="F33" i="5" s="1"/>
  <c r="E32" i="5"/>
  <c r="F32" i="5" s="1"/>
  <c r="E31" i="5"/>
  <c r="F31" i="5" s="1"/>
  <c r="E30" i="5"/>
  <c r="F30" i="5" s="1"/>
  <c r="E29" i="5"/>
  <c r="F29" i="5" s="1"/>
  <c r="E28" i="5"/>
  <c r="F28" i="5" s="1"/>
  <c r="F27" i="5"/>
  <c r="E27" i="5"/>
  <c r="F26" i="5"/>
  <c r="E26" i="5"/>
  <c r="E25" i="5"/>
  <c r="F25" i="5" s="1"/>
  <c r="E24" i="5"/>
  <c r="F24" i="5" s="1"/>
  <c r="E20" i="5"/>
  <c r="F20" i="5" s="1"/>
  <c r="F19" i="5"/>
  <c r="E19" i="5"/>
  <c r="F17" i="5"/>
  <c r="E17" i="5"/>
  <c r="D16" i="5"/>
  <c r="D18" i="5"/>
  <c r="D21" i="5" s="1"/>
  <c r="C16" i="5"/>
  <c r="C18" i="5"/>
  <c r="F15" i="5"/>
  <c r="E15" i="5"/>
  <c r="E14" i="5"/>
  <c r="F14" i="5" s="1"/>
  <c r="E13" i="5"/>
  <c r="F13" i="5" s="1"/>
  <c r="E12" i="5"/>
  <c r="F12" i="5" s="1"/>
  <c r="D73" i="4"/>
  <c r="E73" i="4"/>
  <c r="F73" i="4" s="1"/>
  <c r="C73" i="4"/>
  <c r="F72" i="4"/>
  <c r="E72" i="4"/>
  <c r="F71" i="4"/>
  <c r="E71" i="4"/>
  <c r="F70" i="4"/>
  <c r="E70" i="4"/>
  <c r="F67" i="4"/>
  <c r="E67" i="4"/>
  <c r="F64" i="4"/>
  <c r="E64" i="4"/>
  <c r="F63" i="4"/>
  <c r="E63" i="4"/>
  <c r="D61" i="4"/>
  <c r="D65" i="4" s="1"/>
  <c r="E65" i="4"/>
  <c r="C61" i="4"/>
  <c r="C65" i="4"/>
  <c r="E60" i="4"/>
  <c r="F60" i="4" s="1"/>
  <c r="F59" i="4"/>
  <c r="E59" i="4"/>
  <c r="D56" i="4"/>
  <c r="D75" i="4" s="1"/>
  <c r="E75" i="4" s="1"/>
  <c r="F75" i="4" s="1"/>
  <c r="C56" i="4"/>
  <c r="C75" i="4" s="1"/>
  <c r="F55" i="4"/>
  <c r="E55" i="4"/>
  <c r="E54" i="4"/>
  <c r="F54" i="4"/>
  <c r="F53" i="4"/>
  <c r="E53" i="4"/>
  <c r="E52" i="4"/>
  <c r="F52" i="4" s="1"/>
  <c r="E51" i="4"/>
  <c r="F51" i="4" s="1"/>
  <c r="E50" i="4"/>
  <c r="F50" i="4"/>
  <c r="A50" i="4"/>
  <c r="A51" i="4" s="1"/>
  <c r="A52" i="4" s="1"/>
  <c r="A53" i="4" s="1"/>
  <c r="A54" i="4" s="1"/>
  <c r="A55" i="4" s="1"/>
  <c r="F49" i="4"/>
  <c r="E49" i="4"/>
  <c r="F40" i="4"/>
  <c r="E40" i="4"/>
  <c r="D38" i="4"/>
  <c r="D41" i="4" s="1"/>
  <c r="E41" i="4" s="1"/>
  <c r="F41" i="4" s="1"/>
  <c r="C38" i="4"/>
  <c r="C41" i="4"/>
  <c r="E37" i="4"/>
  <c r="F37" i="4" s="1"/>
  <c r="F36" i="4"/>
  <c r="E36" i="4"/>
  <c r="F33" i="4"/>
  <c r="E33" i="4"/>
  <c r="F32" i="4"/>
  <c r="E32" i="4"/>
  <c r="E31" i="4"/>
  <c r="F31" i="4" s="1"/>
  <c r="D29" i="4"/>
  <c r="E29" i="4" s="1"/>
  <c r="F29" i="4" s="1"/>
  <c r="C29" i="4"/>
  <c r="F28" i="4"/>
  <c r="E28" i="4"/>
  <c r="F27" i="4"/>
  <c r="E27" i="4"/>
  <c r="F26" i="4"/>
  <c r="E26" i="4"/>
  <c r="F25" i="4"/>
  <c r="E25" i="4"/>
  <c r="D22" i="4"/>
  <c r="E22" i="4" s="1"/>
  <c r="C22" i="4"/>
  <c r="C43" i="4"/>
  <c r="F21" i="4"/>
  <c r="E21" i="4"/>
  <c r="F20" i="4"/>
  <c r="E20" i="4"/>
  <c r="E19" i="4"/>
  <c r="F19" i="4" s="1"/>
  <c r="E18" i="4"/>
  <c r="F18" i="4" s="1"/>
  <c r="F17" i="4"/>
  <c r="E17" i="4"/>
  <c r="F16" i="4"/>
  <c r="E16" i="4"/>
  <c r="F15" i="4"/>
  <c r="E15" i="4"/>
  <c r="F14" i="4"/>
  <c r="E14" i="4"/>
  <c r="F13" i="4"/>
  <c r="E13" i="4"/>
  <c r="D22" i="22"/>
  <c r="D33" i="22"/>
  <c r="D101" i="22"/>
  <c r="C22" i="22"/>
  <c r="C39" i="22" s="1"/>
  <c r="E22" i="22"/>
  <c r="D23" i="22"/>
  <c r="D41" i="20"/>
  <c r="E40" i="20"/>
  <c r="E16" i="20"/>
  <c r="F16" i="20" s="1"/>
  <c r="E25" i="20"/>
  <c r="F25" i="20" s="1"/>
  <c r="E36" i="20"/>
  <c r="F36" i="20" s="1"/>
  <c r="C39" i="20"/>
  <c r="C40" i="20"/>
  <c r="E43" i="20"/>
  <c r="F43" i="20" s="1"/>
  <c r="C38" i="19"/>
  <c r="C127" i="19"/>
  <c r="C129" i="19" s="1"/>
  <c r="C133" i="19" s="1"/>
  <c r="E229" i="17"/>
  <c r="F229" i="17" s="1"/>
  <c r="E230" i="17"/>
  <c r="E294" i="17"/>
  <c r="F294" i="17" s="1"/>
  <c r="E296" i="17"/>
  <c r="E297" i="17"/>
  <c r="F297" i="17" s="1"/>
  <c r="E298" i="17"/>
  <c r="C22" i="19"/>
  <c r="C49" i="19"/>
  <c r="E17" i="17"/>
  <c r="E53" i="17"/>
  <c r="E58" i="17"/>
  <c r="F58" i="17" s="1"/>
  <c r="E67" i="17"/>
  <c r="F67" i="17" s="1"/>
  <c r="E223" i="17"/>
  <c r="C283" i="18"/>
  <c r="E283" i="18" s="1"/>
  <c r="E21" i="18"/>
  <c r="D22" i="18"/>
  <c r="C33" i="18"/>
  <c r="C295" i="18" s="1"/>
  <c r="C55" i="18"/>
  <c r="C235" i="18" s="1"/>
  <c r="E235" i="18" s="1"/>
  <c r="E55" i="18"/>
  <c r="D289" i="18"/>
  <c r="D71" i="18"/>
  <c r="D65" i="18"/>
  <c r="D66" i="18" s="1"/>
  <c r="E60" i="18"/>
  <c r="E69" i="18"/>
  <c r="E70" i="18"/>
  <c r="E36" i="18"/>
  <c r="D144" i="18"/>
  <c r="D168" i="18" s="1"/>
  <c r="D175" i="18"/>
  <c r="C229" i="18"/>
  <c r="C210" i="18"/>
  <c r="E205" i="18"/>
  <c r="D241" i="18"/>
  <c r="E242" i="18"/>
  <c r="E243" i="18"/>
  <c r="E244" i="18"/>
  <c r="E302" i="18"/>
  <c r="C303" i="18"/>
  <c r="C306" i="18"/>
  <c r="C310" i="18" s="1"/>
  <c r="C261" i="18"/>
  <c r="E261" i="18" s="1"/>
  <c r="C189" i="18"/>
  <c r="E189" i="18"/>
  <c r="E188" i="18"/>
  <c r="D260" i="18"/>
  <c r="E195" i="18"/>
  <c r="E229" i="18"/>
  <c r="C253" i="18"/>
  <c r="D306" i="18"/>
  <c r="D320" i="18"/>
  <c r="E320" i="18" s="1"/>
  <c r="E326" i="18"/>
  <c r="D330" i="18"/>
  <c r="E330" i="18"/>
  <c r="D211" i="18"/>
  <c r="E215" i="18"/>
  <c r="C217" i="18"/>
  <c r="E219" i="18"/>
  <c r="D222" i="18"/>
  <c r="C252" i="18"/>
  <c r="C254" i="18" s="1"/>
  <c r="E265" i="18"/>
  <c r="E314" i="18"/>
  <c r="E216" i="18"/>
  <c r="E218" i="18"/>
  <c r="E220" i="18"/>
  <c r="C222" i="18"/>
  <c r="C246" i="18"/>
  <c r="D223" i="18"/>
  <c r="E233" i="18"/>
  <c r="E301" i="18"/>
  <c r="E324" i="18"/>
  <c r="E31" i="17"/>
  <c r="D32" i="17"/>
  <c r="D90" i="17"/>
  <c r="E48" i="17"/>
  <c r="F48" i="17" s="1"/>
  <c r="C61" i="17"/>
  <c r="F89" i="17"/>
  <c r="C138" i="17"/>
  <c r="C32" i="17"/>
  <c r="F31" i="17"/>
  <c r="C90" i="17"/>
  <c r="F60" i="17"/>
  <c r="D61" i="17"/>
  <c r="D103" i="17"/>
  <c r="F17" i="17"/>
  <c r="D21" i="17"/>
  <c r="D161" i="17" s="1"/>
  <c r="F23" i="17"/>
  <c r="F29" i="17"/>
  <c r="F44" i="17"/>
  <c r="F53" i="17"/>
  <c r="E88" i="17"/>
  <c r="F88" i="17"/>
  <c r="E101" i="17"/>
  <c r="F101" i="17"/>
  <c r="C192" i="17"/>
  <c r="E123" i="17"/>
  <c r="F123" i="17" s="1"/>
  <c r="C124" i="17"/>
  <c r="E144" i="17"/>
  <c r="F144" i="17"/>
  <c r="E164" i="17"/>
  <c r="C172" i="17"/>
  <c r="C181" i="17"/>
  <c r="F181" i="17"/>
  <c r="F179" i="17"/>
  <c r="E179" i="17"/>
  <c r="F227" i="17"/>
  <c r="E20" i="17"/>
  <c r="F20" i="17"/>
  <c r="C21" i="17"/>
  <c r="E30" i="17"/>
  <c r="F30" i="17" s="1"/>
  <c r="E35" i="17"/>
  <c r="E47" i="17"/>
  <c r="F47" i="17" s="1"/>
  <c r="E59" i="17"/>
  <c r="F59" i="17"/>
  <c r="E76" i="17"/>
  <c r="F76" i="17" s="1"/>
  <c r="D124" i="17"/>
  <c r="E124" i="17"/>
  <c r="E165" i="17"/>
  <c r="E171" i="17"/>
  <c r="D279" i="17"/>
  <c r="E278" i="17"/>
  <c r="F278" i="17"/>
  <c r="D190" i="17"/>
  <c r="D290" i="17"/>
  <c r="D274" i="17"/>
  <c r="D199" i="17"/>
  <c r="E199" i="17" s="1"/>
  <c r="F199" i="17" s="1"/>
  <c r="D200" i="17"/>
  <c r="D283" i="17"/>
  <c r="D284" i="17"/>
  <c r="E284" i="17" s="1"/>
  <c r="F284" i="17" s="1"/>
  <c r="D267" i="17"/>
  <c r="D205" i="17"/>
  <c r="D206" i="17"/>
  <c r="D214" i="17"/>
  <c r="D215" i="17"/>
  <c r="F223" i="17"/>
  <c r="F230" i="17"/>
  <c r="D261" i="17"/>
  <c r="D262" i="17"/>
  <c r="D264" i="17"/>
  <c r="C287" i="17"/>
  <c r="C284" i="17"/>
  <c r="C279" i="17"/>
  <c r="F279" i="17" s="1"/>
  <c r="E188" i="17"/>
  <c r="F188" i="17" s="1"/>
  <c r="E189" i="17"/>
  <c r="F189" i="17"/>
  <c r="C190" i="17"/>
  <c r="E191" i="17"/>
  <c r="F191" i="17" s="1"/>
  <c r="C290" i="17"/>
  <c r="C274" i="17"/>
  <c r="E198" i="17"/>
  <c r="F198" i="17"/>
  <c r="C199" i="17"/>
  <c r="C200" i="17"/>
  <c r="E203" i="17"/>
  <c r="F203" i="17" s="1"/>
  <c r="C285" i="17"/>
  <c r="C269" i="17"/>
  <c r="C205" i="17"/>
  <c r="C206" i="17"/>
  <c r="C214" i="17"/>
  <c r="C215" i="17"/>
  <c r="E226" i="17"/>
  <c r="F226" i="17"/>
  <c r="E237" i="17"/>
  <c r="F237" i="17"/>
  <c r="E250" i="17"/>
  <c r="F250" i="17"/>
  <c r="C254" i="17"/>
  <c r="C255" i="17"/>
  <c r="C261" i="17"/>
  <c r="C262" i="17"/>
  <c r="C267" i="17"/>
  <c r="E267" i="17" s="1"/>
  <c r="F296" i="17"/>
  <c r="F298" i="17"/>
  <c r="F21" i="16"/>
  <c r="I31" i="14"/>
  <c r="I17" i="14"/>
  <c r="D31" i="14"/>
  <c r="F31" i="14"/>
  <c r="H31" i="14" s="1"/>
  <c r="C33" i="14"/>
  <c r="C36" i="14" s="1"/>
  <c r="C38" i="14" s="1"/>
  <c r="C40" i="14"/>
  <c r="E33" i="14"/>
  <c r="E36" i="14"/>
  <c r="E38" i="14" s="1"/>
  <c r="E40" i="14"/>
  <c r="G33" i="14"/>
  <c r="H17" i="14"/>
  <c r="C17" i="13"/>
  <c r="C28" i="13"/>
  <c r="C70" i="13" s="1"/>
  <c r="C72" i="13"/>
  <c r="C69" i="13" s="1"/>
  <c r="D48" i="13"/>
  <c r="D42" i="13" s="1"/>
  <c r="D20" i="12"/>
  <c r="E17" i="12"/>
  <c r="E22" i="11"/>
  <c r="F22" i="11" s="1"/>
  <c r="E56" i="11"/>
  <c r="F56" i="11"/>
  <c r="E61" i="11"/>
  <c r="F61" i="11"/>
  <c r="F122" i="10"/>
  <c r="E113" i="10"/>
  <c r="F113" i="10" s="1"/>
  <c r="E208" i="9"/>
  <c r="E198" i="9"/>
  <c r="E199" i="9"/>
  <c r="C140" i="8"/>
  <c r="C138" i="8"/>
  <c r="C141" i="8" s="1"/>
  <c r="C136" i="8"/>
  <c r="C139" i="8"/>
  <c r="C137" i="8"/>
  <c r="E153" i="8"/>
  <c r="E156" i="8"/>
  <c r="E152" i="8"/>
  <c r="E21" i="8"/>
  <c r="E140" i="8"/>
  <c r="E137" i="8"/>
  <c r="E135" i="8"/>
  <c r="C17" i="8"/>
  <c r="E17" i="8"/>
  <c r="C43" i="8"/>
  <c r="E43" i="8"/>
  <c r="D49" i="8"/>
  <c r="C53" i="8"/>
  <c r="E53" i="8"/>
  <c r="D77" i="8"/>
  <c r="D71" i="8" s="1"/>
  <c r="C49" i="8"/>
  <c r="E49" i="8"/>
  <c r="E90" i="7"/>
  <c r="F90" i="7"/>
  <c r="E41" i="6"/>
  <c r="E16" i="5"/>
  <c r="F16" i="5" s="1"/>
  <c r="F65" i="4"/>
  <c r="E56" i="4"/>
  <c r="F56" i="4" s="1"/>
  <c r="E61" i="4"/>
  <c r="F61" i="4"/>
  <c r="D53" i="22"/>
  <c r="D45" i="22"/>
  <c r="D39" i="22"/>
  <c r="D35" i="22"/>
  <c r="D29" i="22"/>
  <c r="E45" i="22"/>
  <c r="E39" i="22"/>
  <c r="D54" i="22"/>
  <c r="D46" i="22"/>
  <c r="D40" i="22"/>
  <c r="D36" i="22"/>
  <c r="D30" i="22"/>
  <c r="D56" i="22" s="1"/>
  <c r="C35" i="22"/>
  <c r="C29" i="22"/>
  <c r="E222" i="18"/>
  <c r="D235" i="18"/>
  <c r="E306" i="18"/>
  <c r="D310" i="18"/>
  <c r="E310" i="18" s="1"/>
  <c r="E260" i="18"/>
  <c r="C223" i="18"/>
  <c r="C247" i="18"/>
  <c r="C211" i="18"/>
  <c r="C234" i="18"/>
  <c r="D284" i="18"/>
  <c r="E22" i="18"/>
  <c r="C300" i="17"/>
  <c r="C270" i="17"/>
  <c r="C272" i="17"/>
  <c r="C216" i="17"/>
  <c r="C286" i="17"/>
  <c r="C288" i="17"/>
  <c r="C289" i="17" s="1"/>
  <c r="D300" i="17"/>
  <c r="E300" i="17" s="1"/>
  <c r="E264" i="17"/>
  <c r="F264" i="17" s="1"/>
  <c r="D271" i="17"/>
  <c r="D268" i="17"/>
  <c r="E261" i="17"/>
  <c r="F261" i="17"/>
  <c r="D263" i="17"/>
  <c r="E263" i="17" s="1"/>
  <c r="F263" i="17" s="1"/>
  <c r="E206" i="17"/>
  <c r="E283" i="17"/>
  <c r="F283" i="17"/>
  <c r="E290" i="17"/>
  <c r="F290" i="17" s="1"/>
  <c r="E279" i="17"/>
  <c r="D287" i="17"/>
  <c r="F172" i="17"/>
  <c r="E172" i="17"/>
  <c r="C173" i="17"/>
  <c r="C174" i="17" s="1"/>
  <c r="F124" i="17"/>
  <c r="D91" i="17"/>
  <c r="D92" i="17" s="1"/>
  <c r="E21" i="17"/>
  <c r="F21" i="17" s="1"/>
  <c r="C62" i="17"/>
  <c r="C63" i="17" s="1"/>
  <c r="C175" i="17"/>
  <c r="C140" i="17"/>
  <c r="C139" i="17"/>
  <c r="E90" i="17"/>
  <c r="F90" i="17" s="1"/>
  <c r="C271" i="17"/>
  <c r="C273" i="17" s="1"/>
  <c r="C263" i="17"/>
  <c r="F206" i="17"/>
  <c r="E262" i="17"/>
  <c r="F262" i="17"/>
  <c r="E214" i="17"/>
  <c r="F214" i="17"/>
  <c r="D254" i="17"/>
  <c r="E254" i="17" s="1"/>
  <c r="F254" i="17" s="1"/>
  <c r="E205" i="17"/>
  <c r="F205" i="17" s="1"/>
  <c r="F267" i="17"/>
  <c r="E200" i="17"/>
  <c r="F200" i="17" s="1"/>
  <c r="E274" i="17"/>
  <c r="F274" i="17" s="1"/>
  <c r="E190" i="17"/>
  <c r="F190" i="17" s="1"/>
  <c r="C304" i="17"/>
  <c r="C49" i="17"/>
  <c r="C126" i="17"/>
  <c r="C91" i="17"/>
  <c r="C92" i="17" s="1"/>
  <c r="D174" i="17"/>
  <c r="D104" i="17"/>
  <c r="E61" i="17"/>
  <c r="F61" i="17"/>
  <c r="C125" i="17"/>
  <c r="C207" i="17"/>
  <c r="C208" i="17" s="1"/>
  <c r="D125" i="17"/>
  <c r="E125" i="17" s="1"/>
  <c r="F125" i="17" s="1"/>
  <c r="D105" i="17"/>
  <c r="D106" i="17" s="1"/>
  <c r="E32" i="17"/>
  <c r="F32" i="17"/>
  <c r="D62" i="17"/>
  <c r="G36" i="14"/>
  <c r="G38" i="14"/>
  <c r="G40" i="14" s="1"/>
  <c r="I33" i="14"/>
  <c r="I36" i="14"/>
  <c r="I38" i="14"/>
  <c r="I40" i="14" s="1"/>
  <c r="D34" i="12"/>
  <c r="E112" i="8"/>
  <c r="E111" i="8"/>
  <c r="E28" i="8"/>
  <c r="E22" i="8" s="1"/>
  <c r="C112" i="8"/>
  <c r="C111" i="8"/>
  <c r="C28" i="8"/>
  <c r="D35" i="5"/>
  <c r="D48" i="22"/>
  <c r="D55" i="22"/>
  <c r="D47" i="22"/>
  <c r="D37" i="22"/>
  <c r="D77" i="18"/>
  <c r="D110" i="18" s="1"/>
  <c r="D259" i="18"/>
  <c r="E223" i="18"/>
  <c r="E211" i="18"/>
  <c r="D176" i="17"/>
  <c r="C141" i="17"/>
  <c r="C322" i="17" s="1"/>
  <c r="D304" i="17"/>
  <c r="E304" i="17" s="1"/>
  <c r="F304" i="17" s="1"/>
  <c r="D63" i="17"/>
  <c r="E174" i="17"/>
  <c r="F174" i="17"/>
  <c r="C127" i="17"/>
  <c r="C50" i="17"/>
  <c r="D162" i="17"/>
  <c r="D183" i="17" s="1"/>
  <c r="F173" i="17"/>
  <c r="E173" i="17"/>
  <c r="E287" i="17"/>
  <c r="F287" i="17" s="1"/>
  <c r="F300" i="17"/>
  <c r="C99" i="8"/>
  <c r="C101" i="8"/>
  <c r="C98" i="8" s="1"/>
  <c r="D43" i="5"/>
  <c r="D125" i="18"/>
  <c r="D123" i="18"/>
  <c r="D121" i="18"/>
  <c r="D129" i="18" s="1"/>
  <c r="D114" i="18"/>
  <c r="D112" i="18"/>
  <c r="D126" i="18"/>
  <c r="D124" i="18"/>
  <c r="D122" i="18"/>
  <c r="D115" i="18"/>
  <c r="D113" i="18"/>
  <c r="D111" i="18"/>
  <c r="D263" i="18"/>
  <c r="D323" i="17"/>
  <c r="C148" i="17"/>
  <c r="D50" i="5"/>
  <c r="D128" i="18"/>
  <c r="D116" i="18" l="1"/>
  <c r="F129" i="17"/>
  <c r="E63" i="17"/>
  <c r="F63" i="17" s="1"/>
  <c r="F175" i="17"/>
  <c r="C209" i="17"/>
  <c r="C210" i="17"/>
  <c r="D113" i="17"/>
  <c r="E92" i="17"/>
  <c r="D324" i="17"/>
  <c r="C70" i="17"/>
  <c r="F92" i="17"/>
  <c r="D247" i="18"/>
  <c r="E247" i="18" s="1"/>
  <c r="E66" i="18"/>
  <c r="F120" i="17"/>
  <c r="C41" i="20"/>
  <c r="F41" i="20" s="1"/>
  <c r="D68" i="17"/>
  <c r="E66" i="17"/>
  <c r="F66" i="17" s="1"/>
  <c r="C110" i="22"/>
  <c r="C109" i="22"/>
  <c r="D113" i="22"/>
  <c r="E65" i="18"/>
  <c r="C112" i="22"/>
  <c r="C55" i="22"/>
  <c r="D255" i="17"/>
  <c r="E255" i="17" s="1"/>
  <c r="F255" i="17" s="1"/>
  <c r="D216" i="17"/>
  <c r="E216" i="17" s="1"/>
  <c r="F216" i="17" s="1"/>
  <c r="C108" i="22"/>
  <c r="E41" i="5"/>
  <c r="F41" i="5"/>
  <c r="E118" i="10"/>
  <c r="F118" i="10"/>
  <c r="E37" i="15"/>
  <c r="D109" i="18"/>
  <c r="D127" i="18"/>
  <c r="E99" i="8"/>
  <c r="E101" i="8" s="1"/>
  <c r="E98" i="8" s="1"/>
  <c r="E62" i="17"/>
  <c r="F62" i="17" s="1"/>
  <c r="D38" i="22"/>
  <c r="C268" i="17"/>
  <c r="D126" i="17"/>
  <c r="F124" i="6"/>
  <c r="E65" i="11"/>
  <c r="F65" i="11" s="1"/>
  <c r="F40" i="12"/>
  <c r="C21" i="13"/>
  <c r="C22" i="13"/>
  <c r="C20" i="13"/>
  <c r="C294" i="18"/>
  <c r="E32" i="18"/>
  <c r="E38" i="11"/>
  <c r="F38" i="11"/>
  <c r="C176" i="17"/>
  <c r="D25" i="8"/>
  <c r="D27" i="8" s="1"/>
  <c r="D15" i="8"/>
  <c r="D111" i="17"/>
  <c r="E111" i="17" s="1"/>
  <c r="E109" i="17"/>
  <c r="F109" i="17" s="1"/>
  <c r="D181" i="17"/>
  <c r="E181" i="17" s="1"/>
  <c r="E180" i="17"/>
  <c r="E299" i="17"/>
  <c r="F299" i="17"/>
  <c r="E45" i="20"/>
  <c r="E46" i="20" s="1"/>
  <c r="C46" i="20"/>
  <c r="D42" i="12"/>
  <c r="E91" i="17"/>
  <c r="F91" i="17" s="1"/>
  <c r="E271" i="17"/>
  <c r="F271" i="17" s="1"/>
  <c r="E175" i="17"/>
  <c r="C37" i="22"/>
  <c r="D180" i="18"/>
  <c r="E39" i="20"/>
  <c r="E41" i="20" s="1"/>
  <c r="E120" i="10"/>
  <c r="F120" i="10" s="1"/>
  <c r="C76" i="18"/>
  <c r="E71" i="18"/>
  <c r="C156" i="18"/>
  <c r="C157" i="18" s="1"/>
  <c r="C163" i="18"/>
  <c r="E163" i="18" s="1"/>
  <c r="E239" i="18"/>
  <c r="C95" i="6"/>
  <c r="F85" i="6"/>
  <c r="E280" i="17"/>
  <c r="F280" i="17" s="1"/>
  <c r="E18" i="5"/>
  <c r="F18" i="5" s="1"/>
  <c r="F41" i="6"/>
  <c r="E15" i="13"/>
  <c r="E25" i="13"/>
  <c r="E27" i="13" s="1"/>
  <c r="E238" i="17"/>
  <c r="F238" i="17"/>
  <c r="C47" i="22"/>
  <c r="C241" i="18"/>
  <c r="E217" i="18"/>
  <c r="F295" i="17"/>
  <c r="D43" i="4"/>
  <c r="E43" i="4" s="1"/>
  <c r="F47" i="6"/>
  <c r="E157" i="8"/>
  <c r="E155" i="8"/>
  <c r="E154" i="8"/>
  <c r="E158" i="8" s="1"/>
  <c r="F200" i="9"/>
  <c r="E200" i="9"/>
  <c r="C20" i="12"/>
  <c r="F17" i="12"/>
  <c r="E94" i="17"/>
  <c r="F94" i="17"/>
  <c r="C43" i="18"/>
  <c r="E37" i="18"/>
  <c r="D246" i="18"/>
  <c r="E246" i="18" s="1"/>
  <c r="D294" i="18"/>
  <c r="E294" i="18" s="1"/>
  <c r="E25" i="6"/>
  <c r="F25" i="6" s="1"/>
  <c r="E90" i="6"/>
  <c r="F90" i="6" s="1"/>
  <c r="C95" i="7"/>
  <c r="D140" i="8"/>
  <c r="D138" i="8"/>
  <c r="D136" i="8"/>
  <c r="D137" i="8"/>
  <c r="D135" i="8"/>
  <c r="F202" i="9"/>
  <c r="E202" i="9"/>
  <c r="D282" i="17"/>
  <c r="D194" i="17"/>
  <c r="D266" i="17"/>
  <c r="F146" i="17"/>
  <c r="D145" i="18"/>
  <c r="E192" i="17"/>
  <c r="F192" i="17" s="1"/>
  <c r="E241" i="18"/>
  <c r="F36" i="14"/>
  <c r="F38" i="14" s="1"/>
  <c r="F40" i="14" s="1"/>
  <c r="H33" i="14"/>
  <c r="H36" i="14" s="1"/>
  <c r="H38" i="14" s="1"/>
  <c r="H40" i="14" s="1"/>
  <c r="F158" i="17"/>
  <c r="C159" i="17"/>
  <c r="C193" i="17"/>
  <c r="E193" i="17" s="1"/>
  <c r="E158" i="17"/>
  <c r="D295" i="18"/>
  <c r="E295" i="18" s="1"/>
  <c r="C291" i="17"/>
  <c r="D49" i="17"/>
  <c r="E215" i="17"/>
  <c r="F215" i="17" s="1"/>
  <c r="C21" i="5"/>
  <c r="F40" i="20"/>
  <c r="E35" i="22"/>
  <c r="E29" i="22"/>
  <c r="E110" i="22"/>
  <c r="E53" i="22"/>
  <c r="E47" i="6"/>
  <c r="C188" i="7"/>
  <c r="E183" i="7"/>
  <c r="F183" i="7"/>
  <c r="D53" i="8"/>
  <c r="D43" i="8"/>
  <c r="D57" i="8"/>
  <c r="D62" i="8" s="1"/>
  <c r="F23" i="9"/>
  <c r="E23" i="9"/>
  <c r="F35" i="10"/>
  <c r="E15" i="12"/>
  <c r="F15" i="12"/>
  <c r="C103" i="17"/>
  <c r="E102" i="17"/>
  <c r="F102" i="17" s="1"/>
  <c r="F45" i="6"/>
  <c r="D95" i="6"/>
  <c r="E84" i="6"/>
  <c r="F84" i="6" s="1"/>
  <c r="F92" i="6"/>
  <c r="E94" i="6"/>
  <c r="F130" i="7"/>
  <c r="D166" i="8"/>
  <c r="F179" i="9"/>
  <c r="E179" i="9"/>
  <c r="F60" i="10"/>
  <c r="E60" i="10"/>
  <c r="E40" i="12"/>
  <c r="D25" i="13"/>
  <c r="D27" i="13" s="1"/>
  <c r="D15" i="13"/>
  <c r="F35" i="17"/>
  <c r="C37" i="17"/>
  <c r="F111" i="17"/>
  <c r="E120" i="17"/>
  <c r="E277" i="17"/>
  <c r="F277" i="17" s="1"/>
  <c r="D157" i="18"/>
  <c r="E156" i="18"/>
  <c r="D234" i="18"/>
  <c r="E234" i="18" s="1"/>
  <c r="E210" i="18"/>
  <c r="C53" i="22"/>
  <c r="C45" i="22"/>
  <c r="E43" i="6"/>
  <c r="F43" i="6" s="1"/>
  <c r="E51" i="6"/>
  <c r="F127" i="9"/>
  <c r="E127" i="9"/>
  <c r="E180" i="9"/>
  <c r="C207" i="9"/>
  <c r="F207" i="9" s="1"/>
  <c r="E41" i="11"/>
  <c r="F41" i="11" s="1"/>
  <c r="F52" i="17"/>
  <c r="D245" i="18"/>
  <c r="E245" i="18" s="1"/>
  <c r="E221" i="18"/>
  <c r="E293" i="18"/>
  <c r="F43" i="4"/>
  <c r="D52" i="6"/>
  <c r="E52" i="6" s="1"/>
  <c r="F52" i="6" s="1"/>
  <c r="F88" i="6"/>
  <c r="C90" i="8"/>
  <c r="C86" i="8" s="1"/>
  <c r="C121" i="10"/>
  <c r="E121" i="10" s="1"/>
  <c r="E112" i="10"/>
  <c r="F112" i="10"/>
  <c r="E48" i="13"/>
  <c r="E42" i="13" s="1"/>
  <c r="E59" i="13"/>
  <c r="E61" i="13" s="1"/>
  <c r="E57" i="13" s="1"/>
  <c r="F50" i="15"/>
  <c r="E100" i="15"/>
  <c r="F100" i="15" s="1"/>
  <c r="E52" i="17"/>
  <c r="D285" i="17"/>
  <c r="D269" i="17"/>
  <c r="E204" i="17"/>
  <c r="F204" i="17" s="1"/>
  <c r="E252" i="18"/>
  <c r="C65" i="19"/>
  <c r="C114" i="19" s="1"/>
  <c r="C116" i="19" s="1"/>
  <c r="C119" i="19" s="1"/>
  <c r="C123" i="19" s="1"/>
  <c r="F22" i="4"/>
  <c r="E38" i="4"/>
  <c r="F38" i="4"/>
  <c r="F49" i="6"/>
  <c r="E88" i="6"/>
  <c r="F167" i="7"/>
  <c r="E138" i="8"/>
  <c r="E141" i="8" s="1"/>
  <c r="E136" i="8"/>
  <c r="E139" i="8"/>
  <c r="E114" i="9"/>
  <c r="C75" i="11"/>
  <c r="E75" i="11" s="1"/>
  <c r="E30" i="15"/>
  <c r="F70" i="15"/>
  <c r="D137" i="17"/>
  <c r="E136" i="17"/>
  <c r="F136" i="17" s="1"/>
  <c r="F170" i="17"/>
  <c r="E170" i="17"/>
  <c r="C284" i="18"/>
  <c r="E284" i="18" s="1"/>
  <c r="E276" i="18"/>
  <c r="E303" i="18"/>
  <c r="F86" i="6"/>
  <c r="E153" i="6"/>
  <c r="F153" i="6"/>
  <c r="E24" i="9"/>
  <c r="E129" i="17"/>
  <c r="E24" i="7"/>
  <c r="F24" i="7" s="1"/>
  <c r="F119" i="10"/>
  <c r="F29" i="11"/>
  <c r="F19" i="21"/>
  <c r="D95" i="7"/>
  <c r="E95" i="7" s="1"/>
  <c r="F75" i="9"/>
  <c r="E75" i="9"/>
  <c r="F116" i="10"/>
  <c r="F60" i="15"/>
  <c r="C144" i="18"/>
  <c r="C175" i="18"/>
  <c r="E175" i="18" s="1"/>
  <c r="D46" i="20"/>
  <c r="D102" i="22"/>
  <c r="D103" i="22" s="1"/>
  <c r="E121" i="7"/>
  <c r="F121" i="7" s="1"/>
  <c r="C25" i="8"/>
  <c r="C27" i="8" s="1"/>
  <c r="C166" i="8"/>
  <c r="F95" i="10"/>
  <c r="C59" i="13"/>
  <c r="C61" i="13" s="1"/>
  <c r="C57" i="13" s="1"/>
  <c r="E16" i="15"/>
  <c r="F16" i="15" s="1"/>
  <c r="E13" i="16"/>
  <c r="F13" i="16" s="1"/>
  <c r="C68" i="17"/>
  <c r="E135" i="17"/>
  <c r="F135" i="17"/>
  <c r="D146" i="17"/>
  <c r="E146" i="17" s="1"/>
  <c r="D44" i="18"/>
  <c r="C289" i="18"/>
  <c r="E289" i="18" s="1"/>
  <c r="C33" i="22"/>
  <c r="C23" i="22"/>
  <c r="D77" i="22"/>
  <c r="F50" i="9"/>
  <c r="E50" i="9"/>
  <c r="F102" i="9"/>
  <c r="E102" i="9"/>
  <c r="F154" i="9"/>
  <c r="E154" i="9"/>
  <c r="C43" i="11"/>
  <c r="E60" i="15"/>
  <c r="F100" i="17"/>
  <c r="C239" i="17"/>
  <c r="F239" i="17" s="1"/>
  <c r="E77" i="22"/>
  <c r="E101" i="22"/>
  <c r="E103" i="22" s="1"/>
  <c r="E83" i="10"/>
  <c r="F107" i="15"/>
  <c r="E130" i="17"/>
  <c r="F130" i="17" s="1"/>
  <c r="D239" i="17"/>
  <c r="E239" i="17" s="1"/>
  <c r="C98" i="22"/>
  <c r="D188" i="7"/>
  <c r="E188" i="7" s="1"/>
  <c r="E23" i="22"/>
  <c r="E34" i="22"/>
  <c r="C101" i="22"/>
  <c r="C103" i="22" s="1"/>
  <c r="C40" i="22" l="1"/>
  <c r="C111" i="22"/>
  <c r="C46" i="22"/>
  <c r="C54" i="22"/>
  <c r="C36" i="22"/>
  <c r="C30" i="22"/>
  <c r="E180" i="18"/>
  <c r="D207" i="17"/>
  <c r="D138" i="17"/>
  <c r="E137" i="17"/>
  <c r="F137" i="17" s="1"/>
  <c r="E112" i="22"/>
  <c r="E55" i="22"/>
  <c r="E37" i="22"/>
  <c r="E47" i="22"/>
  <c r="D141" i="8"/>
  <c r="F46" i="20"/>
  <c r="C180" i="18"/>
  <c r="C168" i="18"/>
  <c r="E168" i="18" s="1"/>
  <c r="E144" i="18"/>
  <c r="C145" i="18"/>
  <c r="D154" i="8"/>
  <c r="D152" i="8"/>
  <c r="D158" i="8" s="1"/>
  <c r="D157" i="8"/>
  <c r="D155" i="8"/>
  <c r="D153" i="8"/>
  <c r="D156" i="8"/>
  <c r="F103" i="17"/>
  <c r="C104" i="17"/>
  <c r="E103" i="17"/>
  <c r="C105" i="17"/>
  <c r="D181" i="18"/>
  <c r="D169" i="18"/>
  <c r="E21" i="13"/>
  <c r="F45" i="20"/>
  <c r="D24" i="8"/>
  <c r="D20" i="8" s="1"/>
  <c r="D17" i="8"/>
  <c r="D117" i="18"/>
  <c r="F39" i="20"/>
  <c r="E24" i="13"/>
  <c r="E20" i="13" s="1"/>
  <c r="E17" i="13"/>
  <c r="E28" i="13" s="1"/>
  <c r="E70" i="13" s="1"/>
  <c r="E72" i="13" s="1"/>
  <c r="E69" i="13" s="1"/>
  <c r="F75" i="11"/>
  <c r="F159" i="17"/>
  <c r="E159" i="17"/>
  <c r="C160" i="17"/>
  <c r="C161" i="17"/>
  <c r="C20" i="8"/>
  <c r="C21" i="8"/>
  <c r="C22" i="8"/>
  <c r="F121" i="10"/>
  <c r="F188" i="7"/>
  <c r="D196" i="17"/>
  <c r="E194" i="17"/>
  <c r="D195" i="17"/>
  <c r="F176" i="17"/>
  <c r="E176" i="17"/>
  <c r="F268" i="17"/>
  <c r="E268" i="17"/>
  <c r="F43" i="11"/>
  <c r="E43" i="11"/>
  <c r="C266" i="17"/>
  <c r="C282" i="17"/>
  <c r="E282" i="17" s="1"/>
  <c r="C194" i="17"/>
  <c r="F193" i="17"/>
  <c r="C34" i="12"/>
  <c r="E108" i="22"/>
  <c r="E109" i="22"/>
  <c r="C152" i="8"/>
  <c r="C157" i="8"/>
  <c r="C156" i="8"/>
  <c r="C154" i="8"/>
  <c r="C153" i="8"/>
  <c r="C155" i="8"/>
  <c r="D286" i="17"/>
  <c r="E286" i="17" s="1"/>
  <c r="F286" i="17" s="1"/>
  <c r="E285" i="17"/>
  <c r="F285" i="17" s="1"/>
  <c r="D288" i="17"/>
  <c r="E157" i="18"/>
  <c r="C35" i="5"/>
  <c r="E21" i="5"/>
  <c r="F21" i="5" s="1"/>
  <c r="E207" i="9"/>
  <c r="D50" i="17"/>
  <c r="E49" i="17"/>
  <c r="F49" i="17" s="1"/>
  <c r="F95" i="7"/>
  <c r="D253" i="18"/>
  <c r="D49" i="12"/>
  <c r="E68" i="17"/>
  <c r="E111" i="22"/>
  <c r="E30" i="22"/>
  <c r="E36" i="22"/>
  <c r="E40" i="22"/>
  <c r="E46" i="22"/>
  <c r="E54" i="22"/>
  <c r="D98" i="18"/>
  <c r="D97" i="18"/>
  <c r="D96" i="18"/>
  <c r="D95" i="18"/>
  <c r="D89" i="18"/>
  <c r="D88" i="18"/>
  <c r="D85" i="18"/>
  <c r="D83" i="18"/>
  <c r="D101" i="18"/>
  <c r="D258" i="18"/>
  <c r="D84" i="18"/>
  <c r="D87" i="18"/>
  <c r="D100" i="18"/>
  <c r="D99" i="18"/>
  <c r="D86" i="18"/>
  <c r="D270" i="17"/>
  <c r="E270" i="17" s="1"/>
  <c r="F270" i="17" s="1"/>
  <c r="D272" i="17"/>
  <c r="E269" i="17"/>
  <c r="F269" i="17" s="1"/>
  <c r="D24" i="13"/>
  <c r="D20" i="13" s="1"/>
  <c r="D17" i="13"/>
  <c r="D28" i="13" s="1"/>
  <c r="D70" i="13" s="1"/>
  <c r="D72" i="13" s="1"/>
  <c r="D69" i="13" s="1"/>
  <c r="C77" i="18"/>
  <c r="E76" i="18"/>
  <c r="D21" i="8"/>
  <c r="D21" i="13"/>
  <c r="D22" i="13"/>
  <c r="D265" i="17"/>
  <c r="E126" i="17"/>
  <c r="F126" i="17" s="1"/>
  <c r="D127" i="17"/>
  <c r="E20" i="12"/>
  <c r="F20" i="12" s="1"/>
  <c r="D111" i="22"/>
  <c r="D108" i="22"/>
  <c r="D110" i="22"/>
  <c r="D112" i="22"/>
  <c r="D109" i="22"/>
  <c r="F68" i="17"/>
  <c r="E95" i="6"/>
  <c r="F95" i="6" s="1"/>
  <c r="C305" i="17"/>
  <c r="C44" i="18"/>
  <c r="C259" i="18"/>
  <c r="E43" i="18"/>
  <c r="D281" i="17"/>
  <c r="C211" i="17"/>
  <c r="E37" i="17"/>
  <c r="F37" i="17" s="1"/>
  <c r="D208" i="17" l="1"/>
  <c r="E207" i="17"/>
  <c r="F207" i="17" s="1"/>
  <c r="C309" i="17"/>
  <c r="D90" i="18"/>
  <c r="D102" i="18"/>
  <c r="E96" i="18"/>
  <c r="D289" i="17"/>
  <c r="E289" i="17" s="1"/>
  <c r="F289" i="17" s="1"/>
  <c r="D291" i="17"/>
  <c r="E288" i="17"/>
  <c r="F288" i="17" s="1"/>
  <c r="C158" i="8"/>
  <c r="C265" i="17"/>
  <c r="E195" i="17"/>
  <c r="E127" i="17"/>
  <c r="F127" i="17" s="1"/>
  <c r="E272" i="17"/>
  <c r="F272" i="17" s="1"/>
  <c r="D273" i="17"/>
  <c r="E273" i="17" s="1"/>
  <c r="F273" i="17" s="1"/>
  <c r="D264" i="18"/>
  <c r="E97" i="18"/>
  <c r="F104" i="17"/>
  <c r="E104" i="17"/>
  <c r="C181" i="18"/>
  <c r="C169" i="18"/>
  <c r="C56" i="22"/>
  <c r="C48" i="22"/>
  <c r="C38" i="22"/>
  <c r="C113" i="22"/>
  <c r="E95" i="18"/>
  <c r="E50" i="17"/>
  <c r="F50" i="17" s="1"/>
  <c r="D70" i="17"/>
  <c r="E70" i="17" s="1"/>
  <c r="F70" i="17" s="1"/>
  <c r="E196" i="17"/>
  <c r="D197" i="17"/>
  <c r="D91" i="18"/>
  <c r="D131" i="18"/>
  <c r="E169" i="18"/>
  <c r="E113" i="22"/>
  <c r="E56" i="22"/>
  <c r="E38" i="22"/>
  <c r="E48" i="22"/>
  <c r="C281" i="17"/>
  <c r="E281" i="17" s="1"/>
  <c r="F282" i="17"/>
  <c r="C162" i="17"/>
  <c r="E161" i="17"/>
  <c r="F161" i="17" s="1"/>
  <c r="C42" i="12"/>
  <c r="E34" i="12"/>
  <c r="F34" i="12" s="1"/>
  <c r="C126" i="18"/>
  <c r="E126" i="18" s="1"/>
  <c r="C111" i="18"/>
  <c r="E111" i="18" s="1"/>
  <c r="C112" i="18"/>
  <c r="E112" i="18" s="1"/>
  <c r="C109" i="18"/>
  <c r="C110" i="18"/>
  <c r="C127" i="18"/>
  <c r="E127" i="18" s="1"/>
  <c r="C121" i="18"/>
  <c r="C113" i="18"/>
  <c r="E113" i="18" s="1"/>
  <c r="E77" i="18"/>
  <c r="C114" i="18"/>
  <c r="E114" i="18" s="1"/>
  <c r="C125" i="18"/>
  <c r="E125" i="18" s="1"/>
  <c r="C123" i="18"/>
  <c r="E123" i="18" s="1"/>
  <c r="C115" i="18"/>
  <c r="E115" i="18" s="1"/>
  <c r="C124" i="18"/>
  <c r="E124" i="18" s="1"/>
  <c r="C122" i="18"/>
  <c r="E100" i="18"/>
  <c r="E35" i="5"/>
  <c r="F35" i="5"/>
  <c r="C43" i="5"/>
  <c r="E181" i="18"/>
  <c r="E105" i="17"/>
  <c r="F105" i="17" s="1"/>
  <c r="C106" i="17"/>
  <c r="E22" i="13"/>
  <c r="E266" i="17"/>
  <c r="F266" i="17" s="1"/>
  <c r="E160" i="17"/>
  <c r="F160" i="17"/>
  <c r="C263" i="18"/>
  <c r="E263" i="18" s="1"/>
  <c r="E259" i="18"/>
  <c r="C101" i="18"/>
  <c r="E101" i="18" s="1"/>
  <c r="C98" i="18"/>
  <c r="E98" i="18" s="1"/>
  <c r="C99" i="18"/>
  <c r="E99" i="18" s="1"/>
  <c r="C96" i="18"/>
  <c r="C97" i="18"/>
  <c r="C258" i="18"/>
  <c r="C85" i="18"/>
  <c r="E85" i="18" s="1"/>
  <c r="C95" i="18"/>
  <c r="C83" i="18"/>
  <c r="C88" i="18"/>
  <c r="E88" i="18" s="1"/>
  <c r="C100" i="18"/>
  <c r="C87" i="18"/>
  <c r="E87" i="18" s="1"/>
  <c r="C89" i="18"/>
  <c r="C86" i="18"/>
  <c r="E86" i="18" s="1"/>
  <c r="C84" i="18"/>
  <c r="E44" i="18"/>
  <c r="E89" i="18"/>
  <c r="E253" i="18"/>
  <c r="D254" i="18"/>
  <c r="E254" i="18" s="1"/>
  <c r="C196" i="17"/>
  <c r="C195" i="17"/>
  <c r="F194" i="17"/>
  <c r="D28" i="8"/>
  <c r="D112" i="8"/>
  <c r="D111" i="8" s="1"/>
  <c r="E145" i="18"/>
  <c r="E138" i="17"/>
  <c r="F138" i="17" s="1"/>
  <c r="D139" i="17"/>
  <c r="E139" i="17" s="1"/>
  <c r="F139" i="17" s="1"/>
  <c r="D140" i="17"/>
  <c r="E109" i="18" l="1"/>
  <c r="F162" i="17"/>
  <c r="C183" i="17"/>
  <c r="C323" i="17"/>
  <c r="C197" i="17"/>
  <c r="E162" i="17"/>
  <c r="E102" i="18"/>
  <c r="C103" i="18"/>
  <c r="E197" i="17"/>
  <c r="F265" i="17"/>
  <c r="C264" i="18"/>
  <c r="C266" i="18" s="1"/>
  <c r="C267" i="18" s="1"/>
  <c r="C128" i="18"/>
  <c r="E128" i="18" s="1"/>
  <c r="E122" i="18"/>
  <c r="C129" i="18"/>
  <c r="E129" i="18" s="1"/>
  <c r="E121" i="18"/>
  <c r="F42" i="12"/>
  <c r="C49" i="12"/>
  <c r="E42" i="12"/>
  <c r="C310" i="17"/>
  <c r="D99" i="8"/>
  <c r="D101" i="8" s="1"/>
  <c r="D98" i="8" s="1"/>
  <c r="D22" i="8"/>
  <c r="C324" i="17"/>
  <c r="E106" i="17"/>
  <c r="F106" i="17" s="1"/>
  <c r="C113" i="17"/>
  <c r="F281" i="17"/>
  <c r="D266" i="18"/>
  <c r="E264" i="18"/>
  <c r="F196" i="17"/>
  <c r="C102" i="18"/>
  <c r="E265" i="17"/>
  <c r="D305" i="17"/>
  <c r="E291" i="17"/>
  <c r="F291" i="17" s="1"/>
  <c r="C50" i="5"/>
  <c r="E43" i="5"/>
  <c r="F43" i="5" s="1"/>
  <c r="C90" i="18"/>
  <c r="C91" i="18" s="1"/>
  <c r="E84" i="18"/>
  <c r="E258" i="18"/>
  <c r="F195" i="17"/>
  <c r="E140" i="17"/>
  <c r="F140" i="17" s="1"/>
  <c r="D141" i="17"/>
  <c r="C116" i="18"/>
  <c r="E116" i="18" s="1"/>
  <c r="E110" i="18"/>
  <c r="E83" i="18"/>
  <c r="D103" i="18"/>
  <c r="D209" i="17"/>
  <c r="E209" i="17" s="1"/>
  <c r="F209" i="17" s="1"/>
  <c r="D210" i="17"/>
  <c r="E208" i="17"/>
  <c r="F208" i="17" s="1"/>
  <c r="C268" i="18" l="1"/>
  <c r="C269" i="18"/>
  <c r="C105" i="18"/>
  <c r="E91" i="18"/>
  <c r="D211" i="17"/>
  <c r="E211" i="17" s="1"/>
  <c r="F211" i="17" s="1"/>
  <c r="E210" i="17"/>
  <c r="F210" i="17" s="1"/>
  <c r="F324" i="17"/>
  <c r="C325" i="17"/>
  <c r="E324" i="17"/>
  <c r="E90" i="18"/>
  <c r="F183" i="17"/>
  <c r="E183" i="17"/>
  <c r="E103" i="18"/>
  <c r="F323" i="17"/>
  <c r="E323" i="17"/>
  <c r="E266" i="18"/>
  <c r="D267" i="18"/>
  <c r="C312" i="17"/>
  <c r="D105" i="18"/>
  <c r="E105" i="18" s="1"/>
  <c r="E49" i="12"/>
  <c r="F49" i="12" s="1"/>
  <c r="D322" i="17"/>
  <c r="E141" i="17"/>
  <c r="F141" i="17" s="1"/>
  <c r="D148" i="17"/>
  <c r="E148" i="17" s="1"/>
  <c r="F148" i="17" s="1"/>
  <c r="E50" i="5"/>
  <c r="F50" i="5"/>
  <c r="D309" i="17"/>
  <c r="E305" i="17"/>
  <c r="F305" i="17" s="1"/>
  <c r="E113" i="17"/>
  <c r="F113" i="17" s="1"/>
  <c r="F197" i="17"/>
  <c r="C117" i="18"/>
  <c r="D310" i="17" l="1"/>
  <c r="E309" i="17"/>
  <c r="F309" i="17" s="1"/>
  <c r="C313" i="17"/>
  <c r="E322" i="17"/>
  <c r="F322" i="17" s="1"/>
  <c r="D325" i="17"/>
  <c r="E325" i="17" s="1"/>
  <c r="F325" i="17" s="1"/>
  <c r="C131" i="18"/>
  <c r="E131" i="18" s="1"/>
  <c r="E117" i="18"/>
  <c r="E267" i="18"/>
  <c r="D269" i="18"/>
  <c r="E269" i="18" s="1"/>
  <c r="D268" i="18"/>
  <c r="C271" i="18"/>
  <c r="E310" i="17" l="1"/>
  <c r="F310" i="17" s="1"/>
  <c r="D312" i="17"/>
  <c r="C315" i="17"/>
  <c r="C256" i="17"/>
  <c r="C314" i="17"/>
  <c r="C251" i="17"/>
  <c r="D271" i="18"/>
  <c r="E271" i="18" s="1"/>
  <c r="E268" i="18"/>
  <c r="C257" i="17" l="1"/>
  <c r="E312" i="17"/>
  <c r="F312" i="17" s="1"/>
  <c r="D313" i="17"/>
  <c r="C318" i="17"/>
  <c r="D314" i="17" l="1"/>
  <c r="D251" i="17"/>
  <c r="E251" i="17" s="1"/>
  <c r="F251" i="17" s="1"/>
  <c r="E313" i="17"/>
  <c r="F313" i="17" s="1"/>
  <c r="D256" i="17"/>
  <c r="D315" i="17"/>
  <c r="E315" i="17" s="1"/>
  <c r="F315" i="17" s="1"/>
  <c r="E256" i="17" l="1"/>
  <c r="F256" i="17" s="1"/>
  <c r="D257" i="17"/>
  <c r="E257" i="17" s="1"/>
  <c r="F257" i="17" s="1"/>
  <c r="E314" i="17"/>
  <c r="F314" i="17" s="1"/>
  <c r="D318" i="17"/>
  <c r="E318" i="17" s="1"/>
  <c r="F318" i="17" s="1"/>
</calcChain>
</file>

<file path=xl/sharedStrings.xml><?xml version="1.0" encoding="utf-8"?>
<sst xmlns="http://schemas.openxmlformats.org/spreadsheetml/2006/main" count="2333" uniqueCount="1010">
  <si>
    <t>CT CHILDREN`S MEDICAL CENTER</t>
  </si>
  <si>
    <t>TWELVE MONTHS ACTUAL FILING</t>
  </si>
  <si>
    <t>FISCAL YEAR 2013</t>
  </si>
  <si>
    <t>REPORT 100 - HOSPITAL BALANCE SHEET INFORMATION</t>
  </si>
  <si>
    <t>FY 2012</t>
  </si>
  <si>
    <t>FY 2013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</si>
  <si>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</si>
  <si>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</si>
  <si>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</si>
  <si>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</si>
  <si>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</si>
  <si>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</si>
  <si>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</si>
  <si>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</si>
  <si>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</si>
  <si>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</si>
  <si>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</si>
  <si>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</si>
  <si>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</si>
  <si>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</si>
  <si>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</si>
  <si>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</si>
  <si>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</si>
  <si>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</si>
  <si>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</si>
  <si>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</si>
  <si>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</si>
  <si>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</si>
  <si>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</si>
  <si>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</si>
  <si>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</si>
  <si>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</si>
  <si>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</si>
  <si>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</si>
  <si>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</si>
  <si>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</si>
  <si>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</si>
  <si>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</si>
  <si>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</si>
  <si>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</si>
  <si>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</si>
  <si>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</si>
  <si>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</si>
  <si>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</si>
  <si>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</si>
  <si>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</si>
  <si>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</si>
  <si>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</si>
  <si>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</si>
  <si>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</si>
  <si>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</si>
  <si>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</si>
  <si>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</si>
  <si>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</si>
  <si>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</si>
  <si>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</si>
  <si>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</si>
  <si>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</si>
  <si>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</si>
  <si>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</si>
  <si>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</si>
  <si>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</si>
  <si>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</si>
  <si>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</si>
  <si>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</si>
  <si>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</si>
  <si>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</si>
  <si>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</si>
  <si>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</si>
  <si>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</si>
  <si>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</si>
  <si>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</si>
  <si>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</si>
  <si>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</si>
  <si>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</si>
  <si>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</si>
  <si>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</si>
  <si>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</si>
  <si>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</si>
  <si>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</si>
  <si>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</si>
  <si>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</si>
  <si>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</si>
  <si>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</si>
  <si>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</si>
  <si>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</si>
  <si>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</si>
  <si>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</si>
  <si>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</si>
  <si>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</si>
  <si>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</si>
  <si>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</si>
  <si>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</si>
  <si>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</si>
  <si>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</si>
  <si>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</si>
  <si>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</si>
  <si>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</si>
  <si>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</si>
  <si>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</si>
  <si>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</si>
  <si>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</si>
  <si>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</si>
  <si>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</si>
  <si>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</si>
  <si>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</si>
  <si>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</si>
  <si>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2012                ACTUAL</t>
  </si>
  <si>
    <t>FY 2013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</si>
  <si>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</si>
  <si>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</si>
  <si>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</si>
  <si>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</si>
  <si>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</si>
  <si>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</si>
  <si>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</si>
  <si>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</si>
  <si>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</si>
  <si>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</si>
  <si>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</si>
  <si>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</si>
  <si>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</si>
  <si>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</si>
  <si>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</si>
  <si>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</si>
  <si>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</si>
  <si>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</si>
  <si>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</si>
  <si>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</si>
  <si>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</si>
  <si>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</si>
  <si>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</si>
  <si>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</si>
  <si>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</si>
  <si>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</si>
  <si>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</si>
  <si>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</si>
  <si>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</si>
  <si>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</si>
  <si>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</si>
  <si>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</si>
  <si>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</si>
  <si>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</si>
  <si>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</si>
  <si>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</si>
  <si>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</si>
  <si>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</si>
  <si>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</si>
  <si>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</si>
  <si>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</si>
  <si>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</si>
  <si>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</si>
  <si>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</si>
  <si>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</si>
  <si>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</si>
  <si>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</si>
  <si>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</si>
  <si>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</si>
  <si>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</si>
  <si>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</si>
  <si>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</si>
  <si>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</si>
  <si>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</si>
  <si>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</si>
  <si>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</si>
  <si>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</si>
  <si>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</si>
  <si>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</si>
  <si>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</si>
  <si>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</si>
  <si>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</si>
  <si>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</si>
  <si>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</si>
  <si>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</si>
  <si>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</si>
  <si>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</si>
  <si>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</si>
  <si>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</si>
  <si>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</si>
  <si>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</si>
  <si>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</si>
  <si>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</si>
  <si>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</si>
  <si>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</si>
  <si>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</si>
  <si>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</si>
  <si>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</si>
  <si>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</si>
  <si>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</si>
  <si>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</si>
  <si>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</si>
  <si>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</si>
  <si>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</si>
  <si>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</si>
  <si>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</si>
  <si>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</si>
  <si>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</si>
  <si>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</si>
  <si>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</si>
  <si>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</si>
  <si>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</si>
  <si>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</si>
  <si>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</si>
  <si>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</si>
  <si>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</si>
  <si>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</si>
  <si>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</si>
  <si>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</si>
  <si>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</si>
  <si>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</si>
  <si>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</si>
  <si>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</si>
  <si>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</si>
  <si>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</si>
  <si>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</si>
  <si>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</si>
  <si>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</si>
  <si>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</si>
  <si>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</si>
  <si>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</si>
  <si>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</si>
  <si>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</si>
  <si>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</si>
  <si>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</si>
  <si>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</si>
  <si>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</si>
  <si>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</si>
  <si>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</si>
  <si>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</si>
  <si>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</si>
  <si>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</si>
  <si>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</si>
  <si>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</si>
  <si>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</si>
  <si>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</si>
  <si>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</si>
  <si>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</si>
  <si>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</si>
  <si>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</si>
  <si>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</si>
  <si>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</si>
  <si>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</si>
  <si>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</si>
  <si>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</si>
  <si>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</si>
  <si>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</si>
  <si>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</si>
  <si>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</si>
  <si>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</si>
  <si>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</si>
  <si>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</si>
  <si>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</si>
  <si>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</si>
  <si>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</si>
  <si>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</si>
  <si>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</si>
  <si>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</si>
  <si>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</si>
  <si>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</si>
  <si>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</si>
  <si>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</si>
  <si>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</si>
  <si>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</si>
  <si>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</si>
  <si>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</si>
  <si>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</si>
  <si>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</si>
  <si>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</si>
  <si>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</si>
  <si>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</si>
  <si>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</si>
  <si>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</si>
  <si>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</si>
  <si>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</si>
  <si>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</si>
  <si>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</si>
  <si>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</si>
  <si>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</si>
  <si>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</si>
  <si>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</si>
  <si>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</si>
  <si>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</si>
  <si>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</si>
  <si>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</si>
  <si>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</si>
  <si>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</si>
  <si>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</si>
  <si>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</si>
  <si>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</si>
  <si>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</si>
  <si>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</si>
  <si>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</si>
  <si>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</si>
  <si>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</si>
  <si>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</si>
  <si>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</si>
  <si>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</si>
  <si>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</si>
  <si>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</si>
  <si>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</si>
  <si>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</si>
  <si>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</si>
  <si>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</si>
  <si>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</si>
  <si>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</si>
  <si>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</si>
  <si>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</si>
  <si>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</si>
  <si>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</si>
  <si>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</si>
  <si>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</si>
  <si>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</si>
  <si>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</si>
  <si>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</si>
  <si>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2013</t>
  </si>
  <si>
    <t>REPORT 185 - HOSPITAL FINANCIAL AND STATISTICAL DATA ANALYSIS</t>
  </si>
  <si>
    <t xml:space="preserve">      FY 2011</t>
  </si>
  <si>
    <t xml:space="preserve">      FY 2012</t>
  </si>
  <si>
    <t xml:space="preserve">      FY 2013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</si>
  <si>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</si>
  <si>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</si>
  <si>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</si>
  <si>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</si>
  <si>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</si>
  <si>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</si>
  <si>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</si>
  <si>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</si>
  <si>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</si>
  <si>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</si>
  <si>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</si>
  <si>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</si>
  <si>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</si>
  <si>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</si>
  <si>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</si>
  <si>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</si>
  <si>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</si>
  <si>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</si>
  <si>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</si>
  <si>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</si>
  <si>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</si>
  <si>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</si>
  <si>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</si>
  <si>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</si>
  <si>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</si>
  <si>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</si>
  <si>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</si>
  <si>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</si>
  <si>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</si>
  <si>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</si>
  <si>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</si>
  <si>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</si>
  <si>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</si>
  <si>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</si>
  <si>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</si>
  <si>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</si>
  <si>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</si>
  <si>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</si>
  <si>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</si>
  <si>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</si>
  <si>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</si>
  <si>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</si>
  <si>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</si>
  <si>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</si>
  <si>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</si>
  <si>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</si>
  <si>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</si>
  <si>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</si>
  <si>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</si>
  <si>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</si>
  <si>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</si>
  <si>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</si>
  <si>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</si>
  <si>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</si>
  <si>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</si>
  <si>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</si>
  <si>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</si>
  <si>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</si>
  <si>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</si>
  <si>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</si>
  <si>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</si>
  <si>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</si>
  <si>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</si>
  <si>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</si>
  <si>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</si>
  <si>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</si>
  <si>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</si>
  <si>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</si>
  <si>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</si>
  <si>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</si>
  <si>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</si>
  <si>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</si>
  <si>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</si>
  <si>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</si>
  <si>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</si>
  <si>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</si>
  <si>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</si>
  <si>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</si>
  <si>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</si>
  <si>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</si>
  <si>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</si>
  <si>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</si>
  <si>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</si>
  <si>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</si>
  <si>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</si>
  <si>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</si>
  <si>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</si>
  <si>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</si>
  <si>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</si>
  <si>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</si>
  <si>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</si>
  <si>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</si>
  <si>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</si>
  <si>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</si>
  <si>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</si>
  <si>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</si>
  <si>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</si>
  <si>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</si>
  <si>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</si>
  <si>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</si>
  <si>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</si>
  <si>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</si>
  <si>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</si>
  <si>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</si>
  <si>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</si>
  <si>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</si>
  <si>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</si>
  <si>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</si>
  <si>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</si>
  <si>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</si>
  <si>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</si>
  <si>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</si>
  <si>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</si>
  <si>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</si>
  <si>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</si>
  <si>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</si>
  <si>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</si>
  <si>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2012 ACTUAL</t>
  </si>
  <si>
    <t>FY 2013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</si>
  <si>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</si>
  <si>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</si>
  <si>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</si>
  <si>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</si>
  <si>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</si>
  <si>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</si>
  <si>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</si>
  <si>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</si>
  <si>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</si>
  <si>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</si>
  <si>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</si>
  <si>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</si>
  <si>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</si>
  <si>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</si>
  <si>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</si>
  <si>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</si>
  <si>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</si>
  <si>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</si>
  <si>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</si>
  <si>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</si>
  <si>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</si>
  <si>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</si>
  <si>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</si>
  <si>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</si>
  <si>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</si>
  <si>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</si>
  <si>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</si>
  <si>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</si>
  <si>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</si>
  <si>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</si>
  <si>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</si>
  <si>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</si>
  <si>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</si>
  <si>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</si>
  <si>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</si>
  <si>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</si>
  <si>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2012 ACTUAL     </t>
  </si>
  <si>
    <t xml:space="preserve">      FY 2013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</si>
  <si>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</si>
  <si>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</si>
  <si>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</si>
  <si>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</si>
  <si>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</si>
  <si>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</si>
  <si>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</si>
  <si>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</si>
  <si>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</si>
  <si>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</si>
  <si>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</si>
  <si>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</si>
  <si>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</si>
  <si>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</si>
  <si>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</si>
  <si>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</si>
  <si>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</si>
  <si>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</si>
  <si>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</si>
  <si>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</si>
  <si>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</si>
  <si>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</si>
  <si>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</si>
  <si>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</si>
  <si>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CCMC CORPORATION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</si>
  <si>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</si>
  <si>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</si>
  <si>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</si>
  <si>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</si>
  <si>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2011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</si>
  <si>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</si>
  <si>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</si>
  <si>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</si>
  <si>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</si>
  <si>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</si>
  <si>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</si>
  <si>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</si>
  <si>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</si>
  <si>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</si>
  <si>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</si>
  <si>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</si>
  <si>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</si>
  <si>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</si>
  <si>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</si>
  <si>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</si>
  <si>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</si>
  <si>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</si>
  <si>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</si>
  <si>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</si>
  <si>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</si>
  <si>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</si>
  <si>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</si>
  <si>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</si>
  <si>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</si>
  <si>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</si>
  <si>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</si>
  <si>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</si>
  <si>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</si>
  <si>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</si>
  <si>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</si>
  <si>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</si>
  <si>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</si>
  <si>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</si>
  <si>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</si>
  <si>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</si>
  <si>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</si>
  <si>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</si>
  <si>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</si>
  <si>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</si>
  <si>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</si>
  <si>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</si>
  <si>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</si>
  <si>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</si>
  <si>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</si>
  <si>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</si>
  <si>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</si>
  <si>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</si>
  <si>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</si>
  <si>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</si>
  <si>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</si>
  <si>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</si>
  <si>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</si>
  <si>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</si>
  <si>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</si>
  <si>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</si>
  <si>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</si>
  <si>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</si>
  <si>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</si>
  <si>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</si>
  <si>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</si>
  <si>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</si>
  <si>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</si>
  <si>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</si>
  <si>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</si>
  <si>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</si>
  <si>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</si>
  <si>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</si>
  <si>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</si>
  <si>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</si>
  <si>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</si>
  <si>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</si>
  <si>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</si>
  <si>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</si>
  <si>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</si>
  <si>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</si>
  <si>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</si>
  <si>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</si>
  <si>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</si>
  <si>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</si>
  <si>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</si>
  <si>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</si>
  <si>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</si>
  <si>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</si>
  <si>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</si>
  <si>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</si>
  <si>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</si>
  <si>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</si>
  <si>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</si>
  <si>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</si>
  <si>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</si>
  <si>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</si>
  <si>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</si>
  <si>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</si>
  <si>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</si>
  <si>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</si>
  <si>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</si>
  <si>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</si>
  <si>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</si>
  <si>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</si>
  <si>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</si>
  <si>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</si>
  <si>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</si>
  <si>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</si>
  <si>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</si>
  <si>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</si>
  <si>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</si>
  <si>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</si>
  <si>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</si>
  <si>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</si>
  <si>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</si>
  <si>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</si>
  <si>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</si>
  <si>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</si>
  <si>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</si>
  <si>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</si>
  <si>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Hospital OR Suite</t>
  </si>
  <si>
    <t>Total Outpatient Surgical Procedures(A)</t>
  </si>
  <si>
    <t>Hospital ENDO Suite</t>
  </si>
  <si>
    <t>Total Outpatient Endoscopy Procedures(B)</t>
  </si>
  <si>
    <t>Outpatient Hospital Emergency Room Visits</t>
  </si>
  <si>
    <t>Hospital Emergency Department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</si>
  <si>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</si>
  <si>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</si>
  <si>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</si>
  <si>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</si>
  <si>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</si>
  <si>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</si>
  <si>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</si>
  <si>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</si>
  <si>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</si>
  <si>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</si>
  <si>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</si>
  <si>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</si>
  <si>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</si>
  <si>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</si>
  <si>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</si>
  <si>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</si>
  <si>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</si>
  <si>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</si>
  <si>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</si>
  <si>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</si>
  <si>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</si>
  <si>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</si>
  <si>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</si>
  <si>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</si>
  <si>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</si>
  <si>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</si>
  <si>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</si>
  <si>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</si>
  <si>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</si>
  <si>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</si>
  <si>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</si>
  <si>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</si>
  <si>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</si>
  <si>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</si>
  <si>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</si>
  <si>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</si>
  <si>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</si>
  <si>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</si>
  <si>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</si>
  <si>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</si>
  <si>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</si>
  <si>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</si>
  <si>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</si>
  <si>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</si>
  <si>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</si>
  <si>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</si>
  <si>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</si>
  <si>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</si>
  <si>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</si>
  <si>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</si>
  <si>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</si>
  <si>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</si>
  <si>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</si>
  <si>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</si>
  <si>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</si>
  <si>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</si>
  <si>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</si>
  <si>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</si>
  <si>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</si>
  <si>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</si>
  <si>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</si>
  <si>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</si>
  <si>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</si>
  <si>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</si>
  <si>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</si>
  <si>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</si>
  <si>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</si>
  <si>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</si>
  <si>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</si>
  <si>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</si>
  <si>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</si>
  <si>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</si>
  <si>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</si>
  <si>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</si>
  <si>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</si>
  <si>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</si>
  <si>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</si>
  <si>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</si>
  <si>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</si>
  <si>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</si>
  <si>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</si>
  <si>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</si>
  <si>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</si>
  <si>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</si>
  <si>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</si>
  <si>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</si>
  <si>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</si>
  <si>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</si>
  <si>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</si>
  <si>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</si>
  <si>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</si>
  <si>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</si>
  <si>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</si>
  <si>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</si>
  <si>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</si>
  <si>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</si>
  <si>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</si>
  <si>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</si>
  <si>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</si>
  <si>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</si>
  <si>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</si>
  <si>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</si>
  <si>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</si>
  <si>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</si>
  <si>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</si>
  <si>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</si>
  <si>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</si>
  <si>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</si>
  <si>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</si>
  <si>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</si>
  <si>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</si>
  <si>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</si>
  <si>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</si>
  <si>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</si>
  <si>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</si>
  <si>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</si>
  <si>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</si>
  <si>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</si>
  <si>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</si>
  <si>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</si>
  <si>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</si>
  <si>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</si>
  <si>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</si>
  <si>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</si>
  <si>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</si>
  <si>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</si>
  <si>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</si>
  <si>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</si>
  <si>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</si>
  <si>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</si>
  <si>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</si>
  <si>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</si>
  <si>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</si>
  <si>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</si>
  <si>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</si>
  <si>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</si>
  <si>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</si>
  <si>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</si>
  <si>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</si>
  <si>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</si>
  <si>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</si>
  <si>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</si>
  <si>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</si>
  <si>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</si>
  <si>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2013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</si>
  <si>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</si>
  <si>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</si>
  <si>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2012</t>
    </r>
  </si>
  <si>
    <r>
      <t xml:space="preserve">ACTUAL            </t>
    </r>
    <r>
      <rPr>
        <b/>
        <u/>
        <sz val="12"/>
        <rFont val="Arial"/>
        <family val="2"/>
      </rPr>
      <t>FY 2013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</si>
  <si>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</si>
  <si>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</si>
  <si>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</si>
  <si>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</si>
  <si>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</si>
  <si>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</si>
  <si>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</si>
  <si>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</si>
  <si>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</si>
  <si>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</si>
  <si>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</si>
  <si>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</si>
  <si>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</si>
  <si>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</si>
  <si>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</si>
  <si>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</si>
  <si>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</si>
  <si>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</si>
  <si>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</si>
  <si>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</si>
  <si>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</si>
  <si>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</si>
  <si>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</si>
  <si>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</si>
  <si>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</si>
  <si>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</si>
  <si>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</si>
  <si>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</si>
  <si>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</si>
  <si>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</si>
  <si>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</si>
  <si>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</si>
  <si>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</si>
  <si>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</si>
  <si>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</si>
  <si>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</si>
  <si>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</si>
  <si>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</si>
  <si>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</si>
  <si>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</si>
  <si>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</si>
  <si>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</si>
  <si>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</si>
  <si>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</si>
  <si>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</si>
  <si>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</si>
  <si>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</si>
  <si>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</si>
  <si>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</si>
  <si>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</si>
  <si>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</si>
  <si>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</si>
  <si>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</si>
  <si>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</si>
  <si>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</si>
  <si>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</si>
  <si>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</si>
  <si>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</si>
  <si>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</si>
  <si>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</si>
  <si>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</si>
  <si>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</si>
  <si>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</si>
  <si>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</si>
  <si>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</si>
  <si>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</si>
  <si>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</si>
  <si>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</si>
  <si>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</si>
  <si>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</si>
  <si>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</si>
  <si>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</si>
  <si>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</si>
  <si>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</si>
  <si>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</si>
  <si>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</si>
  <si>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</si>
  <si>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</si>
  <si>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</si>
  <si>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</si>
  <si>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</si>
  <si>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</si>
  <si>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</si>
  <si>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</si>
  <si>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</si>
  <si>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</si>
  <si>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</si>
  <si>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</si>
  <si>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</si>
  <si>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</si>
  <si>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</si>
  <si>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</si>
  <si>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</si>
  <si>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</si>
  <si>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</si>
  <si>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</si>
  <si>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</si>
  <si>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2013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</si>
  <si>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</si>
  <si>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</si>
  <si>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</si>
  <si>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</si>
  <si>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</si>
  <si>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</si>
  <si>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</si>
  <si>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</si>
  <si>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</si>
  <si>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</si>
  <si>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</si>
  <si>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</si>
  <si>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</si>
  <si>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</si>
  <si>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</si>
  <si>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</si>
  <si>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</si>
  <si>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</si>
  <si>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</si>
  <si>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</si>
  <si>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</si>
  <si>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</si>
  <si>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</si>
  <si>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</si>
  <si>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</si>
  <si>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</si>
  <si>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</si>
  <si>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</si>
  <si>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</si>
  <si>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</si>
  <si>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</si>
  <si>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</si>
  <si>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</si>
  <si>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</si>
  <si>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</si>
  <si>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</si>
  <si>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</si>
  <si>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</si>
  <si>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</si>
  <si>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</si>
  <si>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</si>
  <si>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</si>
  <si>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</si>
  <si>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</si>
  <si>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</si>
  <si>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</si>
  <si>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</si>
  <si>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</si>
  <si>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</si>
  <si>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</si>
  <si>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</si>
  <si>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</si>
  <si>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</si>
  <si>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</si>
  <si>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</si>
  <si>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2011</t>
    </r>
  </si>
  <si>
    <r>
      <t xml:space="preserve">ACTUAL          </t>
    </r>
    <r>
      <rPr>
        <b/>
        <u/>
        <sz val="14"/>
        <rFont val="Arial"/>
        <family val="2"/>
      </rPr>
      <t>FY 2012</t>
    </r>
  </si>
  <si>
    <r>
      <t xml:space="preserve">ACTUAL          </t>
    </r>
    <r>
      <rPr>
        <b/>
        <u/>
        <sz val="14"/>
        <rFont val="Arial"/>
        <family val="2"/>
      </rPr>
      <t>FY 2013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</si>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</sst>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482737</v>
      </c>
      <c r="D13" s="22">
        <v>1782072</v>
      </c>
      <c r="E13" s="22">
        <f t="shared" ref="E13:E22" si="0">D13-C13</f>
        <v>1299335</v>
      </c>
      <c r="F13" s="23">
        <f t="shared" ref="F13:F22" si="1">IF(C13=0,0,E13/C13)</f>
        <v>2.6916001880941383</v>
      </c>
    </row>
    <row r="14" spans="1:8" ht="24" customHeight="1" x14ac:dyDescent="0.2">
      <c r="A14" s="20">
        <v>2</v>
      </c>
      <c r="B14" s="21" t="s">
        <v>17</v>
      </c>
      <c r="C14" s="22">
        <v>0</v>
      </c>
      <c r="D14" s="22">
        <v>0</v>
      </c>
      <c r="E14" s="22">
        <f t="shared" si="0"/>
        <v>0</v>
      </c>
      <c r="F14" s="23">
        <f t="shared" si="1"/>
        <v>0</v>
      </c>
    </row>
    <row r="15" spans="1:8" ht="24" customHeight="1" x14ac:dyDescent="0.2">
      <c r="A15" s="20">
        <v>3</v>
      </c>
      <c r="B15" s="21" t="s">
        <v>18</v>
      </c>
      <c r="C15" s="22">
        <v>29412780</v>
      </c>
      <c r="D15" s="22">
        <v>27453944</v>
      </c>
      <c r="E15" s="22">
        <f t="shared" si="0"/>
        <v>-1958836</v>
      </c>
      <c r="F15" s="23">
        <f t="shared" si="1"/>
        <v>-6.6598125032723873E-2</v>
      </c>
    </row>
    <row r="16" spans="1:8" ht="24" customHeight="1" x14ac:dyDescent="0.2">
      <c r="A16" s="20">
        <v>4</v>
      </c>
      <c r="B16" s="21" t="s">
        <v>19</v>
      </c>
      <c r="C16" s="22">
        <v>10408581</v>
      </c>
      <c r="D16" s="22">
        <v>17008322</v>
      </c>
      <c r="E16" s="22">
        <f t="shared" si="0"/>
        <v>6599741</v>
      </c>
      <c r="F16" s="23">
        <f t="shared" si="1"/>
        <v>0.63406731426694951</v>
      </c>
    </row>
    <row r="17" spans="1:11" ht="24" customHeight="1" x14ac:dyDescent="0.2">
      <c r="A17" s="20">
        <v>5</v>
      </c>
      <c r="B17" s="21" t="s">
        <v>20</v>
      </c>
      <c r="C17" s="22">
        <v>6701228</v>
      </c>
      <c r="D17" s="22">
        <v>1645518</v>
      </c>
      <c r="E17" s="22">
        <f t="shared" si="0"/>
        <v>-5055710</v>
      </c>
      <c r="F17" s="23">
        <f t="shared" si="1"/>
        <v>-0.75444530465162507</v>
      </c>
    </row>
    <row r="18" spans="1:11" ht="24" customHeight="1" x14ac:dyDescent="0.2">
      <c r="A18" s="20">
        <v>6</v>
      </c>
      <c r="B18" s="21" t="s">
        <v>21</v>
      </c>
      <c r="C18" s="22">
        <v>4899895</v>
      </c>
      <c r="D18" s="22">
        <v>0</v>
      </c>
      <c r="E18" s="22">
        <f t="shared" si="0"/>
        <v>-4899895</v>
      </c>
      <c r="F18" s="23">
        <f t="shared" si="1"/>
        <v>-1</v>
      </c>
    </row>
    <row r="19" spans="1:11" ht="24" customHeight="1" x14ac:dyDescent="0.2">
      <c r="A19" s="20">
        <v>7</v>
      </c>
      <c r="B19" s="21" t="s">
        <v>22</v>
      </c>
      <c r="C19" s="22">
        <v>655745</v>
      </c>
      <c r="D19" s="22">
        <v>1056206</v>
      </c>
      <c r="E19" s="22">
        <f t="shared" si="0"/>
        <v>400461</v>
      </c>
      <c r="F19" s="23">
        <f t="shared" si="1"/>
        <v>0.61069623100443005</v>
      </c>
    </row>
    <row r="20" spans="1:11" ht="24" customHeight="1" x14ac:dyDescent="0.2">
      <c r="A20" s="20">
        <v>8</v>
      </c>
      <c r="B20" s="21" t="s">
        <v>23</v>
      </c>
      <c r="C20" s="22">
        <v>2245764</v>
      </c>
      <c r="D20" s="22">
        <v>2365218</v>
      </c>
      <c r="E20" s="22">
        <f t="shared" si="0"/>
        <v>119454</v>
      </c>
      <c r="F20" s="23">
        <f t="shared" si="1"/>
        <v>5.3190807226404908E-2</v>
      </c>
    </row>
    <row r="21" spans="1:11" ht="24" customHeight="1" x14ac:dyDescent="0.2">
      <c r="A21" s="20">
        <v>9</v>
      </c>
      <c r="B21" s="21" t="s">
        <v>24</v>
      </c>
      <c r="C21" s="22">
        <v>6186504</v>
      </c>
      <c r="D21" s="22">
        <v>7343034</v>
      </c>
      <c r="E21" s="22">
        <f t="shared" si="0"/>
        <v>1156530</v>
      </c>
      <c r="F21" s="23">
        <f t="shared" si="1"/>
        <v>0.18694403171807536</v>
      </c>
    </row>
    <row r="22" spans="1:11" ht="24" customHeight="1" x14ac:dyDescent="0.25">
      <c r="A22" s="24"/>
      <c r="B22" s="25" t="s">
        <v>25</v>
      </c>
      <c r="C22" s="26">
        <f>SUM(C13:C21)</f>
        <v>60993234</v>
      </c>
      <c r="D22" s="26">
        <f>SUM(D13:D21)</f>
        <v>58654314</v>
      </c>
      <c r="E22" s="26">
        <f t="shared" si="0"/>
        <v>-2338920</v>
      </c>
      <c r="F22" s="27">
        <f t="shared" si="1"/>
        <v>-3.8347204216126661E-2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75705081</v>
      </c>
      <c r="D25" s="22">
        <v>79200328</v>
      </c>
      <c r="E25" s="22">
        <f>D25-C25</f>
        <v>3495247</v>
      </c>
      <c r="F25" s="23">
        <f>IF(C25=0,0,E25/C25)</f>
        <v>4.6169252497068193E-2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0</v>
      </c>
      <c r="D28" s="22">
        <v>0</v>
      </c>
      <c r="E28" s="22">
        <f>D28-C28</f>
        <v>0</v>
      </c>
      <c r="F28" s="23">
        <f>IF(C28=0,0,E28/C28)</f>
        <v>0</v>
      </c>
    </row>
    <row r="29" spans="1:11" ht="24" customHeight="1" x14ac:dyDescent="0.25">
      <c r="A29" s="24"/>
      <c r="B29" s="25" t="s">
        <v>32</v>
      </c>
      <c r="C29" s="26">
        <f>SUM(C25:C28)</f>
        <v>75705081</v>
      </c>
      <c r="D29" s="26">
        <f>SUM(D25:D28)</f>
        <v>79200328</v>
      </c>
      <c r="E29" s="26">
        <f>D29-C29</f>
        <v>3495247</v>
      </c>
      <c r="F29" s="27">
        <f>IF(C29=0,0,E29/C29)</f>
        <v>4.6169252497068193E-2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87705125</v>
      </c>
      <c r="D31" s="22">
        <v>97605124</v>
      </c>
      <c r="E31" s="22">
        <f>D31-C31</f>
        <v>9899999</v>
      </c>
      <c r="F31" s="23">
        <f>IF(C31=0,0,E31/C31)</f>
        <v>0.11287822689951128</v>
      </c>
    </row>
    <row r="32" spans="1:11" ht="24" customHeight="1" x14ac:dyDescent="0.2">
      <c r="A32" s="20">
        <v>6</v>
      </c>
      <c r="B32" s="21" t="s">
        <v>34</v>
      </c>
      <c r="C32" s="22">
        <v>0</v>
      </c>
      <c r="D32" s="22">
        <v>0</v>
      </c>
      <c r="E32" s="22">
        <f>D32-C32</f>
        <v>0</v>
      </c>
      <c r="F32" s="23">
        <f>IF(C32=0,0,E32/C32)</f>
        <v>0</v>
      </c>
    </row>
    <row r="33" spans="1:8" ht="24" customHeight="1" x14ac:dyDescent="0.2">
      <c r="A33" s="20">
        <v>7</v>
      </c>
      <c r="B33" s="21" t="s">
        <v>35</v>
      </c>
      <c r="C33" s="22">
        <v>27483112</v>
      </c>
      <c r="D33" s="22">
        <v>16103813</v>
      </c>
      <c r="E33" s="22">
        <f>D33-C33</f>
        <v>-11379299</v>
      </c>
      <c r="F33" s="23">
        <f>IF(C33=0,0,E33/C33)</f>
        <v>-0.41404696091185017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182172976</v>
      </c>
      <c r="D36" s="22">
        <v>200246497</v>
      </c>
      <c r="E36" s="22">
        <f>D36-C36</f>
        <v>18073521</v>
      </c>
      <c r="F36" s="23">
        <f>IF(C36=0,0,E36/C36)</f>
        <v>9.9210768780546243E-2</v>
      </c>
    </row>
    <row r="37" spans="1:8" ht="24" customHeight="1" x14ac:dyDescent="0.2">
      <c r="A37" s="20">
        <v>2</v>
      </c>
      <c r="B37" s="21" t="s">
        <v>39</v>
      </c>
      <c r="C37" s="22">
        <v>93582827</v>
      </c>
      <c r="D37" s="22">
        <v>104192282</v>
      </c>
      <c r="E37" s="22">
        <f>D37-C37</f>
        <v>10609455</v>
      </c>
      <c r="F37" s="23">
        <f>IF(C37=0,0,E37/C37)</f>
        <v>0.1133696783919554</v>
      </c>
    </row>
    <row r="38" spans="1:8" ht="24" customHeight="1" x14ac:dyDescent="0.25">
      <c r="A38" s="24"/>
      <c r="B38" s="25" t="s">
        <v>40</v>
      </c>
      <c r="C38" s="26">
        <f>C36-C37</f>
        <v>88590149</v>
      </c>
      <c r="D38" s="26">
        <f>D36-D37</f>
        <v>96054215</v>
      </c>
      <c r="E38" s="26">
        <f>D38-C38</f>
        <v>7464066</v>
      </c>
      <c r="F38" s="27">
        <f>IF(C38=0,0,E38/C38)</f>
        <v>8.4253905025038392E-2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19750929</v>
      </c>
      <c r="D40" s="22">
        <v>29060602</v>
      </c>
      <c r="E40" s="22">
        <f>D40-C40</f>
        <v>9309673</v>
      </c>
      <c r="F40" s="23">
        <f>IF(C40=0,0,E40/C40)</f>
        <v>0.47135367657895988</v>
      </c>
    </row>
    <row r="41" spans="1:8" ht="24" customHeight="1" x14ac:dyDescent="0.25">
      <c r="A41" s="24"/>
      <c r="B41" s="25" t="s">
        <v>42</v>
      </c>
      <c r="C41" s="26">
        <f>+C38+C40</f>
        <v>108341078</v>
      </c>
      <c r="D41" s="26">
        <f>+D38+D40</f>
        <v>125114817</v>
      </c>
      <c r="E41" s="26">
        <f>D41-C41</f>
        <v>16773739</v>
      </c>
      <c r="F41" s="27">
        <f>IF(C41=0,0,E41/C41)</f>
        <v>0.15482344563712019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360227630</v>
      </c>
      <c r="D43" s="26">
        <f>D22+D29+D31+D32+D33+D41</f>
        <v>376678396</v>
      </c>
      <c r="E43" s="26">
        <f>D43-C43</f>
        <v>16450766</v>
      </c>
      <c r="F43" s="27">
        <f>IF(C43=0,0,E43/C43)</f>
        <v>4.5667696284152327E-2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26273345</v>
      </c>
      <c r="D49" s="22">
        <v>32601731</v>
      </c>
      <c r="E49" s="22">
        <f t="shared" ref="E49:E56" si="2">D49-C49</f>
        <v>6328386</v>
      </c>
      <c r="F49" s="23">
        <f t="shared" ref="F49:F56" si="3">IF(C49=0,0,E49/C49)</f>
        <v>0.24086716023406993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11564942</v>
      </c>
      <c r="D50" s="22">
        <v>11973983</v>
      </c>
      <c r="E50" s="22">
        <f t="shared" si="2"/>
        <v>409041</v>
      </c>
      <c r="F50" s="23">
        <f t="shared" si="3"/>
        <v>3.5369048975775239E-2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2965182</v>
      </c>
      <c r="D51" s="22">
        <v>9819700</v>
      </c>
      <c r="E51" s="22">
        <f t="shared" si="2"/>
        <v>6854518</v>
      </c>
      <c r="F51" s="23">
        <f t="shared" si="3"/>
        <v>2.3116685586247319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61449</v>
      </c>
      <c r="D52" s="22">
        <v>1178794</v>
      </c>
      <c r="E52" s="22">
        <f t="shared" si="2"/>
        <v>1117345</v>
      </c>
      <c r="F52" s="23">
        <f t="shared" si="3"/>
        <v>18.183290208140082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1215000</v>
      </c>
      <c r="D53" s="22">
        <v>1280000</v>
      </c>
      <c r="E53" s="22">
        <f t="shared" si="2"/>
        <v>65000</v>
      </c>
      <c r="F53" s="23">
        <f t="shared" si="3"/>
        <v>5.3497942386831275E-2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3874342</v>
      </c>
      <c r="D54" s="22">
        <v>5435264</v>
      </c>
      <c r="E54" s="22">
        <f t="shared" si="2"/>
        <v>1560922</v>
      </c>
      <c r="F54" s="23">
        <f t="shared" si="3"/>
        <v>0.40288699345592105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66507</v>
      </c>
      <c r="D55" s="22">
        <v>50298</v>
      </c>
      <c r="E55" s="22">
        <f t="shared" si="2"/>
        <v>-16209</v>
      </c>
      <c r="F55" s="23">
        <f t="shared" si="3"/>
        <v>-0.24371870630159231</v>
      </c>
    </row>
    <row r="56" spans="1:6" ht="24" customHeight="1" x14ac:dyDescent="0.25">
      <c r="A56" s="24"/>
      <c r="B56" s="25" t="s">
        <v>54</v>
      </c>
      <c r="C56" s="26">
        <f>SUM(C49:C55)</f>
        <v>46020767</v>
      </c>
      <c r="D56" s="26">
        <f>SUM(D49:D55)</f>
        <v>62339770</v>
      </c>
      <c r="E56" s="26">
        <f t="shared" si="2"/>
        <v>16319003</v>
      </c>
      <c r="F56" s="27">
        <f t="shared" si="3"/>
        <v>0.35460084791720226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39315000</v>
      </c>
      <c r="D59" s="22">
        <v>38035000</v>
      </c>
      <c r="E59" s="22">
        <f>D59-C59</f>
        <v>-1280000</v>
      </c>
      <c r="F59" s="23">
        <f>IF(C59=0,0,E59/C59)</f>
        <v>-3.2557548009665524E-2</v>
      </c>
    </row>
    <row r="60" spans="1:6" ht="24" customHeight="1" x14ac:dyDescent="0.2">
      <c r="A60" s="20">
        <v>2</v>
      </c>
      <c r="B60" s="21" t="s">
        <v>57</v>
      </c>
      <c r="C60" s="22">
        <v>16628802</v>
      </c>
      <c r="D60" s="22">
        <v>25153377</v>
      </c>
      <c r="E60" s="22">
        <f>D60-C60</f>
        <v>8524575</v>
      </c>
      <c r="F60" s="23">
        <f>IF(C60=0,0,E60/C60)</f>
        <v>0.51263915464264953</v>
      </c>
    </row>
    <row r="61" spans="1:6" ht="24" customHeight="1" x14ac:dyDescent="0.25">
      <c r="A61" s="24"/>
      <c r="B61" s="25" t="s">
        <v>58</v>
      </c>
      <c r="C61" s="26">
        <f>SUM(C59:C60)</f>
        <v>55943802</v>
      </c>
      <c r="D61" s="26">
        <f>SUM(D59:D60)</f>
        <v>63188377</v>
      </c>
      <c r="E61" s="26">
        <f>D61-C61</f>
        <v>7244575</v>
      </c>
      <c r="F61" s="27">
        <f>IF(C61=0,0,E61/C61)</f>
        <v>0.12949736594591837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19026898</v>
      </c>
      <c r="D63" s="22">
        <v>8357282</v>
      </c>
      <c r="E63" s="22">
        <f>D63-C63</f>
        <v>-10669616</v>
      </c>
      <c r="F63" s="23">
        <f>IF(C63=0,0,E63/C63)</f>
        <v>-0.56076487086859872</v>
      </c>
    </row>
    <row r="64" spans="1:6" ht="24" customHeight="1" x14ac:dyDescent="0.2">
      <c r="A64" s="20">
        <v>4</v>
      </c>
      <c r="B64" s="21" t="s">
        <v>60</v>
      </c>
      <c r="C64" s="22">
        <v>29898238</v>
      </c>
      <c r="D64" s="22">
        <v>23660838</v>
      </c>
      <c r="E64" s="22">
        <f>D64-C64</f>
        <v>-6237400</v>
      </c>
      <c r="F64" s="23">
        <f>IF(C64=0,0,E64/C64)</f>
        <v>-0.20862098963825226</v>
      </c>
    </row>
    <row r="65" spans="1:6" ht="24" customHeight="1" x14ac:dyDescent="0.25">
      <c r="A65" s="24"/>
      <c r="B65" s="25" t="s">
        <v>61</v>
      </c>
      <c r="C65" s="26">
        <f>SUM(C61:C64)</f>
        <v>104868938</v>
      </c>
      <c r="D65" s="26">
        <f>SUM(D61:D64)</f>
        <v>95206497</v>
      </c>
      <c r="E65" s="26">
        <f>D65-C65</f>
        <v>-9662441</v>
      </c>
      <c r="F65" s="27">
        <f>IF(C65=0,0,E65/C65)</f>
        <v>-9.2138255467028765E-2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96684590</v>
      </c>
      <c r="D70" s="22">
        <v>101387989</v>
      </c>
      <c r="E70" s="22">
        <f>D70-C70</f>
        <v>4703399</v>
      </c>
      <c r="F70" s="23">
        <f>IF(C70=0,0,E70/C70)</f>
        <v>4.8646831930507228E-2</v>
      </c>
    </row>
    <row r="71" spans="1:6" ht="24" customHeight="1" x14ac:dyDescent="0.2">
      <c r="A71" s="20">
        <v>2</v>
      </c>
      <c r="B71" s="21" t="s">
        <v>65</v>
      </c>
      <c r="C71" s="22">
        <v>20313398</v>
      </c>
      <c r="D71" s="22">
        <v>21637126</v>
      </c>
      <c r="E71" s="22">
        <f>D71-C71</f>
        <v>1323728</v>
      </c>
      <c r="F71" s="23">
        <f>IF(C71=0,0,E71/C71)</f>
        <v>6.5165266785990217E-2</v>
      </c>
    </row>
    <row r="72" spans="1:6" ht="24" customHeight="1" x14ac:dyDescent="0.2">
      <c r="A72" s="20">
        <v>3</v>
      </c>
      <c r="B72" s="21" t="s">
        <v>66</v>
      </c>
      <c r="C72" s="22">
        <v>92339937</v>
      </c>
      <c r="D72" s="22">
        <v>96107014</v>
      </c>
      <c r="E72" s="22">
        <f>D72-C72</f>
        <v>3767077</v>
      </c>
      <c r="F72" s="23">
        <f>IF(C72=0,0,E72/C72)</f>
        <v>4.079575016387546E-2</v>
      </c>
    </row>
    <row r="73" spans="1:6" ht="24" customHeight="1" x14ac:dyDescent="0.25">
      <c r="A73" s="20"/>
      <c r="B73" s="25" t="s">
        <v>67</v>
      </c>
      <c r="C73" s="26">
        <f>SUM(C70:C72)</f>
        <v>209337925</v>
      </c>
      <c r="D73" s="26">
        <f>SUM(D70:D72)</f>
        <v>219132129</v>
      </c>
      <c r="E73" s="26">
        <f>D73-C73</f>
        <v>9794204</v>
      </c>
      <c r="F73" s="27">
        <f>IF(C73=0,0,E73/C73)</f>
        <v>4.6786572476057553E-2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360227630</v>
      </c>
      <c r="D75" s="26">
        <f>D56+D65+D67+D73</f>
        <v>376678396</v>
      </c>
      <c r="E75" s="26">
        <f>D75-C75</f>
        <v>16450766</v>
      </c>
      <c r="F75" s="27">
        <f>IF(C75=0,0,E75/C75)</f>
        <v>4.5667696284152327E-2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FILING&amp;RCT CHILDREN`S MEDICAL CENTER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sqref="A1:F1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246878198</v>
      </c>
      <c r="D11" s="76">
        <v>277604755</v>
      </c>
      <c r="E11" s="76">
        <v>286514028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34123989</v>
      </c>
      <c r="D12" s="185">
        <v>37320565</v>
      </c>
      <c r="E12" s="185">
        <v>38302026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281002187</v>
      </c>
      <c r="D13" s="76">
        <f>+D11+D12</f>
        <v>314925320</v>
      </c>
      <c r="E13" s="76">
        <f>+E11+E12</f>
        <v>324816054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286917294</v>
      </c>
      <c r="D14" s="185">
        <v>332275513</v>
      </c>
      <c r="E14" s="185">
        <v>358502224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-5915107</v>
      </c>
      <c r="D15" s="76">
        <f>+D13-D14</f>
        <v>-17350193</v>
      </c>
      <c r="E15" s="76">
        <f>+E13-E14</f>
        <v>-33686170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14906138</v>
      </c>
      <c r="D16" s="185">
        <v>24593006</v>
      </c>
      <c r="E16" s="185">
        <v>16611908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8991031</v>
      </c>
      <c r="D17" s="76">
        <f>D15+D16</f>
        <v>7242813</v>
      </c>
      <c r="E17" s="76">
        <f>E15+E16</f>
        <v>-17074262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-1.9989660649121648E-2</v>
      </c>
      <c r="D20" s="189">
        <f>IF(+D27=0,0,+D24/+D27)</f>
        <v>-5.1102375545996302E-2</v>
      </c>
      <c r="E20" s="189">
        <f>IF(+E27=0,0,+E24/+E27)</f>
        <v>-9.8662598700688733E-2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5.0374175853281584E-2</v>
      </c>
      <c r="D21" s="189">
        <f>IF(+D27=0,0,+D26/+D27)</f>
        <v>7.2434988384102714E-2</v>
      </c>
      <c r="E21" s="189">
        <f>IF(+E27=0,0,+E26/+E27)</f>
        <v>4.8654210694084862E-2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3.0384515204159936E-2</v>
      </c>
      <c r="D22" s="189">
        <f>IF(+D27=0,0,+D28/+D27)</f>
        <v>2.1332612838106418E-2</v>
      </c>
      <c r="E22" s="189">
        <f>IF(+E27=0,0,+E28/+E27)</f>
        <v>-5.0008388006603864E-2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-5915107</v>
      </c>
      <c r="D24" s="76">
        <f>+D15</f>
        <v>-17350193</v>
      </c>
      <c r="E24" s="76">
        <f>+E15</f>
        <v>-33686170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281002187</v>
      </c>
      <c r="D25" s="76">
        <f>+D13</f>
        <v>314925320</v>
      </c>
      <c r="E25" s="76">
        <f>+E13</f>
        <v>324816054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14906138</v>
      </c>
      <c r="D26" s="76">
        <f>+D16</f>
        <v>24593006</v>
      </c>
      <c r="E26" s="76">
        <f>+E16</f>
        <v>16611908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295908325</v>
      </c>
      <c r="D27" s="76">
        <f>SUM(D25:D26)</f>
        <v>339518326</v>
      </c>
      <c r="E27" s="76">
        <f>SUM(E25:E26)</f>
        <v>341427962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8991031</v>
      </c>
      <c r="D28" s="76">
        <f>+D17</f>
        <v>7242813</v>
      </c>
      <c r="E28" s="76">
        <f>+E17</f>
        <v>-17074262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106736848</v>
      </c>
      <c r="D31" s="76">
        <v>125254332</v>
      </c>
      <c r="E31" s="76">
        <v>127634615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212156945</v>
      </c>
      <c r="D32" s="76">
        <v>239549631</v>
      </c>
      <c r="E32" s="76">
        <v>245712538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-2252113</v>
      </c>
      <c r="D33" s="76">
        <f>+D32-C32</f>
        <v>27392686</v>
      </c>
      <c r="E33" s="76">
        <f>+E32-D32</f>
        <v>6162907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0.98939999999999995</v>
      </c>
      <c r="D34" s="193">
        <f>IF(C32=0,0,+D33/C32)</f>
        <v>0.12911519818500403</v>
      </c>
      <c r="E34" s="193">
        <f>IF(D32=0,0,+E33/D32)</f>
        <v>2.5727056953805116E-2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1.1750583480793459</v>
      </c>
      <c r="D38" s="338">
        <f>IF(+D40=0,0,+D39/+D40)</f>
        <v>1.406657284907022</v>
      </c>
      <c r="E38" s="338">
        <f>IF(+E40=0,0,+E39/+E40)</f>
        <v>0.99645986693627908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53797694</v>
      </c>
      <c r="D39" s="341">
        <v>84374611</v>
      </c>
      <c r="E39" s="341">
        <v>78269262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45782998</v>
      </c>
      <c r="D40" s="341">
        <v>59982351</v>
      </c>
      <c r="E40" s="341">
        <v>78547330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19.344333312510013</v>
      </c>
      <c r="D42" s="343">
        <f>IF((D48/365)=0,0,+D45/(D48/365))</f>
        <v>21.112318270877065</v>
      </c>
      <c r="E42" s="343">
        <f>IF((E48/365)=0,0,+E45/(E48/365))</f>
        <v>8.3791472481651432</v>
      </c>
    </row>
    <row r="43" spans="1:14" ht="24" customHeight="1" x14ac:dyDescent="0.2">
      <c r="A43" s="339">
        <v>5</v>
      </c>
      <c r="B43" s="344" t="s">
        <v>16</v>
      </c>
      <c r="C43" s="345">
        <v>5041855</v>
      </c>
      <c r="D43" s="345">
        <v>2579733</v>
      </c>
      <c r="E43" s="345">
        <v>3643185</v>
      </c>
    </row>
    <row r="44" spans="1:14" ht="24" customHeight="1" x14ac:dyDescent="0.2">
      <c r="A44" s="339">
        <v>6</v>
      </c>
      <c r="B44" s="346" t="s">
        <v>17</v>
      </c>
      <c r="C44" s="345">
        <v>9572313</v>
      </c>
      <c r="D44" s="345">
        <v>15988872</v>
      </c>
      <c r="E44" s="345">
        <v>4292988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14614168</v>
      </c>
      <c r="D45" s="341">
        <f>+D43+D44</f>
        <v>18568605</v>
      </c>
      <c r="E45" s="341">
        <f>+E43+E44</f>
        <v>7936173</v>
      </c>
    </row>
    <row r="46" spans="1:14" ht="24" customHeight="1" x14ac:dyDescent="0.2">
      <c r="A46" s="339">
        <v>8</v>
      </c>
      <c r="B46" s="340" t="s">
        <v>334</v>
      </c>
      <c r="C46" s="341">
        <f>+C14</f>
        <v>286917294</v>
      </c>
      <c r="D46" s="341">
        <f>+D14</f>
        <v>332275513</v>
      </c>
      <c r="E46" s="341">
        <f>+E14</f>
        <v>358502224</v>
      </c>
    </row>
    <row r="47" spans="1:14" ht="24" customHeight="1" x14ac:dyDescent="0.2">
      <c r="A47" s="339">
        <v>9</v>
      </c>
      <c r="B47" s="340" t="s">
        <v>356</v>
      </c>
      <c r="C47" s="341">
        <v>11168772</v>
      </c>
      <c r="D47" s="341">
        <v>11252462</v>
      </c>
      <c r="E47" s="341">
        <v>12798412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275748522</v>
      </c>
      <c r="D48" s="341">
        <f>+D46-D47</f>
        <v>321023051</v>
      </c>
      <c r="E48" s="341">
        <f>+E46-E47</f>
        <v>345703812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39.876311900980411</v>
      </c>
      <c r="D50" s="350">
        <f>IF((D55/365)=0,0,+D54/(D55/365))</f>
        <v>47.998938040524557</v>
      </c>
      <c r="E50" s="350">
        <f>IF((E55/365)=0,0,+E54/(E55/365))</f>
        <v>28.442799997911447</v>
      </c>
    </row>
    <row r="51" spans="1:5" ht="24" customHeight="1" x14ac:dyDescent="0.2">
      <c r="A51" s="339">
        <v>12</v>
      </c>
      <c r="B51" s="344" t="s">
        <v>359</v>
      </c>
      <c r="C51" s="351">
        <v>29437428</v>
      </c>
      <c r="D51" s="351">
        <v>36132652</v>
      </c>
      <c r="E51" s="351">
        <v>35721547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4899895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2465943</v>
      </c>
      <c r="D53" s="341">
        <v>4526428</v>
      </c>
      <c r="E53" s="341">
        <v>13394804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26971485</v>
      </c>
      <c r="D54" s="352">
        <f>+D51+D52-D53</f>
        <v>36506119</v>
      </c>
      <c r="E54" s="352">
        <f>+E51+E52-E53</f>
        <v>22326743</v>
      </c>
    </row>
    <row r="55" spans="1:5" ht="24" customHeight="1" x14ac:dyDescent="0.2">
      <c r="A55" s="339">
        <v>16</v>
      </c>
      <c r="B55" s="340" t="s">
        <v>75</v>
      </c>
      <c r="C55" s="341">
        <f>+C11</f>
        <v>246878198</v>
      </c>
      <c r="D55" s="341">
        <f>+D11</f>
        <v>277604755</v>
      </c>
      <c r="E55" s="341">
        <f>+E11</f>
        <v>286514028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60.601573305984935</v>
      </c>
      <c r="D57" s="355">
        <f>IF((D61/365)=0,0,+D58/(D61/365))</f>
        <v>68.199333495836711</v>
      </c>
      <c r="E57" s="355">
        <f>IF((E61/365)=0,0,+E58/(E61/365))</f>
        <v>82.931615026564998</v>
      </c>
    </row>
    <row r="58" spans="1:5" ht="24" customHeight="1" x14ac:dyDescent="0.2">
      <c r="A58" s="339">
        <v>18</v>
      </c>
      <c r="B58" s="340" t="s">
        <v>54</v>
      </c>
      <c r="C58" s="353">
        <f>+C40</f>
        <v>45782998</v>
      </c>
      <c r="D58" s="353">
        <f>+D40</f>
        <v>59982351</v>
      </c>
      <c r="E58" s="353">
        <f>+E40</f>
        <v>78547330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286917294</v>
      </c>
      <c r="D59" s="353">
        <f t="shared" si="0"/>
        <v>332275513</v>
      </c>
      <c r="E59" s="353">
        <f t="shared" si="0"/>
        <v>358502224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11168772</v>
      </c>
      <c r="D60" s="356">
        <f t="shared" si="0"/>
        <v>11252462</v>
      </c>
      <c r="E60" s="356">
        <f t="shared" si="0"/>
        <v>12798412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275748522</v>
      </c>
      <c r="D61" s="353">
        <f>+D59-D60</f>
        <v>321023051</v>
      </c>
      <c r="E61" s="353">
        <f>+E59-E60</f>
        <v>345703812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62.344459302500447</v>
      </c>
      <c r="D65" s="357">
        <f>IF(D67=0,0,(D66/D67)*100)</f>
        <v>57.879295294537968</v>
      </c>
      <c r="E65" s="357">
        <f>IF(E67=0,0,(E66/E67)*100)</f>
        <v>57.398519240955956</v>
      </c>
    </row>
    <row r="66" spans="1:5" ht="24" customHeight="1" x14ac:dyDescent="0.2">
      <c r="A66" s="339">
        <v>2</v>
      </c>
      <c r="B66" s="340" t="s">
        <v>67</v>
      </c>
      <c r="C66" s="353">
        <f>+C32</f>
        <v>212156945</v>
      </c>
      <c r="D66" s="353">
        <f>+D32</f>
        <v>239549631</v>
      </c>
      <c r="E66" s="353">
        <f>+E32</f>
        <v>245712538</v>
      </c>
    </row>
    <row r="67" spans="1:5" ht="24" customHeight="1" x14ac:dyDescent="0.2">
      <c r="A67" s="339">
        <v>3</v>
      </c>
      <c r="B67" s="340" t="s">
        <v>43</v>
      </c>
      <c r="C67" s="353">
        <v>340297995</v>
      </c>
      <c r="D67" s="353">
        <v>413877933</v>
      </c>
      <c r="E67" s="353">
        <v>428081667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22.83803901980535</v>
      </c>
      <c r="D69" s="357">
        <f>IF(D75=0,0,(D72/D75)*100)</f>
        <v>15.942623579290496</v>
      </c>
      <c r="E69" s="357">
        <f>IF(E75=0,0,(E72/E75)*100)</f>
        <v>-3.0152249662390145</v>
      </c>
    </row>
    <row r="70" spans="1:5" ht="24" customHeight="1" x14ac:dyDescent="0.2">
      <c r="A70" s="339">
        <v>5</v>
      </c>
      <c r="B70" s="340" t="s">
        <v>366</v>
      </c>
      <c r="C70" s="353">
        <f>+C28</f>
        <v>8991031</v>
      </c>
      <c r="D70" s="353">
        <f>+D28</f>
        <v>7242813</v>
      </c>
      <c r="E70" s="353">
        <f>+E28</f>
        <v>-17074262</v>
      </c>
    </row>
    <row r="71" spans="1:5" ht="24" customHeight="1" x14ac:dyDescent="0.2">
      <c r="A71" s="339">
        <v>6</v>
      </c>
      <c r="B71" s="340" t="s">
        <v>356</v>
      </c>
      <c r="C71" s="356">
        <f>+C47</f>
        <v>11168772</v>
      </c>
      <c r="D71" s="356">
        <f>+D47</f>
        <v>11252462</v>
      </c>
      <c r="E71" s="356">
        <f>+E47</f>
        <v>12798412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20159803</v>
      </c>
      <c r="D72" s="353">
        <f>+D70+D71</f>
        <v>18495275</v>
      </c>
      <c r="E72" s="353">
        <f>+E70+E71</f>
        <v>-4275850</v>
      </c>
    </row>
    <row r="73" spans="1:5" ht="24" customHeight="1" x14ac:dyDescent="0.2">
      <c r="A73" s="339">
        <v>8</v>
      </c>
      <c r="B73" s="340" t="s">
        <v>54</v>
      </c>
      <c r="C73" s="341">
        <f>+C40</f>
        <v>45782998</v>
      </c>
      <c r="D73" s="341">
        <f>+D40</f>
        <v>59982351</v>
      </c>
      <c r="E73" s="341">
        <f>+E40</f>
        <v>78547330</v>
      </c>
    </row>
    <row r="74" spans="1:5" ht="24" customHeight="1" x14ac:dyDescent="0.2">
      <c r="A74" s="339">
        <v>9</v>
      </c>
      <c r="B74" s="340" t="s">
        <v>58</v>
      </c>
      <c r="C74" s="353">
        <v>42489918</v>
      </c>
      <c r="D74" s="353">
        <v>56029138</v>
      </c>
      <c r="E74" s="353">
        <v>63261326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88272916</v>
      </c>
      <c r="D75" s="341">
        <f>+D73+D74</f>
        <v>116011489</v>
      </c>
      <c r="E75" s="341">
        <f>+E73+E74</f>
        <v>141808656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16.68582031579945</v>
      </c>
      <c r="D77" s="359">
        <f>IF(D80=0,0,(D78/D80)*100)</f>
        <v>18.955738326388389</v>
      </c>
      <c r="E77" s="359">
        <f>IF(E80=0,0,(E78/E80)*100)</f>
        <v>20.474652833418947</v>
      </c>
    </row>
    <row r="78" spans="1:5" ht="24" customHeight="1" x14ac:dyDescent="0.2">
      <c r="A78" s="339">
        <v>12</v>
      </c>
      <c r="B78" s="340" t="s">
        <v>58</v>
      </c>
      <c r="C78" s="341">
        <f>+C74</f>
        <v>42489918</v>
      </c>
      <c r="D78" s="341">
        <f>+D74</f>
        <v>56029138</v>
      </c>
      <c r="E78" s="341">
        <f>+E74</f>
        <v>63261326</v>
      </c>
    </row>
    <row r="79" spans="1:5" ht="24" customHeight="1" x14ac:dyDescent="0.2">
      <c r="A79" s="339">
        <v>13</v>
      </c>
      <c r="B79" s="340" t="s">
        <v>67</v>
      </c>
      <c r="C79" s="341">
        <f>+C32</f>
        <v>212156945</v>
      </c>
      <c r="D79" s="341">
        <f>+D32</f>
        <v>239549631</v>
      </c>
      <c r="E79" s="341">
        <f>+E32</f>
        <v>245712538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254646863</v>
      </c>
      <c r="D80" s="341">
        <f>+D78+D79</f>
        <v>295578769</v>
      </c>
      <c r="E80" s="341">
        <f>+E78+E79</f>
        <v>308973864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78" fitToHeight="0" orientation="portrait" horizontalDpi="1200" verticalDpi="1200" r:id="rId1"/>
  <headerFooter>
    <oddHeader>&amp;LOFFICE OF HEALTH CARE ACCESS&amp;CTWELVE MONTHS ACTUAL FILING&amp;RCT CHILDREN`S MEDICAL CENTER</oddHeader>
    <oddFooter>&amp;LREPORT 100&amp;CPAGE &amp;P of &amp;N&amp;R&amp;D, 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sqref="A1:F1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0</v>
      </c>
      <c r="D11" s="376">
        <v>0</v>
      </c>
      <c r="E11" s="376">
        <v>0</v>
      </c>
      <c r="F11" s="377">
        <v>0</v>
      </c>
      <c r="G11" s="377">
        <v>0</v>
      </c>
      <c r="H11" s="378">
        <f>IF(F11=0,0,$C11/(F11*365))</f>
        <v>0</v>
      </c>
      <c r="I11" s="378">
        <f>IF(G11=0,0,$C11/(G11*365))</f>
        <v>0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4579</v>
      </c>
      <c r="D13" s="376">
        <v>188</v>
      </c>
      <c r="E13" s="376">
        <v>722</v>
      </c>
      <c r="F13" s="377">
        <v>18</v>
      </c>
      <c r="G13" s="377">
        <v>18</v>
      </c>
      <c r="H13" s="378">
        <f>IF(F13=0,0,$C13/(F13*365))</f>
        <v>0.69695585996955856</v>
      </c>
      <c r="I13" s="378">
        <f>IF(G13=0,0,$C13/(G13*365))</f>
        <v>0.69695585996955856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0</v>
      </c>
      <c r="D16" s="376">
        <v>0</v>
      </c>
      <c r="E16" s="376">
        <v>0</v>
      </c>
      <c r="F16" s="377">
        <v>0</v>
      </c>
      <c r="G16" s="377">
        <v>0</v>
      </c>
      <c r="H16" s="378">
        <f t="shared" si="0"/>
        <v>0</v>
      </c>
      <c r="I16" s="378">
        <f t="shared" si="0"/>
        <v>0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0</v>
      </c>
      <c r="D17" s="381">
        <f>SUM(D15:D16)</f>
        <v>0</v>
      </c>
      <c r="E17" s="381">
        <f>SUM(E15:E16)</f>
        <v>0</v>
      </c>
      <c r="F17" s="381">
        <f>SUM(F15:F16)</f>
        <v>0</v>
      </c>
      <c r="G17" s="381">
        <f>SUM(G15:G16)</f>
        <v>0</v>
      </c>
      <c r="H17" s="382">
        <f t="shared" si="0"/>
        <v>0</v>
      </c>
      <c r="I17" s="382">
        <f t="shared" si="0"/>
        <v>0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0</v>
      </c>
      <c r="D21" s="376">
        <v>0</v>
      </c>
      <c r="E21" s="376">
        <v>0</v>
      </c>
      <c r="F21" s="377">
        <v>0</v>
      </c>
      <c r="G21" s="377">
        <v>0</v>
      </c>
      <c r="H21" s="378">
        <f>IF(F21=0,0,$C21/(F21*365))</f>
        <v>0</v>
      </c>
      <c r="I21" s="378">
        <f>IF(G21=0,0,$C21/(G21*365))</f>
        <v>0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0</v>
      </c>
      <c r="D23" s="376">
        <v>0</v>
      </c>
      <c r="E23" s="376">
        <v>0</v>
      </c>
      <c r="F23" s="377">
        <v>0</v>
      </c>
      <c r="G23" s="377">
        <v>0</v>
      </c>
      <c r="H23" s="378">
        <f>IF(F23=0,0,$C23/(F23*365))</f>
        <v>0</v>
      </c>
      <c r="I23" s="378">
        <f>IF(G23=0,0,$C23/(G23*365))</f>
        <v>0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20401</v>
      </c>
      <c r="D25" s="376">
        <v>732</v>
      </c>
      <c r="E25" s="376">
        <v>808</v>
      </c>
      <c r="F25" s="377">
        <v>72</v>
      </c>
      <c r="G25" s="377">
        <v>72</v>
      </c>
      <c r="H25" s="378">
        <f>IF(F25=0,0,$C25/(F25*365))</f>
        <v>0.77629375951293755</v>
      </c>
      <c r="I25" s="378">
        <f>IF(G25=0,0,$C25/(G25*365))</f>
        <v>0.77629375951293755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21127</v>
      </c>
      <c r="D27" s="376">
        <v>5690</v>
      </c>
      <c r="E27" s="376">
        <v>4817</v>
      </c>
      <c r="F27" s="377">
        <v>92</v>
      </c>
      <c r="G27" s="377">
        <v>97</v>
      </c>
      <c r="H27" s="378">
        <f>IF(F27=0,0,$C27/(F27*365))</f>
        <v>0.62915425848719475</v>
      </c>
      <c r="I27" s="378">
        <f>IF(G27=0,0,$C27/(G27*365))</f>
        <v>0.59672362660641154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46107</v>
      </c>
      <c r="D31" s="384">
        <f>SUM(D10:D29)-D13-D17-D23</f>
        <v>6422</v>
      </c>
      <c r="E31" s="384">
        <f>SUM(E10:E29)-E17-E23</f>
        <v>6347</v>
      </c>
      <c r="F31" s="384">
        <f>SUM(F10:F29)-F17-F23</f>
        <v>182</v>
      </c>
      <c r="G31" s="384">
        <f>SUM(G10:G29)-G17-G23</f>
        <v>187</v>
      </c>
      <c r="H31" s="385">
        <f>IF(F31=0,0,$C31/(F31*365))</f>
        <v>0.69406894475387626</v>
      </c>
      <c r="I31" s="385">
        <f>IF(G31=0,0,$C31/(G31*365))</f>
        <v>0.67551095157863894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46107</v>
      </c>
      <c r="D33" s="384">
        <f>SUM(D10:D29)-D13-D17</f>
        <v>6422</v>
      </c>
      <c r="E33" s="384">
        <f>SUM(E10:E29)-E17</f>
        <v>6347</v>
      </c>
      <c r="F33" s="384">
        <f>SUM(F10:F29)-F17</f>
        <v>182</v>
      </c>
      <c r="G33" s="384">
        <f>SUM(G10:G29)-G17</f>
        <v>187</v>
      </c>
      <c r="H33" s="385">
        <f>IF(F33=0,0,$C33/(F33*365))</f>
        <v>0.69406894475387626</v>
      </c>
      <c r="I33" s="385">
        <f>IF(G33=0,0,$C33/(G33*365))</f>
        <v>0.67551095157863894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46107</v>
      </c>
      <c r="D36" s="384">
        <f t="shared" si="1"/>
        <v>6422</v>
      </c>
      <c r="E36" s="384">
        <f t="shared" si="1"/>
        <v>6347</v>
      </c>
      <c r="F36" s="384">
        <f t="shared" si="1"/>
        <v>182</v>
      </c>
      <c r="G36" s="384">
        <f t="shared" si="1"/>
        <v>187</v>
      </c>
      <c r="H36" s="387">
        <f t="shared" si="1"/>
        <v>0.69406894475387626</v>
      </c>
      <c r="I36" s="387">
        <f t="shared" si="1"/>
        <v>0.67551095157863894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44449</v>
      </c>
      <c r="D37" s="384">
        <v>6642</v>
      </c>
      <c r="E37" s="384">
        <v>6569</v>
      </c>
      <c r="F37" s="386">
        <v>182</v>
      </c>
      <c r="G37" s="386">
        <v>187</v>
      </c>
      <c r="H37" s="385">
        <f>IF(F37=0,0,$C37/(F37*365))</f>
        <v>0.66911034171308148</v>
      </c>
      <c r="I37" s="385">
        <f>IF(G37=0,0,$C37/(G37*365))</f>
        <v>0.65121969086513809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1658</v>
      </c>
      <c r="D38" s="384">
        <f t="shared" si="2"/>
        <v>-220</v>
      </c>
      <c r="E38" s="384">
        <f t="shared" si="2"/>
        <v>-222</v>
      </c>
      <c r="F38" s="384">
        <f t="shared" si="2"/>
        <v>0</v>
      </c>
      <c r="G38" s="384">
        <f t="shared" si="2"/>
        <v>0</v>
      </c>
      <c r="H38" s="387">
        <f t="shared" si="2"/>
        <v>2.495860304079478E-2</v>
      </c>
      <c r="I38" s="387">
        <f t="shared" si="2"/>
        <v>2.4291260713500851E-2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3.7301176629395486E-2</v>
      </c>
      <c r="D40" s="389">
        <f t="shared" si="3"/>
        <v>-3.3122553447756699E-2</v>
      </c>
      <c r="E40" s="389">
        <f t="shared" si="3"/>
        <v>-3.3795098188460951E-2</v>
      </c>
      <c r="F40" s="389">
        <f t="shared" si="3"/>
        <v>0</v>
      </c>
      <c r="G40" s="389">
        <f t="shared" si="3"/>
        <v>0</v>
      </c>
      <c r="H40" s="389">
        <f t="shared" si="3"/>
        <v>3.7301176629395423E-2</v>
      </c>
      <c r="I40" s="389">
        <f t="shared" si="3"/>
        <v>3.7301176629395499E-2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187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gridLines="1"/>
  <pageMargins left="0.25" right="0.25" top="0.5" bottom="0.5" header="0.25" footer="0.25"/>
  <pageSetup scale="74" fitToHeight="0" orientation="landscape" horizontalDpi="1200" verticalDpi="1200" r:id="rId1"/>
  <headerFooter>
    <oddHeader>&amp;LOFFICE OF HEALTH CARE ACCESS&amp;CTWELVE MONTHS ACTUAL FILING&amp;RCT CHILDREN`S MEDICAL CENTER</oddHeader>
    <oddFooter>&amp;LREPORT 100&amp;CPAGE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3" t="s">
        <v>0</v>
      </c>
      <c r="B1" s="814"/>
      <c r="C1" s="814"/>
      <c r="D1" s="814"/>
      <c r="E1" s="814"/>
      <c r="F1" s="815"/>
    </row>
    <row r="2" spans="1:16" ht="15.75" customHeight="1" x14ac:dyDescent="0.25">
      <c r="A2" s="813" t="s">
        <v>1</v>
      </c>
      <c r="B2" s="814"/>
      <c r="C2" s="814"/>
      <c r="D2" s="814"/>
      <c r="E2" s="814"/>
      <c r="F2" s="815"/>
    </row>
    <row r="3" spans="1:16" ht="15.75" customHeight="1" x14ac:dyDescent="0.25">
      <c r="A3" s="813" t="s">
        <v>2</v>
      </c>
      <c r="B3" s="814"/>
      <c r="C3" s="814"/>
      <c r="D3" s="814"/>
      <c r="E3" s="814"/>
      <c r="F3" s="815"/>
    </row>
    <row r="4" spans="1:16" ht="15.75" customHeight="1" x14ac:dyDescent="0.25">
      <c r="A4" s="813" t="s">
        <v>553</v>
      </c>
      <c r="B4" s="814"/>
      <c r="C4" s="814"/>
      <c r="D4" s="814"/>
      <c r="E4" s="814"/>
      <c r="F4" s="815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1065</v>
      </c>
      <c r="D12" s="409">
        <v>1137</v>
      </c>
      <c r="E12" s="409">
        <f>+D12-C12</f>
        <v>72</v>
      </c>
      <c r="F12" s="410">
        <f>IF(C12=0,0,+E12/C12)</f>
        <v>6.7605633802816895E-2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1233</v>
      </c>
      <c r="D13" s="409">
        <v>1168</v>
      </c>
      <c r="E13" s="409">
        <f>+D13-C13</f>
        <v>-65</v>
      </c>
      <c r="F13" s="410">
        <f>IF(C13=0,0,+E13/C13)</f>
        <v>-5.2716950527169508E-2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862</v>
      </c>
      <c r="D14" s="409">
        <v>841</v>
      </c>
      <c r="E14" s="409">
        <f>+D14-C14</f>
        <v>-21</v>
      </c>
      <c r="F14" s="410">
        <f>IF(C14=0,0,+E14/C14)</f>
        <v>-2.4361948955916472E-2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3160</v>
      </c>
      <c r="D16" s="401">
        <f>SUM(D12:D15)</f>
        <v>3146</v>
      </c>
      <c r="E16" s="401">
        <f>+D16-C16</f>
        <v>-14</v>
      </c>
      <c r="F16" s="402">
        <f>IF(C16=0,0,+E16/C16)</f>
        <v>-4.4303797468354432E-3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663</v>
      </c>
      <c r="D19" s="409">
        <v>650</v>
      </c>
      <c r="E19" s="409">
        <f>+D19-C19</f>
        <v>-13</v>
      </c>
      <c r="F19" s="410">
        <f>IF(C19=0,0,+E19/C19)</f>
        <v>-1.9607843137254902E-2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3354</v>
      </c>
      <c r="D20" s="409">
        <v>3345</v>
      </c>
      <c r="E20" s="409">
        <f>+D20-C20</f>
        <v>-9</v>
      </c>
      <c r="F20" s="410">
        <f>IF(C20=0,0,+E20/C20)</f>
        <v>-2.6833631484794273E-3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143</v>
      </c>
      <c r="D21" s="409">
        <v>111</v>
      </c>
      <c r="E21" s="409">
        <f>+D21-C21</f>
        <v>-32</v>
      </c>
      <c r="F21" s="410">
        <f>IF(C21=0,0,+E21/C21)</f>
        <v>-0.22377622377622378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4160</v>
      </c>
      <c r="D23" s="401">
        <f>SUM(D19:D22)</f>
        <v>4106</v>
      </c>
      <c r="E23" s="401">
        <f>+D23-C23</f>
        <v>-54</v>
      </c>
      <c r="F23" s="402">
        <f>IF(C23=0,0,+E23/C23)</f>
        <v>-1.2980769230769231E-2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0</v>
      </c>
      <c r="D27" s="409">
        <v>0</v>
      </c>
      <c r="E27" s="409">
        <f>+D27-C27</f>
        <v>0</v>
      </c>
      <c r="F27" s="410">
        <f>IF(C27=0,0,+E27/C27)</f>
        <v>0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0</v>
      </c>
      <c r="D30" s="401">
        <f>SUM(D26:D29)</f>
        <v>0</v>
      </c>
      <c r="E30" s="401">
        <f>+D30-C30</f>
        <v>0</v>
      </c>
      <c r="F30" s="402">
        <f>IF(C30=0,0,+E30/C30)</f>
        <v>0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0</v>
      </c>
      <c r="D33" s="409">
        <v>0</v>
      </c>
      <c r="E33" s="409">
        <f>+D33-C33</f>
        <v>0</v>
      </c>
      <c r="F33" s="410">
        <f>IF(C33=0,0,+E33/C33)</f>
        <v>0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0</v>
      </c>
      <c r="D34" s="409">
        <v>0</v>
      </c>
      <c r="E34" s="409">
        <f>+D34-C34</f>
        <v>0</v>
      </c>
      <c r="F34" s="410">
        <f>IF(C34=0,0,+E34/C34)</f>
        <v>0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0</v>
      </c>
      <c r="D37" s="401">
        <f>SUM(D33:D36)</f>
        <v>0</v>
      </c>
      <c r="E37" s="401">
        <f>+D37-C37</f>
        <v>0</v>
      </c>
      <c r="F37" s="402">
        <f>IF(C37=0,0,+E37/C37)</f>
        <v>0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0" t="s">
        <v>566</v>
      </c>
      <c r="C39" s="811"/>
      <c r="D39" s="811"/>
      <c r="E39" s="811"/>
      <c r="F39" s="812"/>
    </row>
    <row r="40" spans="1:16" ht="15.75" customHeight="1" x14ac:dyDescent="0.25">
      <c r="A40" s="136"/>
      <c r="B40" s="810" t="s">
        <v>567</v>
      </c>
      <c r="C40" s="811"/>
      <c r="D40" s="811"/>
      <c r="E40" s="811"/>
      <c r="F40" s="812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0</v>
      </c>
      <c r="D43" s="409">
        <v>0</v>
      </c>
      <c r="E43" s="409">
        <f>+D43-C43</f>
        <v>0</v>
      </c>
      <c r="F43" s="410">
        <f>IF(C43=0,0,+E43/C43)</f>
        <v>0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0</v>
      </c>
      <c r="D44" s="409">
        <v>0</v>
      </c>
      <c r="E44" s="409">
        <f>+D44-C44</f>
        <v>0</v>
      </c>
      <c r="F44" s="410">
        <f>IF(C44=0,0,+E44/C44)</f>
        <v>0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0</v>
      </c>
      <c r="D45" s="401">
        <f>SUM(D43:D44)</f>
        <v>0</v>
      </c>
      <c r="E45" s="401">
        <f>+D45-C45</f>
        <v>0</v>
      </c>
      <c r="F45" s="402">
        <f>IF(C45=0,0,+E45/C45)</f>
        <v>0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9</v>
      </c>
      <c r="D48" s="409">
        <v>17</v>
      </c>
      <c r="E48" s="409">
        <f>+D48-C48</f>
        <v>8</v>
      </c>
      <c r="F48" s="410">
        <f>IF(C48=0,0,+E48/C48)</f>
        <v>0.88888888888888884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28</v>
      </c>
      <c r="D49" s="409">
        <v>40</v>
      </c>
      <c r="E49" s="409">
        <f>+D49-C49</f>
        <v>12</v>
      </c>
      <c r="F49" s="410">
        <f>IF(C49=0,0,+E49/C49)</f>
        <v>0.42857142857142855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37</v>
      </c>
      <c r="D50" s="401">
        <f>SUM(D48:D49)</f>
        <v>57</v>
      </c>
      <c r="E50" s="401">
        <f>+D50-C50</f>
        <v>20</v>
      </c>
      <c r="F50" s="402">
        <f>IF(C50=0,0,+E50/C50)</f>
        <v>0.54054054054054057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1</v>
      </c>
      <c r="D53" s="409">
        <v>5</v>
      </c>
      <c r="E53" s="409">
        <f>+D53-C53</f>
        <v>4</v>
      </c>
      <c r="F53" s="410">
        <f>IF(C53=0,0,+E53/C53)</f>
        <v>4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2</v>
      </c>
      <c r="D54" s="409">
        <v>1</v>
      </c>
      <c r="E54" s="409">
        <f>+D54-C54</f>
        <v>-1</v>
      </c>
      <c r="F54" s="410">
        <f>IF(C54=0,0,+E54/C54)</f>
        <v>-0.5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3</v>
      </c>
      <c r="D55" s="401">
        <f>SUM(D53:D54)</f>
        <v>6</v>
      </c>
      <c r="E55" s="401">
        <f>+D55-C55</f>
        <v>3</v>
      </c>
      <c r="F55" s="402">
        <f>IF(C55=0,0,+E55/C55)</f>
        <v>1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3</v>
      </c>
      <c r="D58" s="409">
        <v>14</v>
      </c>
      <c r="E58" s="409">
        <f>+D58-C58</f>
        <v>11</v>
      </c>
      <c r="F58" s="410">
        <f>IF(C58=0,0,+E58/C58)</f>
        <v>3.6666666666666665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1</v>
      </c>
      <c r="D59" s="409">
        <v>16</v>
      </c>
      <c r="E59" s="409">
        <f>+D59-C59</f>
        <v>15</v>
      </c>
      <c r="F59" s="410">
        <f>IF(C59=0,0,+E59/C59)</f>
        <v>15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4</v>
      </c>
      <c r="D60" s="401">
        <f>SUM(D58:D59)</f>
        <v>30</v>
      </c>
      <c r="E60" s="401">
        <f>SUM(E58:E59)</f>
        <v>26</v>
      </c>
      <c r="F60" s="402">
        <f>IF(C60=0,0,+E60/C60)</f>
        <v>6.5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2168</v>
      </c>
      <c r="D63" s="409">
        <v>2118</v>
      </c>
      <c r="E63" s="409">
        <f>+D63-C63</f>
        <v>-50</v>
      </c>
      <c r="F63" s="410">
        <f>IF(C63=0,0,+E63/C63)</f>
        <v>-2.3062730627306273E-2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8032</v>
      </c>
      <c r="D64" s="409">
        <v>8138</v>
      </c>
      <c r="E64" s="409">
        <f>+D64-C64</f>
        <v>106</v>
      </c>
      <c r="F64" s="410">
        <f>IF(C64=0,0,+E64/C64)</f>
        <v>1.3197211155378486E-2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10200</v>
      </c>
      <c r="D65" s="401">
        <f>SUM(D63:D64)</f>
        <v>10256</v>
      </c>
      <c r="E65" s="401">
        <f>+D65-C65</f>
        <v>56</v>
      </c>
      <c r="F65" s="402">
        <f>IF(C65=0,0,+E65/C65)</f>
        <v>5.4901960784313726E-3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178</v>
      </c>
      <c r="D68" s="409">
        <v>144</v>
      </c>
      <c r="E68" s="409">
        <f>+D68-C68</f>
        <v>-34</v>
      </c>
      <c r="F68" s="410">
        <f>IF(C68=0,0,+E68/C68)</f>
        <v>-0.19101123595505617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1533</v>
      </c>
      <c r="D69" s="409">
        <v>1607</v>
      </c>
      <c r="E69" s="409">
        <f>+D69-C69</f>
        <v>74</v>
      </c>
      <c r="F69" s="412">
        <f>IF(C69=0,0,+E69/C69)</f>
        <v>4.8271363339856488E-2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1711</v>
      </c>
      <c r="D70" s="401">
        <f>SUM(D68:D69)</f>
        <v>1751</v>
      </c>
      <c r="E70" s="401">
        <f>+D70-C70</f>
        <v>40</v>
      </c>
      <c r="F70" s="402">
        <f>IF(C70=0,0,+E70/C70)</f>
        <v>2.3378141437755698E-2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3365</v>
      </c>
      <c r="D73" s="376">
        <v>3299</v>
      </c>
      <c r="E73" s="409">
        <f>+D73-C73</f>
        <v>-66</v>
      </c>
      <c r="F73" s="410">
        <f>IF(C73=0,0,+E73/C73)</f>
        <v>-1.9613670133729569E-2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52613</v>
      </c>
      <c r="D74" s="376">
        <v>52341</v>
      </c>
      <c r="E74" s="409">
        <f>+D74-C74</f>
        <v>-272</v>
      </c>
      <c r="F74" s="410">
        <f>IF(C74=0,0,+E74/C74)</f>
        <v>-5.1698249482067171E-3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55978</v>
      </c>
      <c r="D75" s="401">
        <f>SUM(D73:D74)</f>
        <v>55640</v>
      </c>
      <c r="E75" s="401">
        <f>SUM(E73:E74)</f>
        <v>-338</v>
      </c>
      <c r="F75" s="402">
        <f>IF(C75=0,0,+E75/C75)</f>
        <v>-6.0380863910822107E-3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0</v>
      </c>
      <c r="D81" s="376">
        <v>0</v>
      </c>
      <c r="E81" s="409">
        <f t="shared" si="0"/>
        <v>0</v>
      </c>
      <c r="F81" s="410">
        <f t="shared" si="1"/>
        <v>0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0</v>
      </c>
      <c r="D91" s="376">
        <v>0</v>
      </c>
      <c r="E91" s="409">
        <f t="shared" si="0"/>
        <v>0</v>
      </c>
      <c r="F91" s="410">
        <f t="shared" si="1"/>
        <v>0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0</v>
      </c>
      <c r="D92" s="381">
        <f>SUM(D79:D91)</f>
        <v>0</v>
      </c>
      <c r="E92" s="401">
        <f t="shared" si="0"/>
        <v>0</v>
      </c>
      <c r="F92" s="402">
        <f t="shared" si="1"/>
        <v>0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47883</v>
      </c>
      <c r="D95" s="414">
        <v>52076</v>
      </c>
      <c r="E95" s="415">
        <f t="shared" ref="E95:E100" si="2">+D95-C95</f>
        <v>4193</v>
      </c>
      <c r="F95" s="412">
        <f t="shared" ref="F95:F100" si="3">IF(C95=0,0,+E95/C95)</f>
        <v>8.7567612722678198E-2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0</v>
      </c>
      <c r="D96" s="414">
        <v>0</v>
      </c>
      <c r="E96" s="409">
        <f t="shared" si="2"/>
        <v>0</v>
      </c>
      <c r="F96" s="410">
        <f t="shared" si="3"/>
        <v>0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1448</v>
      </c>
      <c r="D97" s="414">
        <v>1720</v>
      </c>
      <c r="E97" s="409">
        <f t="shared" si="2"/>
        <v>272</v>
      </c>
      <c r="F97" s="410">
        <f t="shared" si="3"/>
        <v>0.18784530386740331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2189</v>
      </c>
      <c r="D98" s="414">
        <v>2353</v>
      </c>
      <c r="E98" s="409">
        <f t="shared" si="2"/>
        <v>164</v>
      </c>
      <c r="F98" s="410">
        <f t="shared" si="3"/>
        <v>7.4920054819552301E-2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48208</v>
      </c>
      <c r="D99" s="414">
        <v>49762</v>
      </c>
      <c r="E99" s="409">
        <f t="shared" si="2"/>
        <v>1554</v>
      </c>
      <c r="F99" s="410">
        <f t="shared" si="3"/>
        <v>3.2235313640889482E-2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99728</v>
      </c>
      <c r="D100" s="381">
        <f>SUM(D95:D99)</f>
        <v>105911</v>
      </c>
      <c r="E100" s="401">
        <f t="shared" si="2"/>
        <v>6183</v>
      </c>
      <c r="F100" s="402">
        <f t="shared" si="3"/>
        <v>6.1998636290710736E-2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341.1</v>
      </c>
      <c r="D104" s="416">
        <v>329.6</v>
      </c>
      <c r="E104" s="417">
        <f>+D104-C104</f>
        <v>-11.5</v>
      </c>
      <c r="F104" s="410">
        <f>IF(C104=0,0,+E104/C104)</f>
        <v>-3.3714453239519201E-2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42.9</v>
      </c>
      <c r="D105" s="416">
        <v>43.6</v>
      </c>
      <c r="E105" s="417">
        <f>+D105-C105</f>
        <v>0.70000000000000284</v>
      </c>
      <c r="F105" s="410">
        <f>IF(C105=0,0,+E105/C105)</f>
        <v>1.6317016317016386E-2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947.9</v>
      </c>
      <c r="D106" s="416">
        <v>1056.5</v>
      </c>
      <c r="E106" s="417">
        <f>+D106-C106</f>
        <v>108.60000000000002</v>
      </c>
      <c r="F106" s="410">
        <f>IF(C106=0,0,+E106/C106)</f>
        <v>0.11456904736786584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1331.9</v>
      </c>
      <c r="D107" s="418">
        <f>SUM(D104:D106)</f>
        <v>1429.7</v>
      </c>
      <c r="E107" s="418">
        <f>+D107-C107</f>
        <v>97.799999999999955</v>
      </c>
      <c r="F107" s="402">
        <f>IF(C107=0,0,+E107/C107)</f>
        <v>7.3428936106314249E-2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FILING&amp;RCT CHILDREN`S MEDICAL CENTER</oddHeader>
    <oddFooter>&amp;LREPORT 100&amp;CPAGE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zoomScale="75" zoomScaleSheetLayoutView="90" workbookViewId="0">
      <selection sqref="A1:F1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3" t="s">
        <v>0</v>
      </c>
      <c r="B1" s="814"/>
      <c r="C1" s="814"/>
      <c r="D1" s="814"/>
      <c r="E1" s="814"/>
      <c r="F1" s="815"/>
    </row>
    <row r="2" spans="1:6" ht="15.75" customHeight="1" x14ac:dyDescent="0.25">
      <c r="A2" s="813" t="s">
        <v>1</v>
      </c>
      <c r="B2" s="814"/>
      <c r="C2" s="814"/>
      <c r="D2" s="814"/>
      <c r="E2" s="814"/>
      <c r="F2" s="815"/>
    </row>
    <row r="3" spans="1:6" ht="15.75" customHeight="1" x14ac:dyDescent="0.25">
      <c r="A3" s="813" t="s">
        <v>2</v>
      </c>
      <c r="B3" s="814"/>
      <c r="C3" s="814"/>
      <c r="D3" s="814"/>
      <c r="E3" s="814"/>
      <c r="F3" s="815"/>
    </row>
    <row r="4" spans="1:6" ht="15.75" customHeight="1" x14ac:dyDescent="0.25">
      <c r="A4" s="813" t="s">
        <v>620</v>
      </c>
      <c r="B4" s="814"/>
      <c r="C4" s="814"/>
      <c r="D4" s="814"/>
      <c r="E4" s="814"/>
      <c r="F4" s="815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8032</v>
      </c>
      <c r="D12" s="409">
        <v>8138</v>
      </c>
      <c r="E12" s="409">
        <f>+D12-C12</f>
        <v>106</v>
      </c>
      <c r="F12" s="410">
        <f>IF(C12=0,0,+E12/C12)</f>
        <v>1.3197211155378486E-2</v>
      </c>
    </row>
    <row r="13" spans="1:6" ht="15.75" customHeight="1" x14ac:dyDescent="0.25">
      <c r="A13" s="374"/>
      <c r="B13" s="399" t="s">
        <v>622</v>
      </c>
      <c r="C13" s="401">
        <f>SUM(C11:C12)</f>
        <v>8032</v>
      </c>
      <c r="D13" s="401">
        <f>SUM(D11:D12)</f>
        <v>8138</v>
      </c>
      <c r="E13" s="401">
        <f>+D13-C13</f>
        <v>106</v>
      </c>
      <c r="F13" s="402">
        <f>IF(C13=0,0,+E13/C13)</f>
        <v>1.3197211155378486E-2</v>
      </c>
    </row>
    <row r="14" spans="1:6" ht="15.75" customHeight="1" x14ac:dyDescent="0.25">
      <c r="A14" s="136"/>
      <c r="B14" s="399"/>
      <c r="C14" s="401"/>
      <c r="D14" s="401"/>
      <c r="E14" s="401"/>
      <c r="F14" s="402"/>
    </row>
    <row r="15" spans="1:6" ht="15.75" customHeight="1" x14ac:dyDescent="0.25">
      <c r="A15" s="136" t="s">
        <v>26</v>
      </c>
      <c r="B15" s="406" t="s">
        <v>588</v>
      </c>
      <c r="C15" s="409"/>
      <c r="D15" s="409"/>
      <c r="E15" s="409"/>
      <c r="F15" s="410"/>
    </row>
    <row r="16" spans="1:6" ht="15.75" customHeight="1" x14ac:dyDescent="0.2">
      <c r="A16" s="374">
        <v>1</v>
      </c>
      <c r="B16" s="408" t="s">
        <v>623</v>
      </c>
      <c r="C16" s="409">
        <v>1533</v>
      </c>
      <c r="D16" s="409">
        <v>1607</v>
      </c>
      <c r="E16" s="409">
        <f>+D16-C16</f>
        <v>74</v>
      </c>
      <c r="F16" s="410">
        <f>IF(C16=0,0,+E16/C16)</f>
        <v>4.8271363339856488E-2</v>
      </c>
    </row>
    <row r="17" spans="1:6" ht="15.75" customHeight="1" x14ac:dyDescent="0.25">
      <c r="A17" s="374"/>
      <c r="B17" s="399" t="s">
        <v>624</v>
      </c>
      <c r="C17" s="401">
        <f>SUM(C15:C16)</f>
        <v>1533</v>
      </c>
      <c r="D17" s="401">
        <f>SUM(D15:D16)</f>
        <v>1607</v>
      </c>
      <c r="E17" s="401">
        <f>+D17-C17</f>
        <v>74</v>
      </c>
      <c r="F17" s="402">
        <f>IF(C17=0,0,+E17/C17)</f>
        <v>4.8271363339856488E-2</v>
      </c>
    </row>
    <row r="18" spans="1:6" ht="15.75" customHeight="1" x14ac:dyDescent="0.25">
      <c r="A18" s="136"/>
      <c r="B18" s="399"/>
      <c r="C18" s="401"/>
      <c r="D18" s="401"/>
      <c r="E18" s="401"/>
      <c r="F18" s="402"/>
    </row>
    <row r="19" spans="1:6" ht="15.75" customHeight="1" x14ac:dyDescent="0.25">
      <c r="A19" s="136" t="s">
        <v>36</v>
      </c>
      <c r="B19" s="406" t="s">
        <v>625</v>
      </c>
      <c r="C19" s="409"/>
      <c r="D19" s="409"/>
      <c r="E19" s="409"/>
      <c r="F19" s="410"/>
    </row>
    <row r="20" spans="1:6" ht="15.75" customHeight="1" x14ac:dyDescent="0.2">
      <c r="A20" s="374">
        <v>1</v>
      </c>
      <c r="B20" s="408" t="s">
        <v>626</v>
      </c>
      <c r="C20" s="409">
        <v>52613</v>
      </c>
      <c r="D20" s="409">
        <v>52341</v>
      </c>
      <c r="E20" s="409">
        <f>+D20-C20</f>
        <v>-272</v>
      </c>
      <c r="F20" s="410">
        <f>IF(C20=0,0,+E20/C20)</f>
        <v>-5.1698249482067171E-3</v>
      </c>
    </row>
    <row r="21" spans="1:6" ht="15.75" customHeight="1" x14ac:dyDescent="0.25">
      <c r="A21" s="374"/>
      <c r="B21" s="399" t="s">
        <v>627</v>
      </c>
      <c r="C21" s="401">
        <f>SUM(C19:C20)</f>
        <v>52613</v>
      </c>
      <c r="D21" s="401">
        <f>SUM(D19:D20)</f>
        <v>52341</v>
      </c>
      <c r="E21" s="401">
        <f>+D21-C21</f>
        <v>-272</v>
      </c>
      <c r="F21" s="402">
        <f>IF(C21=0,0,+E21/C21)</f>
        <v>-5.1698249482067171E-3</v>
      </c>
    </row>
    <row r="22" spans="1:6" ht="15.75" customHeight="1" x14ac:dyDescent="0.25">
      <c r="A22" s="136"/>
      <c r="B22" s="399"/>
      <c r="C22" s="401"/>
      <c r="D22" s="401"/>
      <c r="E22" s="401"/>
      <c r="F22" s="402"/>
    </row>
    <row r="23" spans="1:6" ht="15.75" customHeight="1" x14ac:dyDescent="0.25">
      <c r="B23" s="810" t="s">
        <v>628</v>
      </c>
      <c r="C23" s="811"/>
      <c r="D23" s="811"/>
      <c r="E23" s="811"/>
      <c r="F23" s="812"/>
    </row>
    <row r="24" spans="1:6" ht="15.75" customHeight="1" x14ac:dyDescent="0.25">
      <c r="A24" s="392"/>
    </row>
    <row r="25" spans="1:6" ht="15.75" customHeight="1" x14ac:dyDescent="0.25">
      <c r="B25" s="810" t="s">
        <v>629</v>
      </c>
      <c r="C25" s="811"/>
      <c r="D25" s="811"/>
      <c r="E25" s="811"/>
      <c r="F25" s="812"/>
    </row>
    <row r="26" spans="1:6" ht="15.75" customHeight="1" x14ac:dyDescent="0.25">
      <c r="A26" s="392"/>
    </row>
    <row r="27" spans="1:6" ht="15.75" customHeight="1" x14ac:dyDescent="0.25">
      <c r="B27" s="810" t="s">
        <v>630</v>
      </c>
      <c r="C27" s="811"/>
      <c r="D27" s="811"/>
      <c r="E27" s="811"/>
      <c r="F27" s="812"/>
    </row>
    <row r="28" spans="1:6" ht="15.75" customHeight="1" x14ac:dyDescent="0.25">
      <c r="A28" s="392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scale="82" fitToHeight="0" orientation="portrait" horizontalDpi="1200" verticalDpi="1200" r:id="rId1"/>
  <headerFooter>
    <oddHeader>&amp;LOFFICE OF HEALTH CARE ACCESS&amp;CTWELVE MONTHS ACTUAL FILING&amp;RCT CHILDREN`S MEDICAL CENTER</oddHeader>
    <oddFooter>&amp;LREPORT 100&amp;CPAGE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zoomScale="85" zoomScaleSheetLayoutView="80" workbookViewId="0">
      <selection sqref="A1:F1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5.28515625" style="421" bestFit="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631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632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633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634</v>
      </c>
      <c r="D7" s="426" t="s">
        <v>634</v>
      </c>
      <c r="E7" s="426" t="s">
        <v>635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636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637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638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639</v>
      </c>
      <c r="C15" s="448">
        <v>386168</v>
      </c>
      <c r="D15" s="448">
        <v>776456</v>
      </c>
      <c r="E15" s="448">
        <f t="shared" ref="E15:E24" si="0">D15-C15</f>
        <v>390288</v>
      </c>
      <c r="F15" s="449">
        <f t="shared" ref="F15:F24" si="1">IF(C15=0,0,E15/C15)</f>
        <v>1.0106689316566884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640</v>
      </c>
      <c r="C16" s="448">
        <v>2274166</v>
      </c>
      <c r="D16" s="448">
        <v>2018068</v>
      </c>
      <c r="E16" s="448">
        <f t="shared" si="0"/>
        <v>-256098</v>
      </c>
      <c r="F16" s="449">
        <f t="shared" si="1"/>
        <v>-0.11261183220574048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641</v>
      </c>
      <c r="C17" s="453">
        <f>IF(C15=0,0,C16/C15)</f>
        <v>5.8890586480495539</v>
      </c>
      <c r="D17" s="453">
        <f>IF(LN_IA1=0,0,LN_IA2/LN_IA1)</f>
        <v>2.5990758008180759</v>
      </c>
      <c r="E17" s="454">
        <f t="shared" si="0"/>
        <v>-3.289982847231478</v>
      </c>
      <c r="F17" s="449">
        <f t="shared" si="1"/>
        <v>-0.55866022803510618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3</v>
      </c>
      <c r="D18" s="456">
        <v>20</v>
      </c>
      <c r="E18" s="456">
        <f t="shared" si="0"/>
        <v>17</v>
      </c>
      <c r="F18" s="449">
        <f t="shared" si="1"/>
        <v>5.666666666666667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642</v>
      </c>
      <c r="C19" s="459">
        <v>2.5541</v>
      </c>
      <c r="D19" s="459">
        <v>1.7544999999999999</v>
      </c>
      <c r="E19" s="460">
        <f t="shared" si="0"/>
        <v>-0.79960000000000009</v>
      </c>
      <c r="F19" s="449">
        <f t="shared" si="1"/>
        <v>-0.31306526760894249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643</v>
      </c>
      <c r="C20" s="463">
        <f>C18*C19</f>
        <v>7.6623000000000001</v>
      </c>
      <c r="D20" s="463">
        <f>LN_IA4*LN_IA5</f>
        <v>35.089999999999996</v>
      </c>
      <c r="E20" s="463">
        <f t="shared" si="0"/>
        <v>27.427699999999994</v>
      </c>
      <c r="F20" s="449">
        <f t="shared" si="1"/>
        <v>3.5795648826070492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644</v>
      </c>
      <c r="C21" s="465">
        <f>IF(C20=0,0,C16/C20)</f>
        <v>296799.39443770144</v>
      </c>
      <c r="D21" s="465">
        <f>IF(LN_IA6=0,0,LN_IA2/LN_IA6)</f>
        <v>57511.199772014828</v>
      </c>
      <c r="E21" s="465">
        <f t="shared" si="0"/>
        <v>-239288.19466568661</v>
      </c>
      <c r="F21" s="449">
        <f t="shared" si="1"/>
        <v>-0.80622871592790091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32</v>
      </c>
      <c r="D22" s="456">
        <v>83</v>
      </c>
      <c r="E22" s="456">
        <f t="shared" si="0"/>
        <v>51</v>
      </c>
      <c r="F22" s="449">
        <f t="shared" si="1"/>
        <v>1.59375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645</v>
      </c>
      <c r="C23" s="465">
        <f>IF(C22=0,0,C16/C22)</f>
        <v>71067.6875</v>
      </c>
      <c r="D23" s="465">
        <f>IF(LN_IA8=0,0,LN_IA2/LN_IA8)</f>
        <v>24314.072289156626</v>
      </c>
      <c r="E23" s="465">
        <f t="shared" si="0"/>
        <v>-46753.615210843374</v>
      </c>
      <c r="F23" s="449">
        <f t="shared" si="1"/>
        <v>-0.65787444133233364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646</v>
      </c>
      <c r="C24" s="466">
        <f>IF(C18=0,0,C22/C18)</f>
        <v>10.666666666666666</v>
      </c>
      <c r="D24" s="466">
        <f>IF(LN_IA4=0,0,LN_IA8/LN_IA4)</f>
        <v>4.1500000000000004</v>
      </c>
      <c r="E24" s="466">
        <f t="shared" si="0"/>
        <v>-6.5166666666666657</v>
      </c>
      <c r="F24" s="449">
        <f t="shared" si="1"/>
        <v>-0.61093749999999991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647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648</v>
      </c>
      <c r="C27" s="448">
        <v>110788</v>
      </c>
      <c r="D27" s="448">
        <v>267448</v>
      </c>
      <c r="E27" s="448">
        <f t="shared" ref="E27:E32" si="2">D27-C27</f>
        <v>156660</v>
      </c>
      <c r="F27" s="449">
        <f t="shared" ref="F27:F32" si="3">IF(C27=0,0,E27/C27)</f>
        <v>1.4140520634003684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649</v>
      </c>
      <c r="C28" s="448">
        <v>677337</v>
      </c>
      <c r="D28" s="448">
        <v>773310</v>
      </c>
      <c r="E28" s="448">
        <f t="shared" si="2"/>
        <v>95973</v>
      </c>
      <c r="F28" s="449">
        <f t="shared" si="3"/>
        <v>0.14169165422824975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650</v>
      </c>
      <c r="C29" s="453">
        <f>IF(C27=0,0,C28/C27)</f>
        <v>6.1138119651947864</v>
      </c>
      <c r="D29" s="453">
        <f>IF(LN_IA11=0,0,LN_IA12/LN_IA11)</f>
        <v>2.8914405791032274</v>
      </c>
      <c r="E29" s="454">
        <f t="shared" si="2"/>
        <v>-3.222371386091559</v>
      </c>
      <c r="F29" s="449">
        <f t="shared" si="3"/>
        <v>-0.52706419569920382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651</v>
      </c>
      <c r="C30" s="453">
        <f>IF(C15=0,0,C27/C15)</f>
        <v>0.2868906797041702</v>
      </c>
      <c r="D30" s="453">
        <f>IF(LN_IA1=0,0,LN_IA11/LN_IA1)</f>
        <v>0.34444707749054682</v>
      </c>
      <c r="E30" s="454">
        <f t="shared" si="2"/>
        <v>5.7556397786376612E-2</v>
      </c>
      <c r="F30" s="449">
        <f t="shared" si="3"/>
        <v>0.2006213580926588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652</v>
      </c>
      <c r="C31" s="463">
        <f>C30*C18</f>
        <v>0.86067203911251067</v>
      </c>
      <c r="D31" s="463">
        <f>LN_IA14*LN_IA4</f>
        <v>6.8889415498109363</v>
      </c>
      <c r="E31" s="463">
        <f t="shared" si="2"/>
        <v>6.0282695106984256</v>
      </c>
      <c r="F31" s="449">
        <f t="shared" si="3"/>
        <v>7.0041423872843911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653</v>
      </c>
      <c r="C32" s="465">
        <f>IF(C31=0,0,C28/C31)</f>
        <v>786986.17965844669</v>
      </c>
      <c r="D32" s="465">
        <f>IF(LN_IA15=0,0,LN_IA12/LN_IA15)</f>
        <v>112253.81931440877</v>
      </c>
      <c r="E32" s="465">
        <f t="shared" si="2"/>
        <v>-674732.36034403788</v>
      </c>
      <c r="F32" s="449">
        <f t="shared" si="3"/>
        <v>-0.85736240074364822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654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655</v>
      </c>
      <c r="C35" s="448">
        <f>C15+C27</f>
        <v>496956</v>
      </c>
      <c r="D35" s="448">
        <f>LN_IA1+LN_IA11</f>
        <v>1043904</v>
      </c>
      <c r="E35" s="448">
        <f>D35-C35</f>
        <v>546948</v>
      </c>
      <c r="F35" s="449">
        <f>IF(C35=0,0,E35/C35)</f>
        <v>1.1005964310723686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656</v>
      </c>
      <c r="C36" s="448">
        <f>C16+C28</f>
        <v>2951503</v>
      </c>
      <c r="D36" s="448">
        <f>LN_IA2+LN_IA12</f>
        <v>2791378</v>
      </c>
      <c r="E36" s="448">
        <f>D36-C36</f>
        <v>-160125</v>
      </c>
      <c r="F36" s="449">
        <f>IF(C36=0,0,E36/C36)</f>
        <v>-5.4252020072485106E-2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657</v>
      </c>
      <c r="C37" s="448">
        <f>C35-C36</f>
        <v>-2454547</v>
      </c>
      <c r="D37" s="448">
        <f>LN_IA17-LN_IA18</f>
        <v>-1747474</v>
      </c>
      <c r="E37" s="448">
        <f>D37-C37</f>
        <v>707073</v>
      </c>
      <c r="F37" s="449">
        <f>IF(C37=0,0,E37/C37)</f>
        <v>-0.28806659640251336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658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659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639</v>
      </c>
      <c r="C42" s="448">
        <v>132785456</v>
      </c>
      <c r="D42" s="448">
        <v>160141585</v>
      </c>
      <c r="E42" s="448">
        <f t="shared" ref="E42:E53" si="4">D42-C42</f>
        <v>27356129</v>
      </c>
      <c r="F42" s="449">
        <f t="shared" ref="F42:F53" si="5">IF(C42=0,0,E42/C42)</f>
        <v>0.20601750992970194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640</v>
      </c>
      <c r="C43" s="448">
        <v>81535017</v>
      </c>
      <c r="D43" s="448">
        <v>95732931</v>
      </c>
      <c r="E43" s="448">
        <f t="shared" si="4"/>
        <v>14197914</v>
      </c>
      <c r="F43" s="449">
        <f t="shared" si="5"/>
        <v>0.17413271649897369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641</v>
      </c>
      <c r="C44" s="453">
        <f>IF(C42=0,0,C43/C42)</f>
        <v>0.61403574951762785</v>
      </c>
      <c r="D44" s="453">
        <f>IF(LN_IB1=0,0,LN_IB2/LN_IB1)</f>
        <v>0.59780182018305861</v>
      </c>
      <c r="E44" s="454">
        <f t="shared" si="4"/>
        <v>-1.6233929334569241E-2</v>
      </c>
      <c r="F44" s="449">
        <f t="shared" si="5"/>
        <v>-2.6438084993133115E-2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3194</v>
      </c>
      <c r="D45" s="456">
        <v>2975</v>
      </c>
      <c r="E45" s="456">
        <f t="shared" si="4"/>
        <v>-219</v>
      </c>
      <c r="F45" s="449">
        <f t="shared" si="5"/>
        <v>-6.856606136505948E-2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642</v>
      </c>
      <c r="C46" s="459">
        <v>1.5525</v>
      </c>
      <c r="D46" s="459">
        <v>1.6778</v>
      </c>
      <c r="E46" s="460">
        <f t="shared" si="4"/>
        <v>0.12529999999999997</v>
      </c>
      <c r="F46" s="449">
        <f t="shared" si="5"/>
        <v>8.0708534621578079E-2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643</v>
      </c>
      <c r="C47" s="463">
        <f>C45*C46</f>
        <v>4958.6850000000004</v>
      </c>
      <c r="D47" s="463">
        <f>LN_IB4*LN_IB5</f>
        <v>4991.4549999999999</v>
      </c>
      <c r="E47" s="463">
        <f t="shared" si="4"/>
        <v>32.769999999999527</v>
      </c>
      <c r="F47" s="449">
        <f t="shared" si="5"/>
        <v>6.6086069189713655E-3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644</v>
      </c>
      <c r="C48" s="465">
        <f>IF(C47=0,0,C43/C47)</f>
        <v>16442.870841765507</v>
      </c>
      <c r="D48" s="465">
        <f>IF(LN_IB6=0,0,LN_IB2/LN_IB6)</f>
        <v>19179.363732619047</v>
      </c>
      <c r="E48" s="465">
        <f t="shared" si="4"/>
        <v>2736.4928908535403</v>
      </c>
      <c r="F48" s="449">
        <f t="shared" si="5"/>
        <v>0.16642427695185358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660</v>
      </c>
      <c r="C49" s="465">
        <f>C21-C48</f>
        <v>280356.52359593596</v>
      </c>
      <c r="D49" s="465">
        <f>LN_IA7-LN_IB7</f>
        <v>38331.836039395785</v>
      </c>
      <c r="E49" s="465">
        <f t="shared" si="4"/>
        <v>-242024.68755654019</v>
      </c>
      <c r="F49" s="449">
        <f t="shared" si="5"/>
        <v>-0.86327467772912769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661</v>
      </c>
      <c r="C50" s="479">
        <f>C49*C47</f>
        <v>1390199688.2073138</v>
      </c>
      <c r="D50" s="479">
        <f>LN_IB8*LN_IB6</f>
        <v>191331634.65802228</v>
      </c>
      <c r="E50" s="479">
        <f t="shared" si="4"/>
        <v>-1198868053.5492916</v>
      </c>
      <c r="F50" s="449">
        <f t="shared" si="5"/>
        <v>-0.86237111381836984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19482</v>
      </c>
      <c r="D51" s="456">
        <v>21223</v>
      </c>
      <c r="E51" s="456">
        <f t="shared" si="4"/>
        <v>1741</v>
      </c>
      <c r="F51" s="449">
        <f t="shared" si="5"/>
        <v>8.9364541628169591E-2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645</v>
      </c>
      <c r="C52" s="465">
        <f>IF(C51=0,0,C43/C51)</f>
        <v>4185.1461348937482</v>
      </c>
      <c r="D52" s="465">
        <f>IF(LN_IB10=0,0,LN_IB2/LN_IB10)</f>
        <v>4510.8104886208357</v>
      </c>
      <c r="E52" s="465">
        <f t="shared" si="4"/>
        <v>325.66435372708747</v>
      </c>
      <c r="F52" s="449">
        <f t="shared" si="5"/>
        <v>7.7814332697215452E-2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646</v>
      </c>
      <c r="C53" s="466">
        <f>IF(C45=0,0,C51/C45)</f>
        <v>6.0995616781465252</v>
      </c>
      <c r="D53" s="466">
        <f>IF(LN_IB4=0,0,LN_IB10/LN_IB4)</f>
        <v>7.1337815126050419</v>
      </c>
      <c r="E53" s="466">
        <f t="shared" si="4"/>
        <v>1.0342198344585167</v>
      </c>
      <c r="F53" s="449">
        <f t="shared" si="5"/>
        <v>0.16955641881020952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662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648</v>
      </c>
      <c r="C56" s="448">
        <v>101129504</v>
      </c>
      <c r="D56" s="448">
        <v>111457704</v>
      </c>
      <c r="E56" s="448">
        <f t="shared" ref="E56:E63" si="6">D56-C56</f>
        <v>10328200</v>
      </c>
      <c r="F56" s="449">
        <f t="shared" ref="F56:F63" si="7">IF(C56=0,0,E56/C56)</f>
        <v>0.10212845501546215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649</v>
      </c>
      <c r="C57" s="448">
        <v>49905195</v>
      </c>
      <c r="D57" s="448">
        <v>54490096</v>
      </c>
      <c r="E57" s="448">
        <f t="shared" si="6"/>
        <v>4584901</v>
      </c>
      <c r="F57" s="449">
        <f t="shared" si="7"/>
        <v>9.1872218914283377E-2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650</v>
      </c>
      <c r="C58" s="453">
        <f>IF(C56=0,0,C57/C56)</f>
        <v>0.49347809517586477</v>
      </c>
      <c r="D58" s="453">
        <f>IF(LN_IB13=0,0,LN_IB14/LN_IB13)</f>
        <v>0.48888586472228068</v>
      </c>
      <c r="E58" s="454">
        <f t="shared" si="6"/>
        <v>-4.5922304535840897E-3</v>
      </c>
      <c r="F58" s="449">
        <f t="shared" si="7"/>
        <v>-9.3058445723867827E-3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651</v>
      </c>
      <c r="C59" s="453">
        <f>IF(C42=0,0,C56/C42)</f>
        <v>0.76160075844450914</v>
      </c>
      <c r="D59" s="453">
        <f>IF(LN_IB1=0,0,LN_IB13/LN_IB1)</f>
        <v>0.69599475988700876</v>
      </c>
      <c r="E59" s="454">
        <f t="shared" si="6"/>
        <v>-6.5605998557500378E-2</v>
      </c>
      <c r="F59" s="449">
        <f t="shared" si="7"/>
        <v>-8.6142244253398392E-2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652</v>
      </c>
      <c r="C60" s="463">
        <f>C59*C45</f>
        <v>2432.5528224717623</v>
      </c>
      <c r="D60" s="463">
        <f>LN_IB16*LN_IB4</f>
        <v>2070.584410663851</v>
      </c>
      <c r="E60" s="463">
        <f t="shared" si="6"/>
        <v>-361.96841180791125</v>
      </c>
      <c r="F60" s="449">
        <f t="shared" si="7"/>
        <v>-0.14880187121285549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653</v>
      </c>
      <c r="C61" s="465">
        <f>IF(C60=0,0,C57/C60)</f>
        <v>20515.564775810461</v>
      </c>
      <c r="D61" s="465">
        <f>IF(LN_IB17=0,0,LN_IB14/LN_IB17)</f>
        <v>26316.288154864407</v>
      </c>
      <c r="E61" s="465">
        <f t="shared" si="6"/>
        <v>5800.7233790539467</v>
      </c>
      <c r="F61" s="449">
        <f t="shared" si="7"/>
        <v>0.28274743797906443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663</v>
      </c>
      <c r="C62" s="465">
        <f>C32-C61</f>
        <v>766470.61488263623</v>
      </c>
      <c r="D62" s="465">
        <f>LN_IA16-LN_IB18</f>
        <v>85937.531159544364</v>
      </c>
      <c r="E62" s="465">
        <f t="shared" si="6"/>
        <v>-680533.08372309187</v>
      </c>
      <c r="F62" s="449">
        <f t="shared" si="7"/>
        <v>-0.88787889647575946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664</v>
      </c>
      <c r="C63" s="448">
        <f>C62*C60</f>
        <v>1864480257.5744238</v>
      </c>
      <c r="D63" s="448">
        <f>LN_IB19*LN_IB17</f>
        <v>177940912.30989149</v>
      </c>
      <c r="E63" s="448">
        <f t="shared" si="6"/>
        <v>-1686539345.2645323</v>
      </c>
      <c r="F63" s="449">
        <f t="shared" si="7"/>
        <v>-0.90456272648261671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665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655</v>
      </c>
      <c r="C66" s="448">
        <f>C42+C56</f>
        <v>233914960</v>
      </c>
      <c r="D66" s="448">
        <f>LN_IB1+LN_IB13</f>
        <v>271599289</v>
      </c>
      <c r="E66" s="448">
        <f>D66-C66</f>
        <v>37684329</v>
      </c>
      <c r="F66" s="449">
        <f>IF(C66=0,0,E66/C66)</f>
        <v>0.16110268877202211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656</v>
      </c>
      <c r="C67" s="448">
        <f>C43+C57</f>
        <v>131440212</v>
      </c>
      <c r="D67" s="448">
        <f>LN_IB2+LN_IB14</f>
        <v>150223027</v>
      </c>
      <c r="E67" s="448">
        <f>D67-C67</f>
        <v>18782815</v>
      </c>
      <c r="F67" s="449">
        <f>IF(C67=0,0,E67/C67)</f>
        <v>0.14290006622935147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657</v>
      </c>
      <c r="C68" s="448">
        <f>C66-C67</f>
        <v>102474748</v>
      </c>
      <c r="D68" s="448">
        <f>LN_IB21-LN_IB22</f>
        <v>121376262</v>
      </c>
      <c r="E68" s="448">
        <f>D68-C68</f>
        <v>18901514</v>
      </c>
      <c r="F68" s="449">
        <f>IF(C68=0,0,E68/C68)</f>
        <v>0.18445045602844518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666</v>
      </c>
      <c r="C70" s="441">
        <f>C50+C63</f>
        <v>3254679945.7817373</v>
      </c>
      <c r="D70" s="441">
        <f>LN_IB9+LN_IB20</f>
        <v>369272546.96791375</v>
      </c>
      <c r="E70" s="448">
        <f>D70-C70</f>
        <v>-2885407398.8138237</v>
      </c>
      <c r="F70" s="449">
        <f>IF(C70=0,0,E70/C70)</f>
        <v>-0.88654105684139139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667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668</v>
      </c>
      <c r="C73" s="488">
        <v>229320741</v>
      </c>
      <c r="D73" s="488">
        <v>267224459</v>
      </c>
      <c r="E73" s="488">
        <f>D73-C73</f>
        <v>37903718</v>
      </c>
      <c r="F73" s="489">
        <f>IF(C73=0,0,E73/C73)</f>
        <v>0.16528691576136151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669</v>
      </c>
      <c r="C74" s="488">
        <v>128326484</v>
      </c>
      <c r="D74" s="488">
        <v>150463835</v>
      </c>
      <c r="E74" s="488">
        <f>D74-C74</f>
        <v>22137351</v>
      </c>
      <c r="F74" s="489">
        <f>IF(C74=0,0,E74/C74)</f>
        <v>0.17250804596189201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670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671</v>
      </c>
      <c r="C76" s="441">
        <f>C73-C74</f>
        <v>100994257</v>
      </c>
      <c r="D76" s="441">
        <f>LN_IB32-LN_IB33</f>
        <v>116760624</v>
      </c>
      <c r="E76" s="488">
        <f>D76-C76</f>
        <v>15766367</v>
      </c>
      <c r="F76" s="489">
        <f>IF(E76=0,0,E76/C76)</f>
        <v>0.15611152028179187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672</v>
      </c>
      <c r="C77" s="453">
        <f>IF(C73=0,0,C76/C73)</f>
        <v>0.44040611660155066</v>
      </c>
      <c r="D77" s="453">
        <f>IF(LN_IB32=0,0,LN_IB34/LN_IB32)</f>
        <v>0.43693838669161644</v>
      </c>
      <c r="E77" s="493">
        <f>D77-C77</f>
        <v>-3.467729909934214E-3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673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674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639</v>
      </c>
      <c r="C83" s="448">
        <v>1742334</v>
      </c>
      <c r="D83" s="448">
        <v>1678321</v>
      </c>
      <c r="E83" s="448">
        <f t="shared" ref="E83:E95" si="8">D83-C83</f>
        <v>-64013</v>
      </c>
      <c r="F83" s="449">
        <f t="shared" ref="F83:F95" si="9">IF(C83=0,0,E83/C83)</f>
        <v>-3.6739798454257337E-2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640</v>
      </c>
      <c r="C84" s="448">
        <v>532200</v>
      </c>
      <c r="D84" s="448">
        <v>373932</v>
      </c>
      <c r="E84" s="448">
        <f t="shared" si="8"/>
        <v>-158268</v>
      </c>
      <c r="F84" s="449">
        <f t="shared" si="9"/>
        <v>-0.29738444193912061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641</v>
      </c>
      <c r="C85" s="453">
        <f>IF(C83=0,0,C84/C83)</f>
        <v>0.30545234151431355</v>
      </c>
      <c r="D85" s="453">
        <f>IF(LN_IC1=0,0,LN_IC2/LN_IC1)</f>
        <v>0.22280124004883453</v>
      </c>
      <c r="E85" s="454">
        <f t="shared" si="8"/>
        <v>-8.2651101465479021E-2</v>
      </c>
      <c r="F85" s="449">
        <f t="shared" si="9"/>
        <v>-0.27058591548431776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72</v>
      </c>
      <c r="D86" s="456">
        <v>47</v>
      </c>
      <c r="E86" s="456">
        <f t="shared" si="8"/>
        <v>-25</v>
      </c>
      <c r="F86" s="449">
        <f t="shared" si="9"/>
        <v>-0.34722222222222221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642</v>
      </c>
      <c r="C87" s="459">
        <v>0.94810000000000005</v>
      </c>
      <c r="D87" s="459">
        <v>1.2221</v>
      </c>
      <c r="E87" s="460">
        <f t="shared" si="8"/>
        <v>0.27399999999999991</v>
      </c>
      <c r="F87" s="449">
        <f t="shared" si="9"/>
        <v>0.28899905073304494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643</v>
      </c>
      <c r="C88" s="463">
        <f>C86*C87</f>
        <v>68.263199999999998</v>
      </c>
      <c r="D88" s="463">
        <f>LN_IC4*LN_IC5</f>
        <v>57.438699999999997</v>
      </c>
      <c r="E88" s="463">
        <f t="shared" si="8"/>
        <v>-10.8245</v>
      </c>
      <c r="F88" s="449">
        <f t="shared" si="9"/>
        <v>-0.15857006410481783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644</v>
      </c>
      <c r="C89" s="465">
        <f>IF(C88=0,0,C84/C88)</f>
        <v>7796.2943430721098</v>
      </c>
      <c r="D89" s="465">
        <f>IF(LN_IC6=0,0,LN_IC2/LN_IC6)</f>
        <v>6510.1055560101468</v>
      </c>
      <c r="E89" s="465">
        <f t="shared" si="8"/>
        <v>-1286.188787061963</v>
      </c>
      <c r="F89" s="449">
        <f t="shared" si="9"/>
        <v>-0.16497437506382598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675</v>
      </c>
      <c r="C90" s="465">
        <f>C48-C89</f>
        <v>8646.5764986933973</v>
      </c>
      <c r="D90" s="465">
        <f>LN_IB7-LN_IC7</f>
        <v>12669.258176608901</v>
      </c>
      <c r="E90" s="465">
        <f t="shared" si="8"/>
        <v>4022.6816779155033</v>
      </c>
      <c r="F90" s="449">
        <f t="shared" si="9"/>
        <v>0.46523403551953529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676</v>
      </c>
      <c r="C91" s="465">
        <f>C21-C89</f>
        <v>289003.10009462934</v>
      </c>
      <c r="D91" s="465">
        <f>LN_IA7-LN_IC7</f>
        <v>51001.094216004683</v>
      </c>
      <c r="E91" s="465">
        <f t="shared" si="8"/>
        <v>-238002.00587862465</v>
      </c>
      <c r="F91" s="449">
        <f t="shared" si="9"/>
        <v>-0.82352751856535378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661</v>
      </c>
      <c r="C92" s="441">
        <f>C91*C88</f>
        <v>19728276.422379702</v>
      </c>
      <c r="D92" s="441">
        <f>LN_IC9*LN_IC6</f>
        <v>2929436.5503448281</v>
      </c>
      <c r="E92" s="441">
        <f t="shared" si="8"/>
        <v>-16798839.872034874</v>
      </c>
      <c r="F92" s="449">
        <f t="shared" si="9"/>
        <v>-0.85151077125918184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245</v>
      </c>
      <c r="D93" s="456">
        <v>189</v>
      </c>
      <c r="E93" s="456">
        <f t="shared" si="8"/>
        <v>-56</v>
      </c>
      <c r="F93" s="449">
        <f t="shared" si="9"/>
        <v>-0.22857142857142856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645</v>
      </c>
      <c r="C94" s="499">
        <f>IF(C93=0,0,C84/C93)</f>
        <v>2172.2448979591836</v>
      </c>
      <c r="D94" s="499">
        <f>IF(LN_IC11=0,0,LN_IC2/LN_IC11)</f>
        <v>1978.4761904761904</v>
      </c>
      <c r="E94" s="499">
        <f t="shared" si="8"/>
        <v>-193.76870748299325</v>
      </c>
      <c r="F94" s="449">
        <f t="shared" si="9"/>
        <v>-8.9202054365526764E-2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646</v>
      </c>
      <c r="C95" s="466">
        <f>IF(C86=0,0,C93/C86)</f>
        <v>3.4027777777777777</v>
      </c>
      <c r="D95" s="466">
        <f>IF(LN_IC4=0,0,LN_IC11/LN_IC4)</f>
        <v>4.0212765957446805</v>
      </c>
      <c r="E95" s="466">
        <f t="shared" si="8"/>
        <v>0.61849881796690287</v>
      </c>
      <c r="F95" s="449">
        <f t="shared" si="9"/>
        <v>0.18176291793313065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677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648</v>
      </c>
      <c r="C98" s="448">
        <v>2851885</v>
      </c>
      <c r="D98" s="448">
        <v>2696509</v>
      </c>
      <c r="E98" s="448">
        <f t="shared" ref="E98:E106" si="10">D98-C98</f>
        <v>-155376</v>
      </c>
      <c r="F98" s="449">
        <f t="shared" ref="F98:F106" si="11">IF(C98=0,0,E98/C98)</f>
        <v>-5.4481860243312759E-2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649</v>
      </c>
      <c r="C99" s="448">
        <v>871115</v>
      </c>
      <c r="D99" s="448">
        <v>452476</v>
      </c>
      <c r="E99" s="448">
        <f t="shared" si="10"/>
        <v>-418639</v>
      </c>
      <c r="F99" s="449">
        <f t="shared" si="11"/>
        <v>-0.48057833925486304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650</v>
      </c>
      <c r="C100" s="453">
        <f>IF(C98=0,0,C99/C98)</f>
        <v>0.30545235870310339</v>
      </c>
      <c r="D100" s="453">
        <f>IF(LN_IC14=0,0,LN_IC15/LN_IC14)</f>
        <v>0.1678006637470893</v>
      </c>
      <c r="E100" s="454">
        <f t="shared" si="10"/>
        <v>-0.13765169495601409</v>
      </c>
      <c r="F100" s="449">
        <f t="shared" si="11"/>
        <v>-0.4506486561127202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651</v>
      </c>
      <c r="C101" s="453">
        <f>IF(C83=0,0,C98/C83)</f>
        <v>1.6368187729792336</v>
      </c>
      <c r="D101" s="453">
        <f>IF(LN_IC1=0,0,LN_IC14/LN_IC1)</f>
        <v>1.6066705951960323</v>
      </c>
      <c r="E101" s="454">
        <f t="shared" si="10"/>
        <v>-3.0148177783201335E-2</v>
      </c>
      <c r="F101" s="449">
        <f t="shared" si="11"/>
        <v>-1.8418763445831904E-2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652</v>
      </c>
      <c r="C102" s="463">
        <f>C101*C86</f>
        <v>117.85095165450483</v>
      </c>
      <c r="D102" s="463">
        <f>LN_IC17*LN_IC4</f>
        <v>75.513517974213514</v>
      </c>
      <c r="E102" s="463">
        <f t="shared" si="10"/>
        <v>-42.337433680291312</v>
      </c>
      <c r="F102" s="449">
        <f t="shared" si="11"/>
        <v>-0.35924558169380699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653</v>
      </c>
      <c r="C103" s="465">
        <f>IF(C102=0,0,C99/C102)</f>
        <v>7391.6670826196241</v>
      </c>
      <c r="D103" s="465">
        <f>IF(LN_IC18=0,0,LN_IC15/LN_IC18)</f>
        <v>5991.9867612910348</v>
      </c>
      <c r="E103" s="465">
        <f t="shared" si="10"/>
        <v>-1399.6803213285893</v>
      </c>
      <c r="F103" s="449">
        <f t="shared" si="11"/>
        <v>-0.18935922109096659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678</v>
      </c>
      <c r="C104" s="465">
        <f>C61-C103</f>
        <v>13123.897693190836</v>
      </c>
      <c r="D104" s="465">
        <f>LN_IB18-LN_IC19</f>
        <v>20324.301393573372</v>
      </c>
      <c r="E104" s="465">
        <f t="shared" si="10"/>
        <v>7200.403700382536</v>
      </c>
      <c r="F104" s="449">
        <f t="shared" si="11"/>
        <v>0.54864826507435915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679</v>
      </c>
      <c r="C105" s="465">
        <f>C32-C103</f>
        <v>779594.51257582707</v>
      </c>
      <c r="D105" s="465">
        <f>LN_IA16-LN_IC19</f>
        <v>106261.83255311774</v>
      </c>
      <c r="E105" s="465">
        <f t="shared" si="10"/>
        <v>-673332.6800227093</v>
      </c>
      <c r="F105" s="449">
        <f t="shared" si="11"/>
        <v>-0.86369602294656711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664</v>
      </c>
      <c r="C106" s="448">
        <f>C105*C102</f>
        <v>91875955.211691052</v>
      </c>
      <c r="D106" s="448">
        <f>LN_IC21*LN_IC18</f>
        <v>8024204.8024727227</v>
      </c>
      <c r="E106" s="448">
        <f t="shared" si="10"/>
        <v>-83851750.409218326</v>
      </c>
      <c r="F106" s="449">
        <f t="shared" si="11"/>
        <v>-0.91266262447030688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680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655</v>
      </c>
      <c r="C109" s="448">
        <f>C83+C98</f>
        <v>4594219</v>
      </c>
      <c r="D109" s="448">
        <f>LN_IC1+LN_IC14</f>
        <v>4374830</v>
      </c>
      <c r="E109" s="448">
        <f>D109-C109</f>
        <v>-219389</v>
      </c>
      <c r="F109" s="449">
        <f>IF(C109=0,0,E109/C109)</f>
        <v>-4.7753274277956712E-2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656</v>
      </c>
      <c r="C110" s="448">
        <f>C84+C99</f>
        <v>1403315</v>
      </c>
      <c r="D110" s="448">
        <f>LN_IC2+LN_IC15</f>
        <v>826408</v>
      </c>
      <c r="E110" s="448">
        <f>D110-C110</f>
        <v>-576907</v>
      </c>
      <c r="F110" s="449">
        <f>IF(C110=0,0,E110/C110)</f>
        <v>-0.41110299540730344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657</v>
      </c>
      <c r="C111" s="448">
        <f>C109-C110</f>
        <v>3190904</v>
      </c>
      <c r="D111" s="448">
        <f>LN_IC23-LN_IC24</f>
        <v>3548422</v>
      </c>
      <c r="E111" s="448">
        <f>D111-C111</f>
        <v>357518</v>
      </c>
      <c r="F111" s="449">
        <f>IF(C111=0,0,E111/C111)</f>
        <v>0.11204285682051231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666</v>
      </c>
      <c r="C113" s="448">
        <f>C92+C106</f>
        <v>111604231.63407075</v>
      </c>
      <c r="D113" s="448">
        <f>LN_IC10+LN_IC22</f>
        <v>10953641.35281755</v>
      </c>
      <c r="E113" s="448">
        <f>D113-C113</f>
        <v>-100650590.2812532</v>
      </c>
      <c r="F113" s="449">
        <f>IF(C113=0,0,E113/C113)</f>
        <v>-0.90185281335270084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681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682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639</v>
      </c>
      <c r="C118" s="448">
        <v>161533795</v>
      </c>
      <c r="D118" s="448">
        <v>181180463</v>
      </c>
      <c r="E118" s="448">
        <f t="shared" ref="E118:E130" si="12">D118-C118</f>
        <v>19646668</v>
      </c>
      <c r="F118" s="449">
        <f t="shared" ref="F118:F130" si="13">IF(C118=0,0,E118/C118)</f>
        <v>0.1216257440122669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640</v>
      </c>
      <c r="C119" s="448">
        <v>51921696</v>
      </c>
      <c r="D119" s="448">
        <v>52573260</v>
      </c>
      <c r="E119" s="448">
        <f t="shared" si="12"/>
        <v>651564</v>
      </c>
      <c r="F119" s="449">
        <f t="shared" si="13"/>
        <v>1.2548973746928451E-2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641</v>
      </c>
      <c r="C120" s="453">
        <f>IF(C118=0,0,C119/C118)</f>
        <v>0.32142930833761441</v>
      </c>
      <c r="D120" s="453">
        <f>IF(LN_ID1=0,0,LN_1D2/LN_ID1)</f>
        <v>0.29017069020294978</v>
      </c>
      <c r="E120" s="454">
        <f t="shared" si="12"/>
        <v>-3.1258618134664629E-2</v>
      </c>
      <c r="F120" s="449">
        <f t="shared" si="13"/>
        <v>-9.7248811243534863E-2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3392</v>
      </c>
      <c r="D121" s="456">
        <v>3357</v>
      </c>
      <c r="E121" s="456">
        <f t="shared" si="12"/>
        <v>-35</v>
      </c>
      <c r="F121" s="449">
        <f t="shared" si="13"/>
        <v>-1.0318396226415094E-2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642</v>
      </c>
      <c r="C122" s="459">
        <v>1.5658000000000001</v>
      </c>
      <c r="D122" s="459">
        <v>1.5775999999999999</v>
      </c>
      <c r="E122" s="460">
        <f t="shared" si="12"/>
        <v>1.1799999999999811E-2</v>
      </c>
      <c r="F122" s="449">
        <f t="shared" si="13"/>
        <v>7.5360837910332162E-3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643</v>
      </c>
      <c r="C123" s="463">
        <f>C121*C122</f>
        <v>5311.1936000000005</v>
      </c>
      <c r="D123" s="463">
        <f>LN_ID4*LN_ID5</f>
        <v>5296.0031999999992</v>
      </c>
      <c r="E123" s="463">
        <f t="shared" si="12"/>
        <v>-15.190400000001318</v>
      </c>
      <c r="F123" s="449">
        <f t="shared" si="13"/>
        <v>-2.8600727339333511E-3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644</v>
      </c>
      <c r="C124" s="465">
        <f>IF(C123=0,0,C119/C123)</f>
        <v>9775.8997148964772</v>
      </c>
      <c r="D124" s="465">
        <f>IF(LN_ID6=0,0,LN_1D2/LN_ID6)</f>
        <v>9926.969077360076</v>
      </c>
      <c r="E124" s="465">
        <f t="shared" si="12"/>
        <v>151.06936246359874</v>
      </c>
      <c r="F124" s="449">
        <f t="shared" si="13"/>
        <v>1.5453243882340552E-2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683</v>
      </c>
      <c r="C125" s="465">
        <f>C48-C124</f>
        <v>6666.9711268690298</v>
      </c>
      <c r="D125" s="465">
        <f>LN_IB7-LN_ID7</f>
        <v>9252.3946552589714</v>
      </c>
      <c r="E125" s="465">
        <f t="shared" si="12"/>
        <v>2585.4235283899416</v>
      </c>
      <c r="F125" s="449">
        <f t="shared" si="13"/>
        <v>0.38779581899946203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684</v>
      </c>
      <c r="C126" s="465">
        <f>C21-C124</f>
        <v>287023.49472280499</v>
      </c>
      <c r="D126" s="465">
        <f>LN_IA7-LN_ID7</f>
        <v>47584.230694654754</v>
      </c>
      <c r="E126" s="465">
        <f t="shared" si="12"/>
        <v>-239439.26402815024</v>
      </c>
      <c r="F126" s="449">
        <f t="shared" si="13"/>
        <v>-0.83421485847139598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661</v>
      </c>
      <c r="C127" s="479">
        <f>C126*C123</f>
        <v>1524437348.2213957</v>
      </c>
      <c r="D127" s="479">
        <f>LN_ID9*LN_ID6</f>
        <v>252006238.02842978</v>
      </c>
      <c r="E127" s="479">
        <f t="shared" si="12"/>
        <v>-1272431110.192966</v>
      </c>
      <c r="F127" s="449">
        <f t="shared" si="13"/>
        <v>-0.83468901603437318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24459</v>
      </c>
      <c r="D128" s="456">
        <v>24204</v>
      </c>
      <c r="E128" s="456">
        <f t="shared" si="12"/>
        <v>-255</v>
      </c>
      <c r="F128" s="449">
        <f t="shared" si="13"/>
        <v>-1.0425610204832576E-2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645</v>
      </c>
      <c r="C129" s="465">
        <f>IF(C128=0,0,C119/C128)</f>
        <v>2122.805347724764</v>
      </c>
      <c r="D129" s="465">
        <f>IF(LN_ID11=0,0,LN_1D2/LN_ID11)</f>
        <v>2172.0897372335153</v>
      </c>
      <c r="E129" s="465">
        <f t="shared" si="12"/>
        <v>49.284389508751246</v>
      </c>
      <c r="F129" s="449">
        <f t="shared" si="13"/>
        <v>2.3216631502070862E-2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646</v>
      </c>
      <c r="C130" s="466">
        <f>IF(C121=0,0,C128/C121)</f>
        <v>7.2107900943396226</v>
      </c>
      <c r="D130" s="466">
        <f>IF(LN_ID4=0,0,LN_ID11/LN_ID4)</f>
        <v>7.2100089365504916</v>
      </c>
      <c r="E130" s="466">
        <f t="shared" si="12"/>
        <v>-7.8115778913101508E-4</v>
      </c>
      <c r="F130" s="449">
        <f t="shared" si="13"/>
        <v>-1.083317887375773E-4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685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648</v>
      </c>
      <c r="C133" s="448">
        <v>105600114</v>
      </c>
      <c r="D133" s="448">
        <v>115542605</v>
      </c>
      <c r="E133" s="448">
        <f t="shared" ref="E133:E141" si="14">D133-C133</f>
        <v>9942491</v>
      </c>
      <c r="F133" s="449">
        <f t="shared" ref="F133:F141" si="15">IF(C133=0,0,E133/C133)</f>
        <v>9.4152275252278608E-2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649</v>
      </c>
      <c r="C134" s="448">
        <v>32424395</v>
      </c>
      <c r="D134" s="448">
        <v>24040484</v>
      </c>
      <c r="E134" s="448">
        <f t="shared" si="14"/>
        <v>-8383911</v>
      </c>
      <c r="F134" s="449">
        <f t="shared" si="15"/>
        <v>-0.25856800103749045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650</v>
      </c>
      <c r="C135" s="453">
        <f>IF(C133=0,0,C134/C133)</f>
        <v>0.30704886360255257</v>
      </c>
      <c r="D135" s="453">
        <f>IF(LN_ID14=0,0,LN_ID15/LN_ID14)</f>
        <v>0.20806596839321737</v>
      </c>
      <c r="E135" s="454">
        <f t="shared" si="14"/>
        <v>-9.8982895209335203E-2</v>
      </c>
      <c r="F135" s="449">
        <f t="shared" si="15"/>
        <v>-0.32236854436777773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651</v>
      </c>
      <c r="C136" s="453">
        <f>IF(C118=0,0,C133/C118)</f>
        <v>0.65373387655505777</v>
      </c>
      <c r="D136" s="453">
        <f>IF(LN_ID1=0,0,LN_ID14/LN_ID1)</f>
        <v>0.63772110462042475</v>
      </c>
      <c r="E136" s="454">
        <f t="shared" si="14"/>
        <v>-1.6012771934633019E-2</v>
      </c>
      <c r="F136" s="449">
        <f t="shared" si="15"/>
        <v>-2.4494327904520663E-2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652</v>
      </c>
      <c r="C137" s="463">
        <f>C136*C121</f>
        <v>2217.4653092747558</v>
      </c>
      <c r="D137" s="463">
        <f>LN_ID17*LN_ID4</f>
        <v>2140.829748210766</v>
      </c>
      <c r="E137" s="463">
        <f t="shared" si="14"/>
        <v>-76.635561063989826</v>
      </c>
      <c r="F137" s="449">
        <f t="shared" si="15"/>
        <v>-3.4559981950317072E-2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653</v>
      </c>
      <c r="C138" s="465">
        <f>IF(C137=0,0,C134/C137)</f>
        <v>14622.278357357809</v>
      </c>
      <c r="D138" s="465">
        <f>IF(LN_ID18=0,0,LN_ID15/LN_ID18)</f>
        <v>11229.516975879205</v>
      </c>
      <c r="E138" s="465">
        <f t="shared" si="14"/>
        <v>-3392.7613814786037</v>
      </c>
      <c r="F138" s="449">
        <f t="shared" si="15"/>
        <v>-0.23202686329462427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686</v>
      </c>
      <c r="C139" s="465">
        <f>C61-C138</f>
        <v>5893.2864184526516</v>
      </c>
      <c r="D139" s="465">
        <f>LN_IB18-LN_ID19</f>
        <v>15086.771178985202</v>
      </c>
      <c r="E139" s="465">
        <f t="shared" si="14"/>
        <v>9193.4847605325504</v>
      </c>
      <c r="F139" s="449">
        <f t="shared" si="15"/>
        <v>1.5599928643798044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687</v>
      </c>
      <c r="C140" s="465">
        <f>C32-C138</f>
        <v>772363.90130108886</v>
      </c>
      <c r="D140" s="465">
        <f>LN_IA16-LN_ID19</f>
        <v>101024.30233852957</v>
      </c>
      <c r="E140" s="465">
        <f t="shared" si="14"/>
        <v>-671339.59896255925</v>
      </c>
      <c r="F140" s="449">
        <f t="shared" si="15"/>
        <v>-0.86920116001233527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664</v>
      </c>
      <c r="C141" s="441">
        <f>C140*C137</f>
        <v>1712690157.271276</v>
      </c>
      <c r="D141" s="441">
        <f>LN_ID21*LN_ID18</f>
        <v>216275831.73856255</v>
      </c>
      <c r="E141" s="441">
        <f t="shared" si="14"/>
        <v>-1496414325.5327134</v>
      </c>
      <c r="F141" s="449">
        <f t="shared" si="15"/>
        <v>-0.87372156556143143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688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655</v>
      </c>
      <c r="C144" s="448">
        <f>C118+C133</f>
        <v>267133909</v>
      </c>
      <c r="D144" s="448">
        <f>LN_ID1+LN_ID14</f>
        <v>296723068</v>
      </c>
      <c r="E144" s="448">
        <f>D144-C144</f>
        <v>29589159</v>
      </c>
      <c r="F144" s="449">
        <f>IF(C144=0,0,E144/C144)</f>
        <v>0.11076526791662379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656</v>
      </c>
      <c r="C145" s="448">
        <f>C119+C134</f>
        <v>84346091</v>
      </c>
      <c r="D145" s="448">
        <f>LN_1D2+LN_ID15</f>
        <v>76613744</v>
      </c>
      <c r="E145" s="448">
        <f>D145-C145</f>
        <v>-7732347</v>
      </c>
      <c r="F145" s="449">
        <f>IF(C145=0,0,E145/C145)</f>
        <v>-9.1674040946367039E-2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657</v>
      </c>
      <c r="C146" s="448">
        <f>C144-C145</f>
        <v>182787818</v>
      </c>
      <c r="D146" s="448">
        <f>LN_ID23-LN_ID24</f>
        <v>220109324</v>
      </c>
      <c r="E146" s="448">
        <f>D146-C146</f>
        <v>37321506</v>
      </c>
      <c r="F146" s="449">
        <f>IF(C146=0,0,E146/C146)</f>
        <v>0.20417939449334638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666</v>
      </c>
      <c r="C148" s="448">
        <f>C127+C141</f>
        <v>3237127505.492672</v>
      </c>
      <c r="D148" s="448">
        <f>LN_ID10+LN_ID22</f>
        <v>468282069.76699233</v>
      </c>
      <c r="E148" s="448">
        <f>D148-C148</f>
        <v>-2768845435.7256794</v>
      </c>
      <c r="F148" s="503">
        <f>IF(C148=0,0,E148/C148)</f>
        <v>-0.85534024564295841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689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690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639</v>
      </c>
      <c r="C153" s="448">
        <v>0</v>
      </c>
      <c r="D153" s="448">
        <v>0</v>
      </c>
      <c r="E153" s="448">
        <f t="shared" ref="E153:E165" si="16">D153-C153</f>
        <v>0</v>
      </c>
      <c r="F153" s="449">
        <f t="shared" ref="F153:F165" si="17">IF(C153=0,0,E153/C153)</f>
        <v>0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640</v>
      </c>
      <c r="C154" s="448">
        <v>0</v>
      </c>
      <c r="D154" s="448">
        <v>0</v>
      </c>
      <c r="E154" s="448">
        <f t="shared" si="16"/>
        <v>0</v>
      </c>
      <c r="F154" s="449">
        <f t="shared" si="17"/>
        <v>0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641</v>
      </c>
      <c r="C155" s="453">
        <f>IF(C153=0,0,C154/C153)</f>
        <v>0</v>
      </c>
      <c r="D155" s="453">
        <f>IF(LN_IE1=0,0,LN_IE2/LN_IE1)</f>
        <v>0</v>
      </c>
      <c r="E155" s="454">
        <f t="shared" si="16"/>
        <v>0</v>
      </c>
      <c r="F155" s="449">
        <f t="shared" si="17"/>
        <v>0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0</v>
      </c>
      <c r="D156" s="506">
        <v>0</v>
      </c>
      <c r="E156" s="506">
        <f t="shared" si="16"/>
        <v>0</v>
      </c>
      <c r="F156" s="449">
        <f t="shared" si="17"/>
        <v>0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642</v>
      </c>
      <c r="C157" s="459">
        <v>0</v>
      </c>
      <c r="D157" s="459">
        <v>0</v>
      </c>
      <c r="E157" s="460">
        <f t="shared" si="16"/>
        <v>0</v>
      </c>
      <c r="F157" s="449">
        <f t="shared" si="17"/>
        <v>0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643</v>
      </c>
      <c r="C158" s="463">
        <f>C156*C157</f>
        <v>0</v>
      </c>
      <c r="D158" s="463">
        <f>LN_IE4*LN_IE5</f>
        <v>0</v>
      </c>
      <c r="E158" s="463">
        <f t="shared" si="16"/>
        <v>0</v>
      </c>
      <c r="F158" s="449">
        <f t="shared" si="17"/>
        <v>0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644</v>
      </c>
      <c r="C159" s="465">
        <f>IF(C158=0,0,C154/C158)</f>
        <v>0</v>
      </c>
      <c r="D159" s="465">
        <f>IF(LN_IE6=0,0,LN_IE2/LN_IE6)</f>
        <v>0</v>
      </c>
      <c r="E159" s="465">
        <f t="shared" si="16"/>
        <v>0</v>
      </c>
      <c r="F159" s="449">
        <f t="shared" si="17"/>
        <v>0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691</v>
      </c>
      <c r="C160" s="465">
        <f>C48-C159</f>
        <v>16442.870841765507</v>
      </c>
      <c r="D160" s="465">
        <f>LN_IB7-LN_IE7</f>
        <v>19179.363732619047</v>
      </c>
      <c r="E160" s="465">
        <f t="shared" si="16"/>
        <v>2736.4928908535403</v>
      </c>
      <c r="F160" s="449">
        <f t="shared" si="17"/>
        <v>0.16642427695185358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692</v>
      </c>
      <c r="C161" s="465">
        <f>C21-C159</f>
        <v>296799.39443770144</v>
      </c>
      <c r="D161" s="465">
        <f>LN_IA7-LN_IE7</f>
        <v>57511.199772014828</v>
      </c>
      <c r="E161" s="465">
        <f t="shared" si="16"/>
        <v>-239288.19466568661</v>
      </c>
      <c r="F161" s="449">
        <f t="shared" si="17"/>
        <v>-0.80622871592790091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661</v>
      </c>
      <c r="C162" s="479">
        <f>C161*C158</f>
        <v>0</v>
      </c>
      <c r="D162" s="479">
        <f>LN_IE9*LN_IE6</f>
        <v>0</v>
      </c>
      <c r="E162" s="479">
        <f t="shared" si="16"/>
        <v>0</v>
      </c>
      <c r="F162" s="449">
        <f t="shared" si="17"/>
        <v>0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0</v>
      </c>
      <c r="D163" s="456">
        <v>0</v>
      </c>
      <c r="E163" s="506">
        <f t="shared" si="16"/>
        <v>0</v>
      </c>
      <c r="F163" s="449">
        <f t="shared" si="17"/>
        <v>0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645</v>
      </c>
      <c r="C164" s="465">
        <f>IF(C163=0,0,C154/C163)</f>
        <v>0</v>
      </c>
      <c r="D164" s="465">
        <f>IF(LN_IE11=0,0,LN_IE2/LN_IE11)</f>
        <v>0</v>
      </c>
      <c r="E164" s="465">
        <f t="shared" si="16"/>
        <v>0</v>
      </c>
      <c r="F164" s="449">
        <f t="shared" si="17"/>
        <v>0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646</v>
      </c>
      <c r="C165" s="466">
        <f>IF(C156=0,0,C163/C156)</f>
        <v>0</v>
      </c>
      <c r="D165" s="466">
        <f>IF(LN_IE4=0,0,LN_IE11/LN_IE4)</f>
        <v>0</v>
      </c>
      <c r="E165" s="466">
        <f t="shared" si="16"/>
        <v>0</v>
      </c>
      <c r="F165" s="449">
        <f t="shared" si="17"/>
        <v>0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693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648</v>
      </c>
      <c r="C168" s="511">
        <v>0</v>
      </c>
      <c r="D168" s="511">
        <v>0</v>
      </c>
      <c r="E168" s="511">
        <f t="shared" ref="E168:E176" si="18">D168-C168</f>
        <v>0</v>
      </c>
      <c r="F168" s="449">
        <f t="shared" ref="F168:F176" si="19">IF(C168=0,0,E168/C168)</f>
        <v>0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649</v>
      </c>
      <c r="C169" s="511">
        <v>0</v>
      </c>
      <c r="D169" s="511">
        <v>0</v>
      </c>
      <c r="E169" s="511">
        <f t="shared" si="18"/>
        <v>0</v>
      </c>
      <c r="F169" s="449">
        <f t="shared" si="19"/>
        <v>0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650</v>
      </c>
      <c r="C170" s="453">
        <f>IF(C168=0,0,C169/C168)</f>
        <v>0</v>
      </c>
      <c r="D170" s="453">
        <f>IF(LN_IE14=0,0,LN_IE15/LN_IE14)</f>
        <v>0</v>
      </c>
      <c r="E170" s="454">
        <f t="shared" si="18"/>
        <v>0</v>
      </c>
      <c r="F170" s="449">
        <f t="shared" si="19"/>
        <v>0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651</v>
      </c>
      <c r="C171" s="453">
        <f>IF(C153=0,0,C168/C153)</f>
        <v>0</v>
      </c>
      <c r="D171" s="453">
        <f>IF(LN_IE1=0,0,LN_IE14/LN_IE1)</f>
        <v>0</v>
      </c>
      <c r="E171" s="454">
        <f t="shared" si="18"/>
        <v>0</v>
      </c>
      <c r="F171" s="449">
        <f t="shared" si="19"/>
        <v>0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652</v>
      </c>
      <c r="C172" s="463">
        <f>C171*C156</f>
        <v>0</v>
      </c>
      <c r="D172" s="463">
        <f>LN_IE17*LN_IE4</f>
        <v>0</v>
      </c>
      <c r="E172" s="463">
        <f t="shared" si="18"/>
        <v>0</v>
      </c>
      <c r="F172" s="449">
        <f t="shared" si="19"/>
        <v>0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653</v>
      </c>
      <c r="C173" s="465">
        <f>IF(C172=0,0,C169/C172)</f>
        <v>0</v>
      </c>
      <c r="D173" s="465">
        <f>IF(LN_IE18=0,0,LN_IE15/LN_IE18)</f>
        <v>0</v>
      </c>
      <c r="E173" s="465">
        <f t="shared" si="18"/>
        <v>0</v>
      </c>
      <c r="F173" s="449">
        <f t="shared" si="19"/>
        <v>0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694</v>
      </c>
      <c r="C174" s="465">
        <f>C61-C173</f>
        <v>20515.564775810461</v>
      </c>
      <c r="D174" s="465">
        <f>LN_IB18-LN_IE19</f>
        <v>26316.288154864407</v>
      </c>
      <c r="E174" s="465">
        <f t="shared" si="18"/>
        <v>5800.7233790539467</v>
      </c>
      <c r="F174" s="449">
        <f t="shared" si="19"/>
        <v>0.28274743797906443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695</v>
      </c>
      <c r="C175" s="465">
        <f>C32-C173</f>
        <v>786986.17965844669</v>
      </c>
      <c r="D175" s="465">
        <f>LN_IA16-LN_IE19</f>
        <v>112253.81931440877</v>
      </c>
      <c r="E175" s="465">
        <f t="shared" si="18"/>
        <v>-674732.36034403788</v>
      </c>
      <c r="F175" s="449">
        <f t="shared" si="19"/>
        <v>-0.85736240074364822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664</v>
      </c>
      <c r="C176" s="441">
        <f>C175*C172</f>
        <v>0</v>
      </c>
      <c r="D176" s="441">
        <f>LN_IE21*LN_IE18</f>
        <v>0</v>
      </c>
      <c r="E176" s="441">
        <f t="shared" si="18"/>
        <v>0</v>
      </c>
      <c r="F176" s="449">
        <f t="shared" si="19"/>
        <v>0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696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655</v>
      </c>
      <c r="C179" s="448">
        <f>C153+C168</f>
        <v>0</v>
      </c>
      <c r="D179" s="448">
        <f>LN_IE1+LN_IE14</f>
        <v>0</v>
      </c>
      <c r="E179" s="448">
        <f>D179-C179</f>
        <v>0</v>
      </c>
      <c r="F179" s="449">
        <f>IF(C179=0,0,E179/C179)</f>
        <v>0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656</v>
      </c>
      <c r="C180" s="448">
        <f>C154+C169</f>
        <v>0</v>
      </c>
      <c r="D180" s="448">
        <f>LN_IE15+LN_IE2</f>
        <v>0</v>
      </c>
      <c r="E180" s="448">
        <f>D180-C180</f>
        <v>0</v>
      </c>
      <c r="F180" s="449">
        <f>IF(C180=0,0,E180/C180)</f>
        <v>0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657</v>
      </c>
      <c r="C181" s="448">
        <f>C179-C180</f>
        <v>0</v>
      </c>
      <c r="D181" s="448">
        <f>LN_IE23-LN_IE24</f>
        <v>0</v>
      </c>
      <c r="E181" s="448">
        <f>D181-C181</f>
        <v>0</v>
      </c>
      <c r="F181" s="449">
        <f>IF(C181=0,0,E181/C181)</f>
        <v>0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697</v>
      </c>
      <c r="C183" s="448">
        <f>C162+C176</f>
        <v>0</v>
      </c>
      <c r="D183" s="448">
        <f>LN_IE10+LN_IE22</f>
        <v>0</v>
      </c>
      <c r="E183" s="441">
        <f>D183-C183</f>
        <v>0</v>
      </c>
      <c r="F183" s="449">
        <f>IF(C183=0,0,E183/C183)</f>
        <v>0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698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699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639</v>
      </c>
      <c r="C188" s="448">
        <f>C118+C153</f>
        <v>161533795</v>
      </c>
      <c r="D188" s="448">
        <f>LN_ID1+LN_IE1</f>
        <v>181180463</v>
      </c>
      <c r="E188" s="448">
        <f t="shared" ref="E188:E200" si="20">D188-C188</f>
        <v>19646668</v>
      </c>
      <c r="F188" s="449">
        <f t="shared" ref="F188:F200" si="21">IF(C188=0,0,E188/C188)</f>
        <v>0.1216257440122669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640</v>
      </c>
      <c r="C189" s="448">
        <f>C119+C154</f>
        <v>51921696</v>
      </c>
      <c r="D189" s="448">
        <f>LN_1D2+LN_IE2</f>
        <v>52573260</v>
      </c>
      <c r="E189" s="448">
        <f t="shared" si="20"/>
        <v>651564</v>
      </c>
      <c r="F189" s="449">
        <f t="shared" si="21"/>
        <v>1.2548973746928451E-2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641</v>
      </c>
      <c r="C190" s="453">
        <f>IF(C188=0,0,C189/C188)</f>
        <v>0.32142930833761441</v>
      </c>
      <c r="D190" s="453">
        <f>IF(LN_IF1=0,0,LN_IF2/LN_IF1)</f>
        <v>0.29017069020294978</v>
      </c>
      <c r="E190" s="454">
        <f t="shared" si="20"/>
        <v>-3.1258618134664629E-2</v>
      </c>
      <c r="F190" s="449">
        <f t="shared" si="21"/>
        <v>-9.7248811243534863E-2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3392</v>
      </c>
      <c r="D191" s="456">
        <f>LN_ID4+LN_IE4</f>
        <v>3357</v>
      </c>
      <c r="E191" s="456">
        <f t="shared" si="20"/>
        <v>-35</v>
      </c>
      <c r="F191" s="449">
        <f t="shared" si="21"/>
        <v>-1.0318396226415094E-2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642</v>
      </c>
      <c r="C192" s="459">
        <f>IF((C121+C156)=0,0,(C123+C158)/(C121+C156))</f>
        <v>1.5658000000000001</v>
      </c>
      <c r="D192" s="459">
        <f>IF((LN_ID4+LN_IE4)=0,0,(LN_ID6+LN_IE6)/(LN_ID4+LN_IE4))</f>
        <v>1.5775999999999997</v>
      </c>
      <c r="E192" s="460">
        <f t="shared" si="20"/>
        <v>1.1799999999999589E-2</v>
      </c>
      <c r="F192" s="449">
        <f t="shared" si="21"/>
        <v>7.5360837910330748E-3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643</v>
      </c>
      <c r="C193" s="463">
        <f>C123+C158</f>
        <v>5311.1936000000005</v>
      </c>
      <c r="D193" s="463">
        <f>LN_IF4*LN_IF5</f>
        <v>5296.0031999999992</v>
      </c>
      <c r="E193" s="463">
        <f t="shared" si="20"/>
        <v>-15.190400000001318</v>
      </c>
      <c r="F193" s="449">
        <f t="shared" si="21"/>
        <v>-2.8600727339333511E-3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644</v>
      </c>
      <c r="C194" s="465">
        <f>IF(C193=0,0,C189/C193)</f>
        <v>9775.8997148964772</v>
      </c>
      <c r="D194" s="465">
        <f>IF(LN_IF6=0,0,LN_IF2/LN_IF6)</f>
        <v>9926.969077360076</v>
      </c>
      <c r="E194" s="465">
        <f t="shared" si="20"/>
        <v>151.06936246359874</v>
      </c>
      <c r="F194" s="449">
        <f t="shared" si="21"/>
        <v>1.5453243882340552E-2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700</v>
      </c>
      <c r="C195" s="465">
        <f>C48-C194</f>
        <v>6666.9711268690298</v>
      </c>
      <c r="D195" s="465">
        <f>LN_IB7-LN_IF7</f>
        <v>9252.3946552589714</v>
      </c>
      <c r="E195" s="465">
        <f t="shared" si="20"/>
        <v>2585.4235283899416</v>
      </c>
      <c r="F195" s="449">
        <f t="shared" si="21"/>
        <v>0.38779581899946203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701</v>
      </c>
      <c r="C196" s="465">
        <f>C21-C194</f>
        <v>287023.49472280499</v>
      </c>
      <c r="D196" s="465">
        <f>LN_IA7-LN_IF7</f>
        <v>47584.230694654754</v>
      </c>
      <c r="E196" s="465">
        <f t="shared" si="20"/>
        <v>-239439.26402815024</v>
      </c>
      <c r="F196" s="449">
        <f t="shared" si="21"/>
        <v>-0.83421485847139598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661</v>
      </c>
      <c r="C197" s="479">
        <f>C127+C162</f>
        <v>1524437348.2213957</v>
      </c>
      <c r="D197" s="479">
        <f>LN_IF9*LN_IF6</f>
        <v>252006238.02842978</v>
      </c>
      <c r="E197" s="479">
        <f t="shared" si="20"/>
        <v>-1272431110.192966</v>
      </c>
      <c r="F197" s="449">
        <f t="shared" si="21"/>
        <v>-0.83468901603437318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24459</v>
      </c>
      <c r="D198" s="456">
        <f>LN_ID11+LN_IE11</f>
        <v>24204</v>
      </c>
      <c r="E198" s="456">
        <f t="shared" si="20"/>
        <v>-255</v>
      </c>
      <c r="F198" s="449">
        <f t="shared" si="21"/>
        <v>-1.0425610204832576E-2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645</v>
      </c>
      <c r="C199" s="519">
        <f>IF(C198=0,0,C189/C198)</f>
        <v>2122.805347724764</v>
      </c>
      <c r="D199" s="519">
        <f>IF(LN_IF11=0,0,LN_IF2/LN_IF11)</f>
        <v>2172.0897372335153</v>
      </c>
      <c r="E199" s="519">
        <f t="shared" si="20"/>
        <v>49.284389508751246</v>
      </c>
      <c r="F199" s="449">
        <f t="shared" si="21"/>
        <v>2.3216631502070862E-2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646</v>
      </c>
      <c r="C200" s="466">
        <f>IF(C191=0,0,C198/C191)</f>
        <v>7.2107900943396226</v>
      </c>
      <c r="D200" s="466">
        <f>IF(LN_IF4=0,0,LN_IF11/LN_IF4)</f>
        <v>7.2100089365504916</v>
      </c>
      <c r="E200" s="466">
        <f t="shared" si="20"/>
        <v>-7.8115778913101508E-4</v>
      </c>
      <c r="F200" s="449">
        <f t="shared" si="21"/>
        <v>-1.083317887375773E-4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702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648</v>
      </c>
      <c r="C203" s="448">
        <f>C133+C168</f>
        <v>105600114</v>
      </c>
      <c r="D203" s="448">
        <f>LN_ID14+LN_IE14</f>
        <v>115542605</v>
      </c>
      <c r="E203" s="448">
        <f t="shared" ref="E203:E211" si="22">D203-C203</f>
        <v>9942491</v>
      </c>
      <c r="F203" s="449">
        <f t="shared" ref="F203:F211" si="23">IF(C203=0,0,E203/C203)</f>
        <v>9.4152275252278608E-2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649</v>
      </c>
      <c r="C204" s="448">
        <f>C134+C169</f>
        <v>32424395</v>
      </c>
      <c r="D204" s="448">
        <f>LN_ID15+LN_IE15</f>
        <v>24040484</v>
      </c>
      <c r="E204" s="448">
        <f t="shared" si="22"/>
        <v>-8383911</v>
      </c>
      <c r="F204" s="449">
        <f t="shared" si="23"/>
        <v>-0.25856800103749045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650</v>
      </c>
      <c r="C205" s="453">
        <f>IF(C203=0,0,C204/C203)</f>
        <v>0.30704886360255257</v>
      </c>
      <c r="D205" s="453">
        <f>IF(LN_IF14=0,0,LN_IF15/LN_IF14)</f>
        <v>0.20806596839321737</v>
      </c>
      <c r="E205" s="454">
        <f t="shared" si="22"/>
        <v>-9.8982895209335203E-2</v>
      </c>
      <c r="F205" s="449">
        <f t="shared" si="23"/>
        <v>-0.32236854436777773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651</v>
      </c>
      <c r="C206" s="453">
        <f>IF(C188=0,0,C203/C188)</f>
        <v>0.65373387655505777</v>
      </c>
      <c r="D206" s="453">
        <f>IF(LN_IF1=0,0,LN_IF14/LN_IF1)</f>
        <v>0.63772110462042475</v>
      </c>
      <c r="E206" s="454">
        <f t="shared" si="22"/>
        <v>-1.6012771934633019E-2</v>
      </c>
      <c r="F206" s="449">
        <f t="shared" si="23"/>
        <v>-2.4494327904520663E-2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652</v>
      </c>
      <c r="C207" s="463">
        <f>C137+C172</f>
        <v>2217.4653092747558</v>
      </c>
      <c r="D207" s="463">
        <f>LN_ID18+LN_IE18</f>
        <v>2140.829748210766</v>
      </c>
      <c r="E207" s="463">
        <f t="shared" si="22"/>
        <v>-76.635561063989826</v>
      </c>
      <c r="F207" s="449">
        <f t="shared" si="23"/>
        <v>-3.4559981950317072E-2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653</v>
      </c>
      <c r="C208" s="465">
        <f>IF(C207=0,0,C204/C207)</f>
        <v>14622.278357357809</v>
      </c>
      <c r="D208" s="465">
        <f>IF(LN_IF18=0,0,LN_IF15/LN_IF18)</f>
        <v>11229.516975879205</v>
      </c>
      <c r="E208" s="465">
        <f t="shared" si="22"/>
        <v>-3392.7613814786037</v>
      </c>
      <c r="F208" s="449">
        <f t="shared" si="23"/>
        <v>-0.23202686329462427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703</v>
      </c>
      <c r="C209" s="465">
        <f>C61-C208</f>
        <v>5893.2864184526516</v>
      </c>
      <c r="D209" s="465">
        <f>LN_IB18-LN_IF19</f>
        <v>15086.771178985202</v>
      </c>
      <c r="E209" s="465">
        <f t="shared" si="22"/>
        <v>9193.4847605325504</v>
      </c>
      <c r="F209" s="449">
        <f t="shared" si="23"/>
        <v>1.5599928643798044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704</v>
      </c>
      <c r="C210" s="465">
        <f>C32-C208</f>
        <v>772363.90130108886</v>
      </c>
      <c r="D210" s="465">
        <f>LN_IA16-LN_IF19</f>
        <v>101024.30233852957</v>
      </c>
      <c r="E210" s="465">
        <f t="shared" si="22"/>
        <v>-671339.59896255925</v>
      </c>
      <c r="F210" s="449">
        <f t="shared" si="23"/>
        <v>-0.86920116001233527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664</v>
      </c>
      <c r="C211" s="479">
        <f>C141+C176</f>
        <v>1712690157.271276</v>
      </c>
      <c r="D211" s="441">
        <f>LN_IF21*LN_IF18</f>
        <v>216275831.73856255</v>
      </c>
      <c r="E211" s="441">
        <f t="shared" si="22"/>
        <v>-1496414325.5327134</v>
      </c>
      <c r="F211" s="449">
        <f t="shared" si="23"/>
        <v>-0.87372156556143143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705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655</v>
      </c>
      <c r="C214" s="448">
        <f>C188+C203</f>
        <v>267133909</v>
      </c>
      <c r="D214" s="448">
        <f>LN_IF1+LN_IF14</f>
        <v>296723068</v>
      </c>
      <c r="E214" s="448">
        <f>D214-C214</f>
        <v>29589159</v>
      </c>
      <c r="F214" s="449">
        <f>IF(C214=0,0,E214/C214)</f>
        <v>0.11076526791662379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656</v>
      </c>
      <c r="C215" s="448">
        <f>C189+C204</f>
        <v>84346091</v>
      </c>
      <c r="D215" s="448">
        <f>LN_IF2+LN_IF15</f>
        <v>76613744</v>
      </c>
      <c r="E215" s="448">
        <f>D215-C215</f>
        <v>-7732347</v>
      </c>
      <c r="F215" s="449">
        <f>IF(C215=0,0,E215/C215)</f>
        <v>-9.1674040946367039E-2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657</v>
      </c>
      <c r="C216" s="448">
        <f>C214-C215</f>
        <v>182787818</v>
      </c>
      <c r="D216" s="448">
        <f>LN_IF23-LN_IF24</f>
        <v>220109324</v>
      </c>
      <c r="E216" s="448">
        <f>D216-C216</f>
        <v>37321506</v>
      </c>
      <c r="F216" s="449">
        <f>IF(C216=0,0,E216/C216)</f>
        <v>0.20417939449334638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706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707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639</v>
      </c>
      <c r="C221" s="448">
        <v>3756316</v>
      </c>
      <c r="D221" s="448">
        <v>4138152</v>
      </c>
      <c r="E221" s="448">
        <f t="shared" ref="E221:E230" si="24">D221-C221</f>
        <v>381836</v>
      </c>
      <c r="F221" s="449">
        <f t="shared" ref="F221:F230" si="25">IF(C221=0,0,E221/C221)</f>
        <v>0.10165172472177528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640</v>
      </c>
      <c r="C222" s="448">
        <v>1608353</v>
      </c>
      <c r="D222" s="448">
        <v>1721748</v>
      </c>
      <c r="E222" s="448">
        <f t="shared" si="24"/>
        <v>113395</v>
      </c>
      <c r="F222" s="449">
        <f t="shared" si="25"/>
        <v>7.0503801093416682E-2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641</v>
      </c>
      <c r="C223" s="453">
        <f>IF(C221=0,0,C222/C221)</f>
        <v>0.42817297586252062</v>
      </c>
      <c r="D223" s="453">
        <f>IF(LN_IG1=0,0,LN_IG2/LN_IG1)</f>
        <v>0.41606688202849967</v>
      </c>
      <c r="E223" s="454">
        <f t="shared" si="24"/>
        <v>-1.2106093834020948E-2</v>
      </c>
      <c r="F223" s="449">
        <f t="shared" si="25"/>
        <v>-2.8273839117553316E-2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53</v>
      </c>
      <c r="D224" s="456">
        <v>70</v>
      </c>
      <c r="E224" s="456">
        <f t="shared" si="24"/>
        <v>17</v>
      </c>
      <c r="F224" s="449">
        <f t="shared" si="25"/>
        <v>0.32075471698113206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642</v>
      </c>
      <c r="C225" s="459">
        <v>1.8080000000000001</v>
      </c>
      <c r="D225" s="459">
        <v>1.4213</v>
      </c>
      <c r="E225" s="460">
        <f t="shared" si="24"/>
        <v>-0.38670000000000004</v>
      </c>
      <c r="F225" s="449">
        <f t="shared" si="25"/>
        <v>-0.21388274336283189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643</v>
      </c>
      <c r="C226" s="463">
        <f>C224*C225</f>
        <v>95.823999999999998</v>
      </c>
      <c r="D226" s="463">
        <f>LN_IG3*LN_IG4</f>
        <v>99.491</v>
      </c>
      <c r="E226" s="463">
        <f t="shared" si="24"/>
        <v>3.6670000000000016</v>
      </c>
      <c r="F226" s="449">
        <f t="shared" si="25"/>
        <v>3.8268074803806999E-2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644</v>
      </c>
      <c r="C227" s="465">
        <f>IF(C226=0,0,C222/C226)</f>
        <v>16784.448572382702</v>
      </c>
      <c r="D227" s="465">
        <f>IF(LN_IG5=0,0,LN_IG2/LN_IG5)</f>
        <v>17305.565327517063</v>
      </c>
      <c r="E227" s="465">
        <f t="shared" si="24"/>
        <v>521.11675513436057</v>
      </c>
      <c r="F227" s="449">
        <f t="shared" si="25"/>
        <v>3.1047594616352855E-2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476</v>
      </c>
      <c r="D228" s="456">
        <v>597</v>
      </c>
      <c r="E228" s="456">
        <f t="shared" si="24"/>
        <v>121</v>
      </c>
      <c r="F228" s="449">
        <f t="shared" si="25"/>
        <v>0.25420168067226889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645</v>
      </c>
      <c r="C229" s="465">
        <f>IF(C228=0,0,C222/C228)</f>
        <v>3378.8928571428573</v>
      </c>
      <c r="D229" s="465">
        <f>IF(LN_IG6=0,0,LN_IG2/LN_IG6)</f>
        <v>2884</v>
      </c>
      <c r="E229" s="465">
        <f t="shared" si="24"/>
        <v>-494.89285714285734</v>
      </c>
      <c r="F229" s="449">
        <f t="shared" si="25"/>
        <v>-0.14646598103774489</v>
      </c>
      <c r="Q229" s="421"/>
      <c r="U229" s="462"/>
    </row>
    <row r="230" spans="1:21" ht="15.75" customHeight="1" x14ac:dyDescent="0.2">
      <c r="A230" s="451">
        <v>10</v>
      </c>
      <c r="B230" s="447" t="s">
        <v>646</v>
      </c>
      <c r="C230" s="466">
        <f>IF(C224=0,0,C228/C224)</f>
        <v>8.9811320754716988</v>
      </c>
      <c r="D230" s="466">
        <f>IF(LN_IG3=0,0,LN_IG6/LN_IG3)</f>
        <v>8.5285714285714285</v>
      </c>
      <c r="E230" s="466">
        <f t="shared" si="24"/>
        <v>-0.45256064690027031</v>
      </c>
      <c r="F230" s="449">
        <f t="shared" si="25"/>
        <v>-5.039015606242505E-2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708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648</v>
      </c>
      <c r="C233" s="448">
        <v>1279360</v>
      </c>
      <c r="D233" s="448">
        <v>1309026</v>
      </c>
      <c r="E233" s="448">
        <f>D233-C233</f>
        <v>29666</v>
      </c>
      <c r="F233" s="449">
        <f>IF(C233=0,0,E233/C233)</f>
        <v>2.3188156578289144E-2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649</v>
      </c>
      <c r="C234" s="448">
        <v>657602</v>
      </c>
      <c r="D234" s="448">
        <v>863957</v>
      </c>
      <c r="E234" s="448">
        <f>D234-C234</f>
        <v>206355</v>
      </c>
      <c r="F234" s="449">
        <f>IF(C234=0,0,E234/C234)</f>
        <v>0.31379922810453742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709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655</v>
      </c>
      <c r="C237" s="448">
        <f>C221+C233</f>
        <v>5035676</v>
      </c>
      <c r="D237" s="448">
        <f>LN_IG1+LN_IG9</f>
        <v>5447178</v>
      </c>
      <c r="E237" s="448">
        <f>D237-C237</f>
        <v>411502</v>
      </c>
      <c r="F237" s="449">
        <f>IF(C237=0,0,E237/C237)</f>
        <v>8.1717330503392194E-2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656</v>
      </c>
      <c r="C238" s="448">
        <f>C222+C234</f>
        <v>2265955</v>
      </c>
      <c r="D238" s="448">
        <f>LN_IG2+LN_IG10</f>
        <v>2585705</v>
      </c>
      <c r="E238" s="448">
        <f>D238-C238</f>
        <v>319750</v>
      </c>
      <c r="F238" s="449">
        <f>IF(C238=0,0,E238/C238)</f>
        <v>0.14111048101131751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657</v>
      </c>
      <c r="C239" s="448">
        <f>C237-C238</f>
        <v>2769721</v>
      </c>
      <c r="D239" s="448">
        <f>LN_IG13-LN_IG14</f>
        <v>2861473</v>
      </c>
      <c r="E239" s="448">
        <f>D239-C239</f>
        <v>91752</v>
      </c>
      <c r="F239" s="449">
        <f>IF(C239=0,0,E239/C239)</f>
        <v>3.3126802302470178E-2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710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711</v>
      </c>
      <c r="C243" s="448">
        <v>29826230</v>
      </c>
      <c r="D243" s="448">
        <v>28586425</v>
      </c>
      <c r="E243" s="441">
        <f>D243-C243</f>
        <v>-1239805</v>
      </c>
      <c r="F243" s="503">
        <f>IF(C243=0,0,E243/C243)</f>
        <v>-4.1567606767600199E-2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712</v>
      </c>
      <c r="C244" s="448">
        <v>251662045</v>
      </c>
      <c r="D244" s="448">
        <v>267793841</v>
      </c>
      <c r="E244" s="441">
        <f>D244-C244</f>
        <v>16131796</v>
      </c>
      <c r="F244" s="503">
        <f>IF(C244=0,0,E244/C244)</f>
        <v>6.4101028822204795E-2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713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714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715</v>
      </c>
      <c r="C248" s="441">
        <v>710025</v>
      </c>
      <c r="D248" s="441">
        <v>1431441</v>
      </c>
      <c r="E248" s="441">
        <f>D248-C248</f>
        <v>721416</v>
      </c>
      <c r="F248" s="449">
        <f>IF(C248=0,0,E248/C248)</f>
        <v>1.0160430970740466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716</v>
      </c>
      <c r="C249" s="441">
        <v>4548779</v>
      </c>
      <c r="D249" s="441">
        <v>4545394</v>
      </c>
      <c r="E249" s="441">
        <f>D249-C249</f>
        <v>-3385</v>
      </c>
      <c r="F249" s="449">
        <f>IF(C249=0,0,E249/C249)</f>
        <v>-7.4415573937533562E-4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717</v>
      </c>
      <c r="C250" s="441">
        <f>C248+C249</f>
        <v>5258804</v>
      </c>
      <c r="D250" s="441">
        <f>LN_IH4+LN_IH5</f>
        <v>5976835</v>
      </c>
      <c r="E250" s="441">
        <f>D250-C250</f>
        <v>718031</v>
      </c>
      <c r="F250" s="449">
        <f>IF(C250=0,0,E250/C250)</f>
        <v>0.13653884039032449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718</v>
      </c>
      <c r="C251" s="441">
        <f>C250*C313</f>
        <v>2255009.416232497</v>
      </c>
      <c r="D251" s="441">
        <f>LN_IH6*LN_III10</f>
        <v>2400375.7507844125</v>
      </c>
      <c r="E251" s="441">
        <f>D251-C251</f>
        <v>145366.33455191553</v>
      </c>
      <c r="F251" s="449">
        <f>IF(C251=0,0,E251/C251)</f>
        <v>6.4463737271120952E-2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719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655</v>
      </c>
      <c r="C254" s="441">
        <f>C188+C203</f>
        <v>267133909</v>
      </c>
      <c r="D254" s="441">
        <f>LN_IF23</f>
        <v>296723068</v>
      </c>
      <c r="E254" s="441">
        <f>D254-C254</f>
        <v>29589159</v>
      </c>
      <c r="F254" s="449">
        <f>IF(C254=0,0,E254/C254)</f>
        <v>0.11076526791662379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656</v>
      </c>
      <c r="C255" s="441">
        <f>C189+C204</f>
        <v>84346091</v>
      </c>
      <c r="D255" s="441">
        <f>LN_IF24</f>
        <v>76613744</v>
      </c>
      <c r="E255" s="441">
        <f>D255-C255</f>
        <v>-7732347</v>
      </c>
      <c r="F255" s="449">
        <f>IF(C255=0,0,E255/C255)</f>
        <v>-9.1674040946367039E-2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720</v>
      </c>
      <c r="C256" s="441">
        <f>C254*C313</f>
        <v>114548760.55277872</v>
      </c>
      <c r="D256" s="441">
        <f>LN_IH8*LN_III10</f>
        <v>119167896.90957744</v>
      </c>
      <c r="E256" s="441">
        <f>D256-C256</f>
        <v>4619136.3567987233</v>
      </c>
      <c r="F256" s="449">
        <f>IF(C256=0,0,E256/C256)</f>
        <v>4.0324629742898362E-2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721</v>
      </c>
      <c r="C257" s="441">
        <f>C256-C255</f>
        <v>30202669.552778721</v>
      </c>
      <c r="D257" s="441">
        <f>LN_IH10-LN_IH9</f>
        <v>42554152.909577444</v>
      </c>
      <c r="E257" s="441">
        <f>D257-C257</f>
        <v>12351483.356798723</v>
      </c>
      <c r="F257" s="449">
        <f>IF(C257=0,0,E257/C257)</f>
        <v>0.40895336537105398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722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723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298461735</v>
      </c>
      <c r="D261" s="448">
        <f>LN_IA1+LN_IB1+LN_IF1+LN_IG1</f>
        <v>346236656</v>
      </c>
      <c r="E261" s="448">
        <f t="shared" ref="E261:E274" si="26">D261-C261</f>
        <v>47774921</v>
      </c>
      <c r="F261" s="503">
        <f t="shared" ref="F261:F274" si="27">IF(C261=0,0,E261/C261)</f>
        <v>0.16007050619068472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137339232</v>
      </c>
      <c r="D262" s="448">
        <f>+LN_IA2+LN_IB2+LN_IF2+LN_IG2</f>
        <v>152046007</v>
      </c>
      <c r="E262" s="448">
        <f t="shared" si="26"/>
        <v>14706775</v>
      </c>
      <c r="F262" s="503">
        <f t="shared" si="27"/>
        <v>0.10708356808053215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724</v>
      </c>
      <c r="C263" s="453">
        <f>IF(C261=0,0,C262/C261)</f>
        <v>0.46015691760285454</v>
      </c>
      <c r="D263" s="453">
        <f>IF(LN_IIA1=0,0,LN_IIA2/LN_IIA1)</f>
        <v>0.43913896569056515</v>
      </c>
      <c r="E263" s="454">
        <f t="shared" si="26"/>
        <v>-2.101795191228939E-2</v>
      </c>
      <c r="F263" s="458">
        <f t="shared" si="27"/>
        <v>-4.5675618703681545E-2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6642</v>
      </c>
      <c r="D264" s="456">
        <f>LN_IA4+LN_IB4+LN_IF4+LN_IG3</f>
        <v>6422</v>
      </c>
      <c r="E264" s="456">
        <f t="shared" si="26"/>
        <v>-220</v>
      </c>
      <c r="F264" s="503">
        <f t="shared" si="27"/>
        <v>-3.3122553447756699E-2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725</v>
      </c>
      <c r="C265" s="525">
        <f>IF(C264=0,0,C266/C264)</f>
        <v>1.5617833333333333</v>
      </c>
      <c r="D265" s="525">
        <f>IF(LN_IIA4=0,0,LN_IIA6/LN_IIA4)</f>
        <v>1.6228650264715041</v>
      </c>
      <c r="E265" s="525">
        <f t="shared" si="26"/>
        <v>6.1081693138170801E-2</v>
      </c>
      <c r="F265" s="503">
        <f t="shared" si="27"/>
        <v>3.9110222163661709E-2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726</v>
      </c>
      <c r="C266" s="463">
        <f>C20+C47+C193+C226</f>
        <v>10373.3649</v>
      </c>
      <c r="D266" s="463">
        <f>LN_IA6+LN_IB6+LN_IF6+LN_IG5</f>
        <v>10422.039199999999</v>
      </c>
      <c r="E266" s="463">
        <f t="shared" si="26"/>
        <v>48.674299999998766</v>
      </c>
      <c r="F266" s="503">
        <f t="shared" si="27"/>
        <v>4.692238291935413E-3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208119766</v>
      </c>
      <c r="D267" s="448">
        <f>LN_IA11+LN_IB13+LN_IF14+LN_IG9</f>
        <v>228576783</v>
      </c>
      <c r="E267" s="448">
        <f t="shared" si="26"/>
        <v>20457017</v>
      </c>
      <c r="F267" s="503">
        <f t="shared" si="27"/>
        <v>9.8294445516530132E-2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651</v>
      </c>
      <c r="C268" s="453">
        <f>IF(C261=0,0,C267/C261)</f>
        <v>0.69730803514896134</v>
      </c>
      <c r="D268" s="453">
        <f>IF(LN_IIA1=0,0,LN_IIA7/LN_IIA1)</f>
        <v>0.66017499602930541</v>
      </c>
      <c r="E268" s="454">
        <f t="shared" si="26"/>
        <v>-3.7133039119655931E-2</v>
      </c>
      <c r="F268" s="458">
        <f t="shared" si="27"/>
        <v>-5.3251987999426167E-2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83664529</v>
      </c>
      <c r="D269" s="448">
        <f>LN_IA12+LN_IB14+LN_IF15+LN_IG10</f>
        <v>80167847</v>
      </c>
      <c r="E269" s="448">
        <f t="shared" si="26"/>
        <v>-3496682</v>
      </c>
      <c r="F269" s="503">
        <f t="shared" si="27"/>
        <v>-4.1794079782604167E-2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650</v>
      </c>
      <c r="C270" s="453">
        <f>IF(C267=0,0,C269/C267)</f>
        <v>0.40200184061325533</v>
      </c>
      <c r="D270" s="453">
        <f>IF(LN_IIA7=0,0,LN_IIA9/LN_IIA7)</f>
        <v>0.35072611464656056</v>
      </c>
      <c r="E270" s="454">
        <f t="shared" si="26"/>
        <v>-5.1275725966694774E-2</v>
      </c>
      <c r="F270" s="458">
        <f t="shared" si="27"/>
        <v>-0.12755097312110178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727</v>
      </c>
      <c r="C271" s="441">
        <f>C261+C267</f>
        <v>506581501</v>
      </c>
      <c r="D271" s="441">
        <f>LN_IIA1+LN_IIA7</f>
        <v>574813439</v>
      </c>
      <c r="E271" s="441">
        <f t="shared" si="26"/>
        <v>68231938</v>
      </c>
      <c r="F271" s="503">
        <f t="shared" si="27"/>
        <v>0.13469093890185302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728</v>
      </c>
      <c r="C272" s="441">
        <f>C262+C269</f>
        <v>221003761</v>
      </c>
      <c r="D272" s="441">
        <f>LN_IIA2+LN_IIA9</f>
        <v>232213854</v>
      </c>
      <c r="E272" s="441">
        <f t="shared" si="26"/>
        <v>11210093</v>
      </c>
      <c r="F272" s="503">
        <f t="shared" si="27"/>
        <v>5.0723539496687571E-2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729</v>
      </c>
      <c r="C273" s="453">
        <f>IF(C271=0,0,C272/C271)</f>
        <v>0.43626496538806692</v>
      </c>
      <c r="D273" s="453">
        <f>IF(LN_IIA11=0,0,LN_IIA12/LN_IIA11)</f>
        <v>0.40398125416827635</v>
      </c>
      <c r="E273" s="454">
        <f t="shared" si="26"/>
        <v>-3.2283711219790567E-2</v>
      </c>
      <c r="F273" s="458">
        <f t="shared" si="27"/>
        <v>-7.4000237885417916E-2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44449</v>
      </c>
      <c r="D274" s="508">
        <f>LN_IA8+LN_IB10+LN_IF11+LN_IG6</f>
        <v>46107</v>
      </c>
      <c r="E274" s="528">
        <f t="shared" si="26"/>
        <v>1658</v>
      </c>
      <c r="F274" s="458">
        <f t="shared" si="27"/>
        <v>3.7301176629395486E-2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730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731</v>
      </c>
      <c r="C277" s="448">
        <f>C15+C188+C221</f>
        <v>165676279</v>
      </c>
      <c r="D277" s="448">
        <f>LN_IA1+LN_IF1+LN_IG1</f>
        <v>186095071</v>
      </c>
      <c r="E277" s="448">
        <f t="shared" ref="E277:E291" si="28">D277-C277</f>
        <v>20418792</v>
      </c>
      <c r="F277" s="503">
        <f t="shared" ref="F277:F291" si="29">IF(C277=0,0,E277/C277)</f>
        <v>0.12324511464915264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732</v>
      </c>
      <c r="C278" s="448">
        <f>C16+C189+C222</f>
        <v>55804215</v>
      </c>
      <c r="D278" s="448">
        <f>LN_IA2+LN_IF2+LN_IG2</f>
        <v>56313076</v>
      </c>
      <c r="E278" s="448">
        <f t="shared" si="28"/>
        <v>508861</v>
      </c>
      <c r="F278" s="503">
        <f t="shared" si="29"/>
        <v>9.1186839560416719E-3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733</v>
      </c>
      <c r="C279" s="453">
        <f>IF(C277=0,0,C278/C277)</f>
        <v>0.33682682479849757</v>
      </c>
      <c r="D279" s="453">
        <f>IF(D277=0,0,LN_IIB2/D277)</f>
        <v>0.30260380190295316</v>
      </c>
      <c r="E279" s="454">
        <f t="shared" si="28"/>
        <v>-3.4223022895544408E-2</v>
      </c>
      <c r="F279" s="458">
        <f t="shared" si="29"/>
        <v>-0.10160420838220918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734</v>
      </c>
      <c r="C280" s="456">
        <f>C18+C191+C224</f>
        <v>3448</v>
      </c>
      <c r="D280" s="456">
        <f>LN_IA4+LN_IF4+LN_IG3</f>
        <v>3447</v>
      </c>
      <c r="E280" s="456">
        <f t="shared" si="28"/>
        <v>-1</v>
      </c>
      <c r="F280" s="503">
        <f t="shared" si="29"/>
        <v>-2.9002320185614848E-4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735</v>
      </c>
      <c r="C281" s="525">
        <f>IF(C280=0,0,C282/C280)</f>
        <v>1.5703828016241299</v>
      </c>
      <c r="D281" s="525">
        <f>IF(LN_IIB4=0,0,LN_IIB6/LN_IIB4)</f>
        <v>1.5754523353640846</v>
      </c>
      <c r="E281" s="525">
        <f t="shared" si="28"/>
        <v>5.0695337399546681E-3</v>
      </c>
      <c r="F281" s="503">
        <f t="shared" si="29"/>
        <v>3.2282152700039935E-3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736</v>
      </c>
      <c r="C282" s="463">
        <f>C20+C193+C226</f>
        <v>5414.6799000000001</v>
      </c>
      <c r="D282" s="463">
        <f>LN_IA6+LN_IF6+LN_IG5</f>
        <v>5430.5841999999993</v>
      </c>
      <c r="E282" s="463">
        <f t="shared" si="28"/>
        <v>15.904299999999239</v>
      </c>
      <c r="F282" s="503">
        <f t="shared" si="29"/>
        <v>2.9372558108188888E-3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737</v>
      </c>
      <c r="C283" s="448">
        <f>C27+C203+C233</f>
        <v>106990262</v>
      </c>
      <c r="D283" s="448">
        <f>LN_IA11+LN_IF14+LN_IG9</f>
        <v>117119079</v>
      </c>
      <c r="E283" s="448">
        <f t="shared" si="28"/>
        <v>10128817</v>
      </c>
      <c r="F283" s="503">
        <f t="shared" si="29"/>
        <v>9.4670457017854578E-2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738</v>
      </c>
      <c r="C284" s="453">
        <f>IF(C277=0,0,C283/C277)</f>
        <v>0.64577900134997601</v>
      </c>
      <c r="D284" s="453">
        <f>IF(D277=0,0,LN_IIB7/D277)</f>
        <v>0.62935078490069196</v>
      </c>
      <c r="E284" s="454">
        <f t="shared" si="28"/>
        <v>-1.642821644928405E-2</v>
      </c>
      <c r="F284" s="458">
        <f t="shared" si="29"/>
        <v>-2.5439378510204728E-2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739</v>
      </c>
      <c r="C285" s="448">
        <f>C28+C204+C234</f>
        <v>33759334</v>
      </c>
      <c r="D285" s="448">
        <f>LN_IA12+LN_IF15+LN_IG10</f>
        <v>25677751</v>
      </c>
      <c r="E285" s="448">
        <f t="shared" si="28"/>
        <v>-8081583</v>
      </c>
      <c r="F285" s="503">
        <f t="shared" si="29"/>
        <v>-0.23938810522743131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740</v>
      </c>
      <c r="C286" s="453">
        <f>IF(C283=0,0,C285/C283)</f>
        <v>0.31553651116397863</v>
      </c>
      <c r="D286" s="453">
        <f>IF(LN_IIB7=0,0,LN_IIB9/LN_IIB7)</f>
        <v>0.21924481663657891</v>
      </c>
      <c r="E286" s="454">
        <f t="shared" si="28"/>
        <v>-9.6291694527399718E-2</v>
      </c>
      <c r="F286" s="458">
        <f t="shared" si="29"/>
        <v>-0.30516815367004757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741</v>
      </c>
      <c r="C287" s="441">
        <f>C277+C283</f>
        <v>272666541</v>
      </c>
      <c r="D287" s="441">
        <f>D277+LN_IIB7</f>
        <v>303214150</v>
      </c>
      <c r="E287" s="441">
        <f t="shared" si="28"/>
        <v>30547609</v>
      </c>
      <c r="F287" s="503">
        <f t="shared" si="29"/>
        <v>0.11203284747724145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742</v>
      </c>
      <c r="C288" s="441">
        <f>C278+C285</f>
        <v>89563549</v>
      </c>
      <c r="D288" s="441">
        <f>LN_IIB2+LN_IIB9</f>
        <v>81990827</v>
      </c>
      <c r="E288" s="441">
        <f t="shared" si="28"/>
        <v>-7572722</v>
      </c>
      <c r="F288" s="503">
        <f t="shared" si="29"/>
        <v>-8.4551383733130092E-2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743</v>
      </c>
      <c r="C289" s="453">
        <f>IF(C287=0,0,C288/C287)</f>
        <v>0.32847282498075187</v>
      </c>
      <c r="D289" s="453">
        <f>IF(LN_IIB11=0,0,LN_IIB12/LN_IIB11)</f>
        <v>0.27040567532880638</v>
      </c>
      <c r="E289" s="454">
        <f t="shared" si="28"/>
        <v>-5.8067149651945482E-2</v>
      </c>
      <c r="F289" s="458">
        <f t="shared" si="29"/>
        <v>-0.17677915868793148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24967</v>
      </c>
      <c r="D290" s="508">
        <f>LN_IA8+LN_IF11+LN_IG6</f>
        <v>24884</v>
      </c>
      <c r="E290" s="528">
        <f t="shared" si="28"/>
        <v>-83</v>
      </c>
      <c r="F290" s="458">
        <f t="shared" si="29"/>
        <v>-3.3243881924139864E-3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744</v>
      </c>
      <c r="C291" s="448">
        <f>C287-C288</f>
        <v>183102992</v>
      </c>
      <c r="D291" s="516">
        <f>LN_IIB11-LN_IIB12</f>
        <v>221223323</v>
      </c>
      <c r="E291" s="441">
        <f t="shared" si="28"/>
        <v>38120331</v>
      </c>
      <c r="F291" s="503">
        <f t="shared" si="29"/>
        <v>0.20819065042913115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646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637</v>
      </c>
      <c r="C294" s="466">
        <f>IF(C18=0,0,C22/C18)</f>
        <v>10.666666666666666</v>
      </c>
      <c r="D294" s="466">
        <f>IF(LN_IA4=0,0,LN_IA8/LN_IA4)</f>
        <v>4.1500000000000004</v>
      </c>
      <c r="E294" s="466">
        <f t="shared" ref="E294:E300" si="30">D294-C294</f>
        <v>-6.5166666666666657</v>
      </c>
      <c r="F294" s="503">
        <f t="shared" ref="F294:F300" si="31">IF(C294=0,0,E294/C294)</f>
        <v>-0.61093749999999991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658</v>
      </c>
      <c r="C295" s="466">
        <f>IF(C45=0,0,C51/C45)</f>
        <v>6.0995616781465252</v>
      </c>
      <c r="D295" s="466">
        <f>IF(LN_IB4=0,0,(LN_IB10)/(LN_IB4))</f>
        <v>7.1337815126050419</v>
      </c>
      <c r="E295" s="466">
        <f t="shared" si="30"/>
        <v>1.0342198344585167</v>
      </c>
      <c r="F295" s="503">
        <f t="shared" si="31"/>
        <v>0.16955641881020952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673</v>
      </c>
      <c r="C296" s="466">
        <f>IF(C86=0,0,C93/C86)</f>
        <v>3.4027777777777777</v>
      </c>
      <c r="D296" s="466">
        <f>IF(LN_IC4=0,0,LN_IC11/LN_IC4)</f>
        <v>4.0212765957446805</v>
      </c>
      <c r="E296" s="466">
        <f t="shared" si="30"/>
        <v>0.61849881796690287</v>
      </c>
      <c r="F296" s="503">
        <f t="shared" si="31"/>
        <v>0.18176291793313065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7.2107900943396226</v>
      </c>
      <c r="D297" s="466">
        <f>IF(LN_ID4=0,0,LN_ID11/LN_ID4)</f>
        <v>7.2100089365504916</v>
      </c>
      <c r="E297" s="466">
        <f t="shared" si="30"/>
        <v>-7.8115778913101508E-4</v>
      </c>
      <c r="F297" s="503">
        <f t="shared" si="31"/>
        <v>-1.083317887375773E-4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745</v>
      </c>
      <c r="C298" s="466">
        <f>IF(C156=0,0,C163/C156)</f>
        <v>0</v>
      </c>
      <c r="D298" s="466">
        <f>IF(LN_IE4=0,0,LN_IE11/LN_IE4)</f>
        <v>0</v>
      </c>
      <c r="E298" s="466">
        <f t="shared" si="30"/>
        <v>0</v>
      </c>
      <c r="F298" s="503">
        <f t="shared" si="31"/>
        <v>0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8.9811320754716988</v>
      </c>
      <c r="D299" s="466">
        <f>IF(LN_IG3=0,0,LN_IG6/LN_IG3)</f>
        <v>8.5285714285714285</v>
      </c>
      <c r="E299" s="466">
        <f t="shared" si="30"/>
        <v>-0.45256064690027031</v>
      </c>
      <c r="F299" s="503">
        <f t="shared" si="31"/>
        <v>-5.039015606242505E-2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746</v>
      </c>
      <c r="C300" s="466">
        <f>IF(C264=0,0,C274/C264)</f>
        <v>6.692110809996989</v>
      </c>
      <c r="D300" s="466">
        <f>IF(LN_IIA4=0,0,LN_IIA14/LN_IIA4)</f>
        <v>7.1795390843973843</v>
      </c>
      <c r="E300" s="466">
        <f t="shared" si="30"/>
        <v>0.48742827440039527</v>
      </c>
      <c r="F300" s="503">
        <f t="shared" si="31"/>
        <v>7.2836252751860009E-2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747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741</v>
      </c>
      <c r="C304" s="441">
        <f>C35+C66+C214+C221+C233</f>
        <v>506581501</v>
      </c>
      <c r="D304" s="441">
        <f>LN_IIA11</f>
        <v>574813439</v>
      </c>
      <c r="E304" s="441">
        <f t="shared" ref="E304:E316" si="32">D304-C304</f>
        <v>68231938</v>
      </c>
      <c r="F304" s="449">
        <f>IF(C304=0,0,E304/C304)</f>
        <v>0.13469093890185302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744</v>
      </c>
      <c r="C305" s="441">
        <f>C291</f>
        <v>183102992</v>
      </c>
      <c r="D305" s="441">
        <f>LN_IIB14</f>
        <v>221223323</v>
      </c>
      <c r="E305" s="441">
        <f t="shared" si="32"/>
        <v>38120331</v>
      </c>
      <c r="F305" s="449">
        <f>IF(C305=0,0,E305/C305)</f>
        <v>0.20819065042913115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748</v>
      </c>
      <c r="C306" s="441">
        <f>C250</f>
        <v>5258804</v>
      </c>
      <c r="D306" s="441">
        <f>LN_IH6</f>
        <v>5976835</v>
      </c>
      <c r="E306" s="441">
        <f t="shared" si="32"/>
        <v>718031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749</v>
      </c>
      <c r="C307" s="441">
        <f>C73-C74</f>
        <v>100994257</v>
      </c>
      <c r="D307" s="441">
        <f>LN_IB32-LN_IB33</f>
        <v>116760624</v>
      </c>
      <c r="E307" s="441">
        <f t="shared" si="32"/>
        <v>15766367</v>
      </c>
      <c r="F307" s="449">
        <f t="shared" ref="F307:F316" si="33">IF(C307=0,0,E307/C307)</f>
        <v>0.15611152028179187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750</v>
      </c>
      <c r="C308" s="441">
        <v>0</v>
      </c>
      <c r="D308" s="441">
        <v>0</v>
      </c>
      <c r="E308" s="441">
        <f t="shared" si="32"/>
        <v>0</v>
      </c>
      <c r="F308" s="449">
        <f t="shared" si="33"/>
        <v>0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751</v>
      </c>
      <c r="C309" s="441">
        <f>C305+C307+C308+C306</f>
        <v>289356053</v>
      </c>
      <c r="D309" s="441">
        <f>LN_III2+LN_III3+LN_III4+LN_III5</f>
        <v>343960782</v>
      </c>
      <c r="E309" s="441">
        <f t="shared" si="32"/>
        <v>54604729</v>
      </c>
      <c r="F309" s="449">
        <f t="shared" si="33"/>
        <v>0.18871120349433299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752</v>
      </c>
      <c r="C310" s="441">
        <f>C304-C309</f>
        <v>217225448</v>
      </c>
      <c r="D310" s="441">
        <f>LN_III1-LN_III6</f>
        <v>230852657</v>
      </c>
      <c r="E310" s="441">
        <f t="shared" si="32"/>
        <v>13627209</v>
      </c>
      <c r="F310" s="449">
        <f t="shared" si="33"/>
        <v>6.2733022882291392E-2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753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754</v>
      </c>
      <c r="C312" s="441">
        <f>C310+C311</f>
        <v>217225448</v>
      </c>
      <c r="D312" s="441">
        <f>LN_III7+LN_III8</f>
        <v>230852657</v>
      </c>
      <c r="E312" s="441">
        <f t="shared" si="32"/>
        <v>13627209</v>
      </c>
      <c r="F312" s="449">
        <f t="shared" si="33"/>
        <v>6.2733022882291392E-2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755</v>
      </c>
      <c r="C313" s="532">
        <f>IF(C304=0,0,C312/C304)</f>
        <v>0.4288065149856311</v>
      </c>
      <c r="D313" s="532">
        <f>IF(LN_III1=0,0,LN_III9/LN_III1)</f>
        <v>0.40161318670908808</v>
      </c>
      <c r="E313" s="532">
        <f t="shared" si="32"/>
        <v>-2.7193328276543027E-2</v>
      </c>
      <c r="F313" s="449">
        <f t="shared" si="33"/>
        <v>-6.3416313246673156E-2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718</v>
      </c>
      <c r="C314" s="441">
        <f>C306*C313</f>
        <v>2255009.416232497</v>
      </c>
      <c r="D314" s="441">
        <f>D313*LN_III5</f>
        <v>2400375.7507844125</v>
      </c>
      <c r="E314" s="441">
        <f t="shared" si="32"/>
        <v>145366.33455191553</v>
      </c>
      <c r="F314" s="449">
        <f t="shared" si="33"/>
        <v>6.4463737271120952E-2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721</v>
      </c>
      <c r="C315" s="441">
        <f>(C214*C313)-C215</f>
        <v>30202669.552778721</v>
      </c>
      <c r="D315" s="441">
        <f>D313*LN_IH8-LN_IH9</f>
        <v>42554152.909577444</v>
      </c>
      <c r="E315" s="441">
        <f t="shared" si="32"/>
        <v>12351483.356798723</v>
      </c>
      <c r="F315" s="449">
        <f t="shared" si="33"/>
        <v>0.40895336537105398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756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757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758</v>
      </c>
      <c r="C318" s="441">
        <f>C314+C315+C316</f>
        <v>32457678.969011217</v>
      </c>
      <c r="D318" s="441">
        <f>D314+D315+D316</f>
        <v>44954528.660361856</v>
      </c>
      <c r="E318" s="441">
        <f>D318-C318</f>
        <v>12496849.691350639</v>
      </c>
      <c r="F318" s="449">
        <f>IF(C318=0,0,E318/C318)</f>
        <v>0.38501981929397766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759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1712690157.271276</v>
      </c>
      <c r="D322" s="441">
        <f>LN_ID22</f>
        <v>216275831.73856255</v>
      </c>
      <c r="E322" s="441">
        <f>LN_IV2-C322</f>
        <v>-1496414325.5327134</v>
      </c>
      <c r="F322" s="449">
        <f>IF(C322=0,0,E322/C322)</f>
        <v>-0.87372156556143143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745</v>
      </c>
      <c r="C323" s="441">
        <f>C162+C176</f>
        <v>0</v>
      </c>
      <c r="D323" s="441">
        <f>LN_IE10+LN_IE22</f>
        <v>0</v>
      </c>
      <c r="E323" s="441">
        <f>LN_IV3-C323</f>
        <v>0</v>
      </c>
      <c r="F323" s="449">
        <f>IF(C323=0,0,E323/C323)</f>
        <v>0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760</v>
      </c>
      <c r="C324" s="441">
        <f>C92+C106</f>
        <v>111604231.63407075</v>
      </c>
      <c r="D324" s="441">
        <f>LN_IC10+LN_IC22</f>
        <v>10953641.35281755</v>
      </c>
      <c r="E324" s="441">
        <f>LN_IV1-C324</f>
        <v>-100650590.2812532</v>
      </c>
      <c r="F324" s="449">
        <f>IF(C324=0,0,E324/C324)</f>
        <v>-0.90185281335270084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761</v>
      </c>
      <c r="C325" s="516">
        <f>C324+C322+C323</f>
        <v>1824294388.9053469</v>
      </c>
      <c r="D325" s="516">
        <f>LN_IV1+LN_IV2+LN_IV3</f>
        <v>227229473.09138012</v>
      </c>
      <c r="E325" s="441">
        <f>LN_IV4-C325</f>
        <v>-1597064915.8139668</v>
      </c>
      <c r="F325" s="449">
        <f>IF(C325=0,0,E325/C325)</f>
        <v>-0.87544254125140009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762</v>
      </c>
      <c r="B327" s="530" t="s">
        <v>763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764</v>
      </c>
      <c r="C329" s="518">
        <v>0</v>
      </c>
      <c r="D329" s="518">
        <v>0</v>
      </c>
      <c r="E329" s="518">
        <f t="shared" ref="E329:E335" si="34">D329-C329</f>
        <v>0</v>
      </c>
      <c r="F329" s="542">
        <f t="shared" ref="F329:F335" si="35">IF(C329=0,0,E329/C329)</f>
        <v>0</v>
      </c>
    </row>
    <row r="330" spans="1:22" s="420" customFormat="1" ht="15.75" customHeight="1" x14ac:dyDescent="0.2">
      <c r="A330" s="451">
        <v>2</v>
      </c>
      <c r="B330" s="447" t="s">
        <v>765</v>
      </c>
      <c r="C330" s="516">
        <v>10193874</v>
      </c>
      <c r="D330" s="516">
        <v>7101022</v>
      </c>
      <c r="E330" s="518">
        <f t="shared" si="34"/>
        <v>-3092852</v>
      </c>
      <c r="F330" s="543">
        <f t="shared" si="35"/>
        <v>-0.30340300458883446</v>
      </c>
    </row>
    <row r="331" spans="1:22" s="420" customFormat="1" ht="15.75" customHeight="1" x14ac:dyDescent="0.2">
      <c r="A331" s="427">
        <v>3</v>
      </c>
      <c r="B331" s="447" t="s">
        <v>766</v>
      </c>
      <c r="C331" s="516">
        <v>231197635</v>
      </c>
      <c r="D331" s="516">
        <v>239314874</v>
      </c>
      <c r="E331" s="518">
        <f t="shared" si="34"/>
        <v>8117239</v>
      </c>
      <c r="F331" s="542">
        <f t="shared" si="35"/>
        <v>3.5109524368620811E-2</v>
      </c>
    </row>
    <row r="332" spans="1:22" s="420" customFormat="1" ht="27" customHeight="1" x14ac:dyDescent="0.2">
      <c r="A332" s="451">
        <v>4</v>
      </c>
      <c r="B332" s="447" t="s">
        <v>767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768</v>
      </c>
      <c r="C333" s="516">
        <v>506581501</v>
      </c>
      <c r="D333" s="516">
        <v>574813439</v>
      </c>
      <c r="E333" s="518">
        <f t="shared" si="34"/>
        <v>68231938</v>
      </c>
      <c r="F333" s="542">
        <f t="shared" si="35"/>
        <v>0.13469093890185302</v>
      </c>
    </row>
    <row r="334" spans="1:22" s="420" customFormat="1" ht="15.75" customHeight="1" x14ac:dyDescent="0.2">
      <c r="A334" s="427">
        <v>6</v>
      </c>
      <c r="B334" s="447" t="s">
        <v>769</v>
      </c>
      <c r="C334" s="516">
        <v>4399371</v>
      </c>
      <c r="D334" s="516">
        <v>1570481</v>
      </c>
      <c r="E334" s="516">
        <f t="shared" si="34"/>
        <v>-2828890</v>
      </c>
      <c r="F334" s="543">
        <f t="shared" si="35"/>
        <v>-0.64302146829626328</v>
      </c>
    </row>
    <row r="335" spans="1:22" s="420" customFormat="1" ht="15.75" customHeight="1" x14ac:dyDescent="0.2">
      <c r="A335" s="451">
        <v>7</v>
      </c>
      <c r="B335" s="447" t="s">
        <v>770</v>
      </c>
      <c r="C335" s="516">
        <v>9658176</v>
      </c>
      <c r="D335" s="516">
        <v>7547316</v>
      </c>
      <c r="E335" s="516">
        <f t="shared" si="34"/>
        <v>-2110860</v>
      </c>
      <c r="F335" s="542">
        <f t="shared" si="35"/>
        <v>-0.21855679581734688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80" fitToHeight="0" orientation="portrait" horizontalDpi="1200" verticalDpi="1200" r:id="rId1"/>
  <headerFooter>
    <oddHeader>&amp;LOFFICE OF HEALTH CARE ACCESS&amp;CTWELVE MONTHS ACTUAL FILING&amp;RCT CHILDREN`S MEDICAL CENTER</oddHeader>
    <oddFooter>&amp;LREPORT 100&amp;CPAGE &amp;P of &amp;N&amp;R&amp;D,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sqref="A1:E1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9.5703125" style="569" bestFit="1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631</v>
      </c>
      <c r="B3" s="820"/>
      <c r="C3" s="820"/>
      <c r="D3" s="820"/>
      <c r="E3" s="820"/>
    </row>
    <row r="4" spans="1:5" s="428" customFormat="1" ht="15.75" customHeight="1" x14ac:dyDescent="0.25">
      <c r="A4" s="820" t="s">
        <v>771</v>
      </c>
      <c r="B4" s="820"/>
      <c r="C4" s="820"/>
      <c r="D4" s="820"/>
      <c r="E4" s="820"/>
    </row>
    <row r="5" spans="1:5" s="428" customFormat="1" ht="15.75" customHeight="1" x14ac:dyDescent="0.25">
      <c r="A5" s="820" t="s">
        <v>772</v>
      </c>
      <c r="B5" s="820"/>
      <c r="C5" s="820"/>
      <c r="D5" s="820"/>
      <c r="E5" s="820"/>
    </row>
    <row r="6" spans="1:5" s="428" customFormat="1" ht="15.75" customHeight="1" x14ac:dyDescent="0.25">
      <c r="A6" s="820" t="s">
        <v>773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774</v>
      </c>
      <c r="D9" s="573" t="s">
        <v>775</v>
      </c>
      <c r="E9" s="573" t="s">
        <v>776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777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778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658</v>
      </c>
      <c r="C14" s="589">
        <v>132785456</v>
      </c>
      <c r="D14" s="589">
        <v>160141585</v>
      </c>
      <c r="E14" s="590">
        <f t="shared" ref="E14:E22" si="0">D14-C14</f>
        <v>27356129</v>
      </c>
    </row>
    <row r="15" spans="1:5" s="421" customFormat="1" x14ac:dyDescent="0.2">
      <c r="A15" s="588">
        <v>2</v>
      </c>
      <c r="B15" s="587" t="s">
        <v>637</v>
      </c>
      <c r="C15" s="589">
        <v>386168</v>
      </c>
      <c r="D15" s="591">
        <v>776456</v>
      </c>
      <c r="E15" s="590">
        <f t="shared" si="0"/>
        <v>390288</v>
      </c>
    </row>
    <row r="16" spans="1:5" s="421" customFormat="1" x14ac:dyDescent="0.2">
      <c r="A16" s="588">
        <v>3</v>
      </c>
      <c r="B16" s="587" t="s">
        <v>779</v>
      </c>
      <c r="C16" s="589">
        <v>161533795</v>
      </c>
      <c r="D16" s="591">
        <v>181180463</v>
      </c>
      <c r="E16" s="590">
        <f t="shared" si="0"/>
        <v>19646668</v>
      </c>
    </row>
    <row r="17" spans="1:5" s="421" customFormat="1" x14ac:dyDescent="0.2">
      <c r="A17" s="588">
        <v>4</v>
      </c>
      <c r="B17" s="587" t="s">
        <v>115</v>
      </c>
      <c r="C17" s="589">
        <v>161533795</v>
      </c>
      <c r="D17" s="591">
        <v>181180463</v>
      </c>
      <c r="E17" s="590">
        <f t="shared" si="0"/>
        <v>19646668</v>
      </c>
    </row>
    <row r="18" spans="1:5" s="421" customFormat="1" x14ac:dyDescent="0.2">
      <c r="A18" s="588">
        <v>5</v>
      </c>
      <c r="B18" s="587" t="s">
        <v>745</v>
      </c>
      <c r="C18" s="589">
        <v>0</v>
      </c>
      <c r="D18" s="591">
        <v>0</v>
      </c>
      <c r="E18" s="590">
        <f t="shared" si="0"/>
        <v>0</v>
      </c>
    </row>
    <row r="19" spans="1:5" s="421" customFormat="1" x14ac:dyDescent="0.2">
      <c r="A19" s="588">
        <v>6</v>
      </c>
      <c r="B19" s="587" t="s">
        <v>424</v>
      </c>
      <c r="C19" s="589">
        <v>3756316</v>
      </c>
      <c r="D19" s="591">
        <v>4138152</v>
      </c>
      <c r="E19" s="590">
        <f t="shared" si="0"/>
        <v>381836</v>
      </c>
    </row>
    <row r="20" spans="1:5" s="421" customFormat="1" x14ac:dyDescent="0.2">
      <c r="A20" s="588">
        <v>7</v>
      </c>
      <c r="B20" s="587" t="s">
        <v>760</v>
      </c>
      <c r="C20" s="589">
        <v>1742334</v>
      </c>
      <c r="D20" s="591">
        <v>1678321</v>
      </c>
      <c r="E20" s="590">
        <f t="shared" si="0"/>
        <v>-64013</v>
      </c>
    </row>
    <row r="21" spans="1:5" s="421" customFormat="1" x14ac:dyDescent="0.2">
      <c r="A21" s="588"/>
      <c r="B21" s="592" t="s">
        <v>780</v>
      </c>
      <c r="C21" s="593">
        <f>SUM(C15+C16+C19)</f>
        <v>165676279</v>
      </c>
      <c r="D21" s="593">
        <f>SUM(D15+D16+D19)</f>
        <v>186095071</v>
      </c>
      <c r="E21" s="593">
        <f t="shared" si="0"/>
        <v>20418792</v>
      </c>
    </row>
    <row r="22" spans="1:5" s="421" customFormat="1" x14ac:dyDescent="0.2">
      <c r="A22" s="588"/>
      <c r="B22" s="592" t="s">
        <v>465</v>
      </c>
      <c r="C22" s="593">
        <f>SUM(C14+C21)</f>
        <v>298461735</v>
      </c>
      <c r="D22" s="593">
        <f>SUM(D14+D21)</f>
        <v>346236656</v>
      </c>
      <c r="E22" s="593">
        <f t="shared" si="0"/>
        <v>47774921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781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658</v>
      </c>
      <c r="C25" s="589">
        <v>101129504</v>
      </c>
      <c r="D25" s="589">
        <v>111457704</v>
      </c>
      <c r="E25" s="590">
        <f t="shared" ref="E25:E33" si="1">D25-C25</f>
        <v>10328200</v>
      </c>
    </row>
    <row r="26" spans="1:5" s="421" customFormat="1" x14ac:dyDescent="0.2">
      <c r="A26" s="588">
        <v>2</v>
      </c>
      <c r="B26" s="587" t="s">
        <v>637</v>
      </c>
      <c r="C26" s="589">
        <v>110788</v>
      </c>
      <c r="D26" s="591">
        <v>267448</v>
      </c>
      <c r="E26" s="590">
        <f t="shared" si="1"/>
        <v>156660</v>
      </c>
    </row>
    <row r="27" spans="1:5" s="421" customFormat="1" x14ac:dyDescent="0.2">
      <c r="A27" s="588">
        <v>3</v>
      </c>
      <c r="B27" s="587" t="s">
        <v>779</v>
      </c>
      <c r="C27" s="589">
        <v>105600114</v>
      </c>
      <c r="D27" s="591">
        <v>115542605</v>
      </c>
      <c r="E27" s="590">
        <f t="shared" si="1"/>
        <v>9942491</v>
      </c>
    </row>
    <row r="28" spans="1:5" s="421" customFormat="1" x14ac:dyDescent="0.2">
      <c r="A28" s="588">
        <v>4</v>
      </c>
      <c r="B28" s="587" t="s">
        <v>115</v>
      </c>
      <c r="C28" s="589">
        <v>105600114</v>
      </c>
      <c r="D28" s="591">
        <v>115542605</v>
      </c>
      <c r="E28" s="590">
        <f t="shared" si="1"/>
        <v>9942491</v>
      </c>
    </row>
    <row r="29" spans="1:5" s="421" customFormat="1" x14ac:dyDescent="0.2">
      <c r="A29" s="588">
        <v>5</v>
      </c>
      <c r="B29" s="587" t="s">
        <v>745</v>
      </c>
      <c r="C29" s="589">
        <v>0</v>
      </c>
      <c r="D29" s="591">
        <v>0</v>
      </c>
      <c r="E29" s="590">
        <f t="shared" si="1"/>
        <v>0</v>
      </c>
    </row>
    <row r="30" spans="1:5" s="421" customFormat="1" x14ac:dyDescent="0.2">
      <c r="A30" s="588">
        <v>6</v>
      </c>
      <c r="B30" s="587" t="s">
        <v>424</v>
      </c>
      <c r="C30" s="589">
        <v>1279360</v>
      </c>
      <c r="D30" s="591">
        <v>1309026</v>
      </c>
      <c r="E30" s="590">
        <f t="shared" si="1"/>
        <v>29666</v>
      </c>
    </row>
    <row r="31" spans="1:5" s="421" customFormat="1" x14ac:dyDescent="0.2">
      <c r="A31" s="588">
        <v>7</v>
      </c>
      <c r="B31" s="587" t="s">
        <v>760</v>
      </c>
      <c r="C31" s="590">
        <v>2851885</v>
      </c>
      <c r="D31" s="594">
        <v>2696509</v>
      </c>
      <c r="E31" s="590">
        <f t="shared" si="1"/>
        <v>-155376</v>
      </c>
    </row>
    <row r="32" spans="1:5" s="421" customFormat="1" x14ac:dyDescent="0.2">
      <c r="A32" s="588"/>
      <c r="B32" s="592" t="s">
        <v>782</v>
      </c>
      <c r="C32" s="593">
        <f>SUM(C26+C27+C30)</f>
        <v>106990262</v>
      </c>
      <c r="D32" s="593">
        <f>SUM(D26+D27+D30)</f>
        <v>117119079</v>
      </c>
      <c r="E32" s="593">
        <f t="shared" si="1"/>
        <v>10128817</v>
      </c>
    </row>
    <row r="33" spans="1:5" s="421" customFormat="1" x14ac:dyDescent="0.2">
      <c r="A33" s="588"/>
      <c r="B33" s="592" t="s">
        <v>467</v>
      </c>
      <c r="C33" s="593">
        <f>SUM(C25+C32)</f>
        <v>208119766</v>
      </c>
      <c r="D33" s="593">
        <f>SUM(D25+D32)</f>
        <v>228576783</v>
      </c>
      <c r="E33" s="593">
        <f t="shared" si="1"/>
        <v>20457017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655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783</v>
      </c>
      <c r="C36" s="590">
        <f t="shared" ref="C36:D42" si="2">C14+C25</f>
        <v>233914960</v>
      </c>
      <c r="D36" s="590">
        <f t="shared" si="2"/>
        <v>271599289</v>
      </c>
      <c r="E36" s="590">
        <f t="shared" ref="E36:E44" si="3">D36-C36</f>
        <v>37684329</v>
      </c>
    </row>
    <row r="37" spans="1:5" s="421" customFormat="1" x14ac:dyDescent="0.2">
      <c r="A37" s="588">
        <v>2</v>
      </c>
      <c r="B37" s="587" t="s">
        <v>784</v>
      </c>
      <c r="C37" s="590">
        <f t="shared" si="2"/>
        <v>496956</v>
      </c>
      <c r="D37" s="590">
        <f t="shared" si="2"/>
        <v>1043904</v>
      </c>
      <c r="E37" s="590">
        <f t="shared" si="3"/>
        <v>546948</v>
      </c>
    </row>
    <row r="38" spans="1:5" s="421" customFormat="1" x14ac:dyDescent="0.2">
      <c r="A38" s="588">
        <v>3</v>
      </c>
      <c r="B38" s="587" t="s">
        <v>785</v>
      </c>
      <c r="C38" s="590">
        <f t="shared" si="2"/>
        <v>267133909</v>
      </c>
      <c r="D38" s="590">
        <f t="shared" si="2"/>
        <v>296723068</v>
      </c>
      <c r="E38" s="590">
        <f t="shared" si="3"/>
        <v>29589159</v>
      </c>
    </row>
    <row r="39" spans="1:5" s="421" customFormat="1" x14ac:dyDescent="0.2">
      <c r="A39" s="588">
        <v>4</v>
      </c>
      <c r="B39" s="587" t="s">
        <v>786</v>
      </c>
      <c r="C39" s="590">
        <f t="shared" si="2"/>
        <v>267133909</v>
      </c>
      <c r="D39" s="590">
        <f t="shared" si="2"/>
        <v>296723068</v>
      </c>
      <c r="E39" s="590">
        <f t="shared" si="3"/>
        <v>29589159</v>
      </c>
    </row>
    <row r="40" spans="1:5" s="421" customFormat="1" x14ac:dyDescent="0.2">
      <c r="A40" s="588">
        <v>5</v>
      </c>
      <c r="B40" s="587" t="s">
        <v>787</v>
      </c>
      <c r="C40" s="590">
        <f t="shared" si="2"/>
        <v>0</v>
      </c>
      <c r="D40" s="590">
        <f t="shared" si="2"/>
        <v>0</v>
      </c>
      <c r="E40" s="590">
        <f t="shared" si="3"/>
        <v>0</v>
      </c>
    </row>
    <row r="41" spans="1:5" s="421" customFormat="1" x14ac:dyDescent="0.2">
      <c r="A41" s="588">
        <v>6</v>
      </c>
      <c r="B41" s="587" t="s">
        <v>788</v>
      </c>
      <c r="C41" s="590">
        <f t="shared" si="2"/>
        <v>5035676</v>
      </c>
      <c r="D41" s="590">
        <f t="shared" si="2"/>
        <v>5447178</v>
      </c>
      <c r="E41" s="590">
        <f t="shared" si="3"/>
        <v>411502</v>
      </c>
    </row>
    <row r="42" spans="1:5" s="421" customFormat="1" x14ac:dyDescent="0.2">
      <c r="A42" s="588">
        <v>7</v>
      </c>
      <c r="B42" s="587" t="s">
        <v>789</v>
      </c>
      <c r="C42" s="590">
        <f t="shared" si="2"/>
        <v>4594219</v>
      </c>
      <c r="D42" s="590">
        <f t="shared" si="2"/>
        <v>4374830</v>
      </c>
      <c r="E42" s="590">
        <f t="shared" si="3"/>
        <v>-219389</v>
      </c>
    </row>
    <row r="43" spans="1:5" s="421" customFormat="1" x14ac:dyDescent="0.2">
      <c r="A43" s="588"/>
      <c r="B43" s="592" t="s">
        <v>790</v>
      </c>
      <c r="C43" s="593">
        <f>SUM(C37+C38+C41)</f>
        <v>272666541</v>
      </c>
      <c r="D43" s="593">
        <f>SUM(D37+D38+D41)</f>
        <v>303214150</v>
      </c>
      <c r="E43" s="593">
        <f t="shared" si="3"/>
        <v>30547609</v>
      </c>
    </row>
    <row r="44" spans="1:5" s="421" customFormat="1" x14ac:dyDescent="0.2">
      <c r="A44" s="588"/>
      <c r="B44" s="592" t="s">
        <v>727</v>
      </c>
      <c r="C44" s="593">
        <f>SUM(C36+C43)</f>
        <v>506581501</v>
      </c>
      <c r="D44" s="593">
        <f>SUM(D36+D43)</f>
        <v>574813439</v>
      </c>
      <c r="E44" s="593">
        <f t="shared" si="3"/>
        <v>68231938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791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658</v>
      </c>
      <c r="C47" s="589">
        <v>81535017</v>
      </c>
      <c r="D47" s="589">
        <v>95732931</v>
      </c>
      <c r="E47" s="590">
        <f t="shared" ref="E47:E55" si="4">D47-C47</f>
        <v>14197914</v>
      </c>
    </row>
    <row r="48" spans="1:5" s="421" customFormat="1" x14ac:dyDescent="0.2">
      <c r="A48" s="588">
        <v>2</v>
      </c>
      <c r="B48" s="587" t="s">
        <v>637</v>
      </c>
      <c r="C48" s="589">
        <v>2274166</v>
      </c>
      <c r="D48" s="591">
        <v>2018068</v>
      </c>
      <c r="E48" s="590">
        <f t="shared" si="4"/>
        <v>-256098</v>
      </c>
    </row>
    <row r="49" spans="1:5" s="421" customFormat="1" x14ac:dyDescent="0.2">
      <c r="A49" s="588">
        <v>3</v>
      </c>
      <c r="B49" s="587" t="s">
        <v>779</v>
      </c>
      <c r="C49" s="589">
        <v>51921696</v>
      </c>
      <c r="D49" s="591">
        <v>52573260</v>
      </c>
      <c r="E49" s="590">
        <f t="shared" si="4"/>
        <v>651564</v>
      </c>
    </row>
    <row r="50" spans="1:5" s="421" customFormat="1" x14ac:dyDescent="0.2">
      <c r="A50" s="588">
        <v>4</v>
      </c>
      <c r="B50" s="587" t="s">
        <v>115</v>
      </c>
      <c r="C50" s="589">
        <v>51921696</v>
      </c>
      <c r="D50" s="591">
        <v>52573260</v>
      </c>
      <c r="E50" s="590">
        <f t="shared" si="4"/>
        <v>651564</v>
      </c>
    </row>
    <row r="51" spans="1:5" s="421" customFormat="1" x14ac:dyDescent="0.2">
      <c r="A51" s="588">
        <v>5</v>
      </c>
      <c r="B51" s="587" t="s">
        <v>745</v>
      </c>
      <c r="C51" s="589">
        <v>0</v>
      </c>
      <c r="D51" s="591">
        <v>0</v>
      </c>
      <c r="E51" s="590">
        <f t="shared" si="4"/>
        <v>0</v>
      </c>
    </row>
    <row r="52" spans="1:5" s="421" customFormat="1" x14ac:dyDescent="0.2">
      <c r="A52" s="588">
        <v>6</v>
      </c>
      <c r="B52" s="587" t="s">
        <v>424</v>
      </c>
      <c r="C52" s="589">
        <v>1608353</v>
      </c>
      <c r="D52" s="591">
        <v>1721748</v>
      </c>
      <c r="E52" s="590">
        <f t="shared" si="4"/>
        <v>113395</v>
      </c>
    </row>
    <row r="53" spans="1:5" s="421" customFormat="1" x14ac:dyDescent="0.2">
      <c r="A53" s="588">
        <v>7</v>
      </c>
      <c r="B53" s="587" t="s">
        <v>760</v>
      </c>
      <c r="C53" s="589">
        <v>532200</v>
      </c>
      <c r="D53" s="591">
        <v>373932</v>
      </c>
      <c r="E53" s="590">
        <f t="shared" si="4"/>
        <v>-158268</v>
      </c>
    </row>
    <row r="54" spans="1:5" s="421" customFormat="1" x14ac:dyDescent="0.2">
      <c r="A54" s="588"/>
      <c r="B54" s="592" t="s">
        <v>792</v>
      </c>
      <c r="C54" s="593">
        <f>SUM(C48+C49+C52)</f>
        <v>55804215</v>
      </c>
      <c r="D54" s="593">
        <f>SUM(D48+D49+D52)</f>
        <v>56313076</v>
      </c>
      <c r="E54" s="593">
        <f t="shared" si="4"/>
        <v>508861</v>
      </c>
    </row>
    <row r="55" spans="1:5" s="421" customFormat="1" x14ac:dyDescent="0.2">
      <c r="A55" s="588"/>
      <c r="B55" s="592" t="s">
        <v>466</v>
      </c>
      <c r="C55" s="593">
        <f>SUM(C47+C54)</f>
        <v>137339232</v>
      </c>
      <c r="D55" s="593">
        <f>SUM(D47+D54)</f>
        <v>152046007</v>
      </c>
      <c r="E55" s="593">
        <f t="shared" si="4"/>
        <v>14706775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793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658</v>
      </c>
      <c r="C58" s="589">
        <v>49905195</v>
      </c>
      <c r="D58" s="589">
        <v>54490096</v>
      </c>
      <c r="E58" s="590">
        <f t="shared" ref="E58:E66" si="5">D58-C58</f>
        <v>4584901</v>
      </c>
    </row>
    <row r="59" spans="1:5" s="421" customFormat="1" x14ac:dyDescent="0.2">
      <c r="A59" s="588">
        <v>2</v>
      </c>
      <c r="B59" s="587" t="s">
        <v>637</v>
      </c>
      <c r="C59" s="589">
        <v>677337</v>
      </c>
      <c r="D59" s="591">
        <v>773310</v>
      </c>
      <c r="E59" s="590">
        <f t="shared" si="5"/>
        <v>95973</v>
      </c>
    </row>
    <row r="60" spans="1:5" s="421" customFormat="1" x14ac:dyDescent="0.2">
      <c r="A60" s="588">
        <v>3</v>
      </c>
      <c r="B60" s="587" t="s">
        <v>779</v>
      </c>
      <c r="C60" s="589">
        <f>C61+C62</f>
        <v>32424395</v>
      </c>
      <c r="D60" s="591">
        <f>D61+D62</f>
        <v>24040484</v>
      </c>
      <c r="E60" s="590">
        <f t="shared" si="5"/>
        <v>-8383911</v>
      </c>
    </row>
    <row r="61" spans="1:5" s="421" customFormat="1" x14ac:dyDescent="0.2">
      <c r="A61" s="588">
        <v>4</v>
      </c>
      <c r="B61" s="587" t="s">
        <v>115</v>
      </c>
      <c r="C61" s="589">
        <v>32424395</v>
      </c>
      <c r="D61" s="591">
        <v>24040484</v>
      </c>
      <c r="E61" s="590">
        <f t="shared" si="5"/>
        <v>-8383911</v>
      </c>
    </row>
    <row r="62" spans="1:5" s="421" customFormat="1" x14ac:dyDescent="0.2">
      <c r="A62" s="588">
        <v>5</v>
      </c>
      <c r="B62" s="587" t="s">
        <v>745</v>
      </c>
      <c r="C62" s="589">
        <v>0</v>
      </c>
      <c r="D62" s="591">
        <v>0</v>
      </c>
      <c r="E62" s="590">
        <f t="shared" si="5"/>
        <v>0</v>
      </c>
    </row>
    <row r="63" spans="1:5" s="421" customFormat="1" x14ac:dyDescent="0.2">
      <c r="A63" s="588">
        <v>6</v>
      </c>
      <c r="B63" s="587" t="s">
        <v>424</v>
      </c>
      <c r="C63" s="589">
        <v>657602</v>
      </c>
      <c r="D63" s="591">
        <v>863957</v>
      </c>
      <c r="E63" s="590">
        <f t="shared" si="5"/>
        <v>206355</v>
      </c>
    </row>
    <row r="64" spans="1:5" s="421" customFormat="1" x14ac:dyDescent="0.2">
      <c r="A64" s="588">
        <v>7</v>
      </c>
      <c r="B64" s="587" t="s">
        <v>760</v>
      </c>
      <c r="C64" s="589">
        <v>871115</v>
      </c>
      <c r="D64" s="591">
        <v>452476</v>
      </c>
      <c r="E64" s="590">
        <f t="shared" si="5"/>
        <v>-418639</v>
      </c>
    </row>
    <row r="65" spans="1:5" s="421" customFormat="1" x14ac:dyDescent="0.2">
      <c r="A65" s="588"/>
      <c r="B65" s="592" t="s">
        <v>794</v>
      </c>
      <c r="C65" s="593">
        <f>SUM(C59+C60+C63)</f>
        <v>33759334</v>
      </c>
      <c r="D65" s="593">
        <f>SUM(D59+D60+D63)</f>
        <v>25677751</v>
      </c>
      <c r="E65" s="593">
        <f t="shared" si="5"/>
        <v>-8081583</v>
      </c>
    </row>
    <row r="66" spans="1:5" s="421" customFormat="1" x14ac:dyDescent="0.2">
      <c r="A66" s="588"/>
      <c r="B66" s="592" t="s">
        <v>468</v>
      </c>
      <c r="C66" s="593">
        <f>SUM(C58+C65)</f>
        <v>83664529</v>
      </c>
      <c r="D66" s="593">
        <f>SUM(D58+D65)</f>
        <v>80167847</v>
      </c>
      <c r="E66" s="593">
        <f t="shared" si="5"/>
        <v>-3496682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656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783</v>
      </c>
      <c r="C69" s="590">
        <f t="shared" ref="C69:D75" si="6">C47+C58</f>
        <v>131440212</v>
      </c>
      <c r="D69" s="590">
        <f t="shared" si="6"/>
        <v>150223027</v>
      </c>
      <c r="E69" s="590">
        <f t="shared" ref="E69:E77" si="7">D69-C69</f>
        <v>18782815</v>
      </c>
    </row>
    <row r="70" spans="1:5" s="421" customFormat="1" x14ac:dyDescent="0.2">
      <c r="A70" s="588">
        <v>2</v>
      </c>
      <c r="B70" s="587" t="s">
        <v>784</v>
      </c>
      <c r="C70" s="590">
        <f t="shared" si="6"/>
        <v>2951503</v>
      </c>
      <c r="D70" s="590">
        <f t="shared" si="6"/>
        <v>2791378</v>
      </c>
      <c r="E70" s="590">
        <f t="shared" si="7"/>
        <v>-160125</v>
      </c>
    </row>
    <row r="71" spans="1:5" s="421" customFormat="1" x14ac:dyDescent="0.2">
      <c r="A71" s="588">
        <v>3</v>
      </c>
      <c r="B71" s="587" t="s">
        <v>785</v>
      </c>
      <c r="C71" s="590">
        <f t="shared" si="6"/>
        <v>84346091</v>
      </c>
      <c r="D71" s="590">
        <f t="shared" si="6"/>
        <v>76613744</v>
      </c>
      <c r="E71" s="590">
        <f t="shared" si="7"/>
        <v>-7732347</v>
      </c>
    </row>
    <row r="72" spans="1:5" s="421" customFormat="1" x14ac:dyDescent="0.2">
      <c r="A72" s="588">
        <v>4</v>
      </c>
      <c r="B72" s="587" t="s">
        <v>786</v>
      </c>
      <c r="C72" s="590">
        <f t="shared" si="6"/>
        <v>84346091</v>
      </c>
      <c r="D72" s="590">
        <f t="shared" si="6"/>
        <v>76613744</v>
      </c>
      <c r="E72" s="590">
        <f t="shared" si="7"/>
        <v>-7732347</v>
      </c>
    </row>
    <row r="73" spans="1:5" s="421" customFormat="1" x14ac:dyDescent="0.2">
      <c r="A73" s="588">
        <v>5</v>
      </c>
      <c r="B73" s="587" t="s">
        <v>787</v>
      </c>
      <c r="C73" s="590">
        <f t="shared" si="6"/>
        <v>0</v>
      </c>
      <c r="D73" s="590">
        <f t="shared" si="6"/>
        <v>0</v>
      </c>
      <c r="E73" s="590">
        <f t="shared" si="7"/>
        <v>0</v>
      </c>
    </row>
    <row r="74" spans="1:5" s="421" customFormat="1" x14ac:dyDescent="0.2">
      <c r="A74" s="588">
        <v>6</v>
      </c>
      <c r="B74" s="587" t="s">
        <v>788</v>
      </c>
      <c r="C74" s="590">
        <f t="shared" si="6"/>
        <v>2265955</v>
      </c>
      <c r="D74" s="590">
        <f t="shared" si="6"/>
        <v>2585705</v>
      </c>
      <c r="E74" s="590">
        <f t="shared" si="7"/>
        <v>319750</v>
      </c>
    </row>
    <row r="75" spans="1:5" s="421" customFormat="1" x14ac:dyDescent="0.2">
      <c r="A75" s="588">
        <v>7</v>
      </c>
      <c r="B75" s="587" t="s">
        <v>789</v>
      </c>
      <c r="C75" s="590">
        <f t="shared" si="6"/>
        <v>1403315</v>
      </c>
      <c r="D75" s="590">
        <f t="shared" si="6"/>
        <v>826408</v>
      </c>
      <c r="E75" s="590">
        <f t="shared" si="7"/>
        <v>-576907</v>
      </c>
    </row>
    <row r="76" spans="1:5" s="421" customFormat="1" x14ac:dyDescent="0.2">
      <c r="A76" s="588"/>
      <c r="B76" s="592" t="s">
        <v>795</v>
      </c>
      <c r="C76" s="593">
        <f>SUM(C70+C71+C74)</f>
        <v>89563549</v>
      </c>
      <c r="D76" s="593">
        <f>SUM(D70+D71+D74)</f>
        <v>81990827</v>
      </c>
      <c r="E76" s="593">
        <f t="shared" si="7"/>
        <v>-7572722</v>
      </c>
    </row>
    <row r="77" spans="1:5" s="421" customFormat="1" x14ac:dyDescent="0.2">
      <c r="A77" s="588"/>
      <c r="B77" s="592" t="s">
        <v>728</v>
      </c>
      <c r="C77" s="593">
        <f>SUM(C69+C76)</f>
        <v>221003761</v>
      </c>
      <c r="D77" s="593">
        <f>SUM(D69+D76)</f>
        <v>232213854</v>
      </c>
      <c r="E77" s="593">
        <f t="shared" si="7"/>
        <v>11210093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796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797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658</v>
      </c>
      <c r="C83" s="599">
        <f t="shared" ref="C83:D89" si="8">IF(C$44=0,0,C14/C$44)</f>
        <v>0.26212061778386969</v>
      </c>
      <c r="D83" s="599">
        <f t="shared" si="8"/>
        <v>0.27859749639569581</v>
      </c>
      <c r="E83" s="599">
        <f t="shared" ref="E83:E91" si="9">D83-C83</f>
        <v>1.6476878611826118E-2</v>
      </c>
    </row>
    <row r="84" spans="1:5" s="421" customFormat="1" x14ac:dyDescent="0.2">
      <c r="A84" s="588">
        <v>2</v>
      </c>
      <c r="B84" s="587" t="s">
        <v>637</v>
      </c>
      <c r="C84" s="599">
        <f t="shared" si="8"/>
        <v>7.6230181962368972E-4</v>
      </c>
      <c r="D84" s="599">
        <f t="shared" si="8"/>
        <v>1.3507965320901274E-3</v>
      </c>
      <c r="E84" s="599">
        <f t="shared" si="9"/>
        <v>5.8849471246643769E-4</v>
      </c>
    </row>
    <row r="85" spans="1:5" s="421" customFormat="1" x14ac:dyDescent="0.2">
      <c r="A85" s="588">
        <v>3</v>
      </c>
      <c r="B85" s="587" t="s">
        <v>779</v>
      </c>
      <c r="C85" s="599">
        <f t="shared" si="8"/>
        <v>0.31887029960851254</v>
      </c>
      <c r="D85" s="599">
        <f t="shared" si="8"/>
        <v>0.31519872485096856</v>
      </c>
      <c r="E85" s="599">
        <f t="shared" si="9"/>
        <v>-3.6715747575439828E-3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0.31887029960851254</v>
      </c>
      <c r="D86" s="599">
        <f t="shared" si="8"/>
        <v>0.31519872485096856</v>
      </c>
      <c r="E86" s="599">
        <f t="shared" si="9"/>
        <v>-3.6715747575439828E-3</v>
      </c>
    </row>
    <row r="87" spans="1:5" s="421" customFormat="1" x14ac:dyDescent="0.2">
      <c r="A87" s="588">
        <v>5</v>
      </c>
      <c r="B87" s="587" t="s">
        <v>745</v>
      </c>
      <c r="C87" s="599">
        <f t="shared" si="8"/>
        <v>0</v>
      </c>
      <c r="D87" s="599">
        <f t="shared" si="8"/>
        <v>0</v>
      </c>
      <c r="E87" s="599">
        <f t="shared" si="9"/>
        <v>0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7.4150279719748394E-3</v>
      </c>
      <c r="D88" s="599">
        <f t="shared" si="8"/>
        <v>7.1991218702177904E-3</v>
      </c>
      <c r="E88" s="599">
        <f t="shared" si="9"/>
        <v>-2.1590610175704905E-4</v>
      </c>
    </row>
    <row r="89" spans="1:5" s="421" customFormat="1" x14ac:dyDescent="0.2">
      <c r="A89" s="588">
        <v>7</v>
      </c>
      <c r="B89" s="587" t="s">
        <v>760</v>
      </c>
      <c r="C89" s="599">
        <f t="shared" si="8"/>
        <v>3.4393952336605358E-3</v>
      </c>
      <c r="D89" s="599">
        <f t="shared" si="8"/>
        <v>2.9197664600879311E-3</v>
      </c>
      <c r="E89" s="599">
        <f t="shared" si="9"/>
        <v>-5.1962877357260469E-4</v>
      </c>
    </row>
    <row r="90" spans="1:5" s="421" customFormat="1" x14ac:dyDescent="0.2">
      <c r="A90" s="588"/>
      <c r="B90" s="592" t="s">
        <v>798</v>
      </c>
      <c r="C90" s="600">
        <f>SUM(C84+C85+C88)</f>
        <v>0.32704762940011106</v>
      </c>
      <c r="D90" s="600">
        <f>SUM(D84+D85+D88)</f>
        <v>0.32374864325327651</v>
      </c>
      <c r="E90" s="601">
        <f t="shared" si="9"/>
        <v>-3.2989861468345483E-3</v>
      </c>
    </row>
    <row r="91" spans="1:5" s="421" customFormat="1" x14ac:dyDescent="0.2">
      <c r="A91" s="588"/>
      <c r="B91" s="592" t="s">
        <v>799</v>
      </c>
      <c r="C91" s="600">
        <f>SUM(C83+C90)</f>
        <v>0.58916824718398075</v>
      </c>
      <c r="D91" s="600">
        <f>SUM(D83+D90)</f>
        <v>0.60234613964897232</v>
      </c>
      <c r="E91" s="601">
        <f t="shared" si="9"/>
        <v>1.317789246499157E-2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800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658</v>
      </c>
      <c r="C95" s="599">
        <f t="shared" ref="C95:D101" si="10">IF(C$44=0,0,C25/C$44)</f>
        <v>0.19963126130813846</v>
      </c>
      <c r="D95" s="599">
        <f t="shared" si="10"/>
        <v>0.19390239760904407</v>
      </c>
      <c r="E95" s="599">
        <f t="shared" ref="E95:E103" si="11">D95-C95</f>
        <v>-5.7288636990943942E-3</v>
      </c>
    </row>
    <row r="96" spans="1:5" s="421" customFormat="1" x14ac:dyDescent="0.2">
      <c r="A96" s="588">
        <v>2</v>
      </c>
      <c r="B96" s="587" t="s">
        <v>637</v>
      </c>
      <c r="C96" s="599">
        <f t="shared" si="10"/>
        <v>2.1869728717156611E-4</v>
      </c>
      <c r="D96" s="599">
        <f t="shared" si="10"/>
        <v>4.6527791776280997E-4</v>
      </c>
      <c r="E96" s="599">
        <f t="shared" si="11"/>
        <v>2.4658063059124387E-4</v>
      </c>
    </row>
    <row r="97" spans="1:5" s="421" customFormat="1" x14ac:dyDescent="0.2">
      <c r="A97" s="588">
        <v>3</v>
      </c>
      <c r="B97" s="587" t="s">
        <v>779</v>
      </c>
      <c r="C97" s="599">
        <f t="shared" si="10"/>
        <v>0.20845631708134563</v>
      </c>
      <c r="D97" s="599">
        <f t="shared" si="10"/>
        <v>0.201008878986909</v>
      </c>
      <c r="E97" s="599">
        <f t="shared" si="11"/>
        <v>-7.4474380944366259E-3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0.20845631708134563</v>
      </c>
      <c r="D98" s="599">
        <f t="shared" si="10"/>
        <v>0.201008878986909</v>
      </c>
      <c r="E98" s="599">
        <f t="shared" si="11"/>
        <v>-7.4474380944366259E-3</v>
      </c>
    </row>
    <row r="99" spans="1:5" s="421" customFormat="1" x14ac:dyDescent="0.2">
      <c r="A99" s="588">
        <v>5</v>
      </c>
      <c r="B99" s="587" t="s">
        <v>745</v>
      </c>
      <c r="C99" s="599">
        <f t="shared" si="10"/>
        <v>0</v>
      </c>
      <c r="D99" s="599">
        <f t="shared" si="10"/>
        <v>0</v>
      </c>
      <c r="E99" s="599">
        <f t="shared" si="11"/>
        <v>0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2.5254771393636026E-3</v>
      </c>
      <c r="D100" s="599">
        <f t="shared" si="10"/>
        <v>2.2773058373118517E-3</v>
      </c>
      <c r="E100" s="599">
        <f t="shared" si="11"/>
        <v>-2.4817130205175095E-4</v>
      </c>
    </row>
    <row r="101" spans="1:5" s="421" customFormat="1" x14ac:dyDescent="0.2">
      <c r="A101" s="588">
        <v>7</v>
      </c>
      <c r="B101" s="587" t="s">
        <v>760</v>
      </c>
      <c r="C101" s="599">
        <f t="shared" si="10"/>
        <v>5.6296666861508629E-3</v>
      </c>
      <c r="D101" s="599">
        <f t="shared" si="10"/>
        <v>4.6911029162628884E-3</v>
      </c>
      <c r="E101" s="599">
        <f t="shared" si="11"/>
        <v>-9.3856376988797445E-4</v>
      </c>
    </row>
    <row r="102" spans="1:5" s="421" customFormat="1" x14ac:dyDescent="0.2">
      <c r="A102" s="588"/>
      <c r="B102" s="592" t="s">
        <v>801</v>
      </c>
      <c r="C102" s="600">
        <f>SUM(C96+C97+C100)</f>
        <v>0.21120049150788078</v>
      </c>
      <c r="D102" s="600">
        <f>SUM(D96+D97+D100)</f>
        <v>0.20375146274198364</v>
      </c>
      <c r="E102" s="601">
        <f t="shared" si="11"/>
        <v>-7.4490287658971477E-3</v>
      </c>
    </row>
    <row r="103" spans="1:5" s="421" customFormat="1" x14ac:dyDescent="0.2">
      <c r="A103" s="588"/>
      <c r="B103" s="592" t="s">
        <v>802</v>
      </c>
      <c r="C103" s="600">
        <f>SUM(C95+C102)</f>
        <v>0.41083175281601925</v>
      </c>
      <c r="D103" s="600">
        <f>SUM(D95+D102)</f>
        <v>0.39765386035102768</v>
      </c>
      <c r="E103" s="601">
        <f t="shared" si="11"/>
        <v>-1.317789246499157E-2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803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804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658</v>
      </c>
      <c r="C109" s="599">
        <f t="shared" ref="C109:D115" si="12">IF(C$77=0,0,C47/C$77)</f>
        <v>0.36893045001166291</v>
      </c>
      <c r="D109" s="599">
        <f t="shared" si="12"/>
        <v>0.41226192731808325</v>
      </c>
      <c r="E109" s="599">
        <f t="shared" ref="E109:E117" si="13">D109-C109</f>
        <v>4.3331477306420341E-2</v>
      </c>
    </row>
    <row r="110" spans="1:5" s="421" customFormat="1" x14ac:dyDescent="0.2">
      <c r="A110" s="588">
        <v>2</v>
      </c>
      <c r="B110" s="587" t="s">
        <v>637</v>
      </c>
      <c r="C110" s="599">
        <f t="shared" si="12"/>
        <v>1.0290168772286187E-2</v>
      </c>
      <c r="D110" s="599">
        <f t="shared" si="12"/>
        <v>8.6905581438737074E-3</v>
      </c>
      <c r="E110" s="599">
        <f t="shared" si="13"/>
        <v>-1.5996106284124796E-3</v>
      </c>
    </row>
    <row r="111" spans="1:5" s="421" customFormat="1" x14ac:dyDescent="0.2">
      <c r="A111" s="588">
        <v>3</v>
      </c>
      <c r="B111" s="587" t="s">
        <v>779</v>
      </c>
      <c r="C111" s="599">
        <f t="shared" si="12"/>
        <v>0.234935802744099</v>
      </c>
      <c r="D111" s="599">
        <f t="shared" si="12"/>
        <v>0.22640018713095386</v>
      </c>
      <c r="E111" s="599">
        <f t="shared" si="13"/>
        <v>-8.5356156131451422E-3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0.234935802744099</v>
      </c>
      <c r="D112" s="599">
        <f t="shared" si="12"/>
        <v>0.22640018713095386</v>
      </c>
      <c r="E112" s="599">
        <f t="shared" si="13"/>
        <v>-8.5356156131451422E-3</v>
      </c>
    </row>
    <row r="113" spans="1:5" s="421" customFormat="1" x14ac:dyDescent="0.2">
      <c r="A113" s="588">
        <v>5</v>
      </c>
      <c r="B113" s="587" t="s">
        <v>745</v>
      </c>
      <c r="C113" s="599">
        <f t="shared" si="12"/>
        <v>0</v>
      </c>
      <c r="D113" s="599">
        <f t="shared" si="12"/>
        <v>0</v>
      </c>
      <c r="E113" s="599">
        <f t="shared" si="13"/>
        <v>0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7.2774915355399766E-3</v>
      </c>
      <c r="D114" s="599">
        <f t="shared" si="12"/>
        <v>7.4144930215920713E-3</v>
      </c>
      <c r="E114" s="599">
        <f t="shared" si="13"/>
        <v>1.3700148605209472E-4</v>
      </c>
    </row>
    <row r="115" spans="1:5" s="421" customFormat="1" x14ac:dyDescent="0.2">
      <c r="A115" s="588">
        <v>7</v>
      </c>
      <c r="B115" s="587" t="s">
        <v>760</v>
      </c>
      <c r="C115" s="599">
        <f t="shared" si="12"/>
        <v>2.4081038150296457E-3</v>
      </c>
      <c r="D115" s="599">
        <f t="shared" si="12"/>
        <v>1.6102915203328049E-3</v>
      </c>
      <c r="E115" s="599">
        <f t="shared" si="13"/>
        <v>-7.9781229469684089E-4</v>
      </c>
    </row>
    <row r="116" spans="1:5" s="421" customFormat="1" x14ac:dyDescent="0.2">
      <c r="A116" s="588"/>
      <c r="B116" s="592" t="s">
        <v>798</v>
      </c>
      <c r="C116" s="600">
        <f>SUM(C110+C111+C114)</f>
        <v>0.25250346305192517</v>
      </c>
      <c r="D116" s="600">
        <f>SUM(D110+D111+D114)</f>
        <v>0.24250523829641965</v>
      </c>
      <c r="E116" s="601">
        <f t="shared" si="13"/>
        <v>-9.9982247555055193E-3</v>
      </c>
    </row>
    <row r="117" spans="1:5" s="421" customFormat="1" x14ac:dyDescent="0.2">
      <c r="A117" s="588"/>
      <c r="B117" s="592" t="s">
        <v>799</v>
      </c>
      <c r="C117" s="600">
        <f>SUM(C109+C116)</f>
        <v>0.62143391306358808</v>
      </c>
      <c r="D117" s="600">
        <f>SUM(D109+D116)</f>
        <v>0.65476716561450288</v>
      </c>
      <c r="E117" s="601">
        <f t="shared" si="13"/>
        <v>3.3333252550914794E-2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805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658</v>
      </c>
      <c r="C121" s="599">
        <f t="shared" ref="C121:D127" si="14">IF(C$77=0,0,C58/C$77)</f>
        <v>0.22581151910803907</v>
      </c>
      <c r="D121" s="599">
        <f t="shared" si="14"/>
        <v>0.23465480229271765</v>
      </c>
      <c r="E121" s="599">
        <f t="shared" ref="E121:E129" si="15">D121-C121</f>
        <v>8.8432831846785853E-3</v>
      </c>
    </row>
    <row r="122" spans="1:5" s="421" customFormat="1" x14ac:dyDescent="0.2">
      <c r="A122" s="588">
        <v>2</v>
      </c>
      <c r="B122" s="587" t="s">
        <v>637</v>
      </c>
      <c r="C122" s="599">
        <f t="shared" si="14"/>
        <v>3.0648211457360674E-3</v>
      </c>
      <c r="D122" s="599">
        <f t="shared" si="14"/>
        <v>3.3301630659814123E-3</v>
      </c>
      <c r="E122" s="599">
        <f t="shared" si="15"/>
        <v>2.6534192024534487E-4</v>
      </c>
    </row>
    <row r="123" spans="1:5" s="421" customFormat="1" x14ac:dyDescent="0.2">
      <c r="A123" s="588">
        <v>3</v>
      </c>
      <c r="B123" s="587" t="s">
        <v>779</v>
      </c>
      <c r="C123" s="599">
        <f t="shared" si="14"/>
        <v>0.1467142226597673</v>
      </c>
      <c r="D123" s="599">
        <f t="shared" si="14"/>
        <v>0.10352734596102091</v>
      </c>
      <c r="E123" s="599">
        <f t="shared" si="15"/>
        <v>-4.3186876698746393E-2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0.1467142226597673</v>
      </c>
      <c r="D124" s="599">
        <f t="shared" si="14"/>
        <v>0.10352734596102091</v>
      </c>
      <c r="E124" s="599">
        <f t="shared" si="15"/>
        <v>-4.3186876698746393E-2</v>
      </c>
    </row>
    <row r="125" spans="1:5" s="421" customFormat="1" x14ac:dyDescent="0.2">
      <c r="A125" s="588">
        <v>5</v>
      </c>
      <c r="B125" s="587" t="s">
        <v>745</v>
      </c>
      <c r="C125" s="599">
        <f t="shared" si="14"/>
        <v>0</v>
      </c>
      <c r="D125" s="599">
        <f t="shared" si="14"/>
        <v>0</v>
      </c>
      <c r="E125" s="599">
        <f t="shared" si="15"/>
        <v>0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2.975524022869457E-3</v>
      </c>
      <c r="D126" s="599">
        <f t="shared" si="14"/>
        <v>3.7205230657771176E-3</v>
      </c>
      <c r="E126" s="599">
        <f t="shared" si="15"/>
        <v>7.4499904290766059E-4</v>
      </c>
    </row>
    <row r="127" spans="1:5" s="421" customFormat="1" x14ac:dyDescent="0.2">
      <c r="A127" s="588">
        <v>7</v>
      </c>
      <c r="B127" s="587" t="s">
        <v>760</v>
      </c>
      <c r="C127" s="599">
        <f t="shared" si="14"/>
        <v>3.9416297535316601E-3</v>
      </c>
      <c r="D127" s="599">
        <f t="shared" si="14"/>
        <v>1.9485314601427699E-3</v>
      </c>
      <c r="E127" s="599">
        <f t="shared" si="15"/>
        <v>-1.99309829338889E-3</v>
      </c>
    </row>
    <row r="128" spans="1:5" s="421" customFormat="1" x14ac:dyDescent="0.2">
      <c r="A128" s="588"/>
      <c r="B128" s="592" t="s">
        <v>801</v>
      </c>
      <c r="C128" s="600">
        <f>SUM(C122+C123+C126)</f>
        <v>0.15275456782837282</v>
      </c>
      <c r="D128" s="600">
        <f>SUM(D122+D123+D126)</f>
        <v>0.11057803209277944</v>
      </c>
      <c r="E128" s="601">
        <f t="shared" si="15"/>
        <v>-4.2176535735593379E-2</v>
      </c>
    </row>
    <row r="129" spans="1:5" s="421" customFormat="1" x14ac:dyDescent="0.2">
      <c r="A129" s="588"/>
      <c r="B129" s="592" t="s">
        <v>802</v>
      </c>
      <c r="C129" s="600">
        <f>SUM(C121+C128)</f>
        <v>0.37856608693641192</v>
      </c>
      <c r="D129" s="600">
        <f>SUM(D121+D128)</f>
        <v>0.34523283438549712</v>
      </c>
      <c r="E129" s="601">
        <f t="shared" si="15"/>
        <v>-3.3333252550914794E-2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806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807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808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658</v>
      </c>
      <c r="C137" s="606">
        <v>3194</v>
      </c>
      <c r="D137" s="606">
        <v>2975</v>
      </c>
      <c r="E137" s="607">
        <f t="shared" ref="E137:E145" si="16">D137-C137</f>
        <v>-219</v>
      </c>
    </row>
    <row r="138" spans="1:5" s="421" customFormat="1" x14ac:dyDescent="0.2">
      <c r="A138" s="588">
        <v>2</v>
      </c>
      <c r="B138" s="587" t="s">
        <v>637</v>
      </c>
      <c r="C138" s="606">
        <v>3</v>
      </c>
      <c r="D138" s="606">
        <v>20</v>
      </c>
      <c r="E138" s="607">
        <f t="shared" si="16"/>
        <v>17</v>
      </c>
    </row>
    <row r="139" spans="1:5" s="421" customFormat="1" x14ac:dyDescent="0.2">
      <c r="A139" s="588">
        <v>3</v>
      </c>
      <c r="B139" s="587" t="s">
        <v>779</v>
      </c>
      <c r="C139" s="606">
        <f>C140+C141</f>
        <v>3392</v>
      </c>
      <c r="D139" s="606">
        <f>D140+D141</f>
        <v>3357</v>
      </c>
      <c r="E139" s="607">
        <f t="shared" si="16"/>
        <v>-35</v>
      </c>
    </row>
    <row r="140" spans="1:5" s="421" customFormat="1" x14ac:dyDescent="0.2">
      <c r="A140" s="588">
        <v>4</v>
      </c>
      <c r="B140" s="587" t="s">
        <v>115</v>
      </c>
      <c r="C140" s="606">
        <v>3392</v>
      </c>
      <c r="D140" s="606">
        <v>3357</v>
      </c>
      <c r="E140" s="607">
        <f t="shared" si="16"/>
        <v>-35</v>
      </c>
    </row>
    <row r="141" spans="1:5" s="421" customFormat="1" x14ac:dyDescent="0.2">
      <c r="A141" s="588">
        <v>5</v>
      </c>
      <c r="B141" s="587" t="s">
        <v>745</v>
      </c>
      <c r="C141" s="606">
        <v>0</v>
      </c>
      <c r="D141" s="606">
        <v>0</v>
      </c>
      <c r="E141" s="607">
        <f t="shared" si="16"/>
        <v>0</v>
      </c>
    </row>
    <row r="142" spans="1:5" s="421" customFormat="1" x14ac:dyDescent="0.2">
      <c r="A142" s="588">
        <v>6</v>
      </c>
      <c r="B142" s="587" t="s">
        <v>424</v>
      </c>
      <c r="C142" s="606">
        <v>53</v>
      </c>
      <c r="D142" s="606">
        <v>70</v>
      </c>
      <c r="E142" s="607">
        <f t="shared" si="16"/>
        <v>17</v>
      </c>
    </row>
    <row r="143" spans="1:5" s="421" customFormat="1" x14ac:dyDescent="0.2">
      <c r="A143" s="588">
        <v>7</v>
      </c>
      <c r="B143" s="587" t="s">
        <v>760</v>
      </c>
      <c r="C143" s="606">
        <v>72</v>
      </c>
      <c r="D143" s="606">
        <v>47</v>
      </c>
      <c r="E143" s="607">
        <f t="shared" si="16"/>
        <v>-25</v>
      </c>
    </row>
    <row r="144" spans="1:5" s="421" customFormat="1" x14ac:dyDescent="0.2">
      <c r="A144" s="588"/>
      <c r="B144" s="592" t="s">
        <v>809</v>
      </c>
      <c r="C144" s="608">
        <f>SUM(C138+C139+C142)</f>
        <v>3448</v>
      </c>
      <c r="D144" s="608">
        <f>SUM(D138+D139+D142)</f>
        <v>3447</v>
      </c>
      <c r="E144" s="609">
        <f t="shared" si="16"/>
        <v>-1</v>
      </c>
    </row>
    <row r="145" spans="1:5" s="421" customFormat="1" x14ac:dyDescent="0.2">
      <c r="A145" s="588"/>
      <c r="B145" s="592" t="s">
        <v>138</v>
      </c>
      <c r="C145" s="608">
        <f>SUM(C137+C144)</f>
        <v>6642</v>
      </c>
      <c r="D145" s="608">
        <f>SUM(D137+D144)</f>
        <v>6422</v>
      </c>
      <c r="E145" s="609">
        <f t="shared" si="16"/>
        <v>-220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658</v>
      </c>
      <c r="C149" s="610">
        <v>19482</v>
      </c>
      <c r="D149" s="610">
        <v>21223</v>
      </c>
      <c r="E149" s="607">
        <f t="shared" ref="E149:E157" si="17">D149-C149</f>
        <v>1741</v>
      </c>
    </row>
    <row r="150" spans="1:5" s="421" customFormat="1" x14ac:dyDescent="0.2">
      <c r="A150" s="588">
        <v>2</v>
      </c>
      <c r="B150" s="587" t="s">
        <v>637</v>
      </c>
      <c r="C150" s="610">
        <v>32</v>
      </c>
      <c r="D150" s="610">
        <v>83</v>
      </c>
      <c r="E150" s="607">
        <f t="shared" si="17"/>
        <v>51</v>
      </c>
    </row>
    <row r="151" spans="1:5" s="421" customFormat="1" x14ac:dyDescent="0.2">
      <c r="A151" s="588">
        <v>3</v>
      </c>
      <c r="B151" s="587" t="s">
        <v>779</v>
      </c>
      <c r="C151" s="610">
        <f>C152+C153</f>
        <v>24459</v>
      </c>
      <c r="D151" s="610">
        <f>D152+D153</f>
        <v>24204</v>
      </c>
      <c r="E151" s="607">
        <f t="shared" si="17"/>
        <v>-255</v>
      </c>
    </row>
    <row r="152" spans="1:5" s="421" customFormat="1" x14ac:dyDescent="0.2">
      <c r="A152" s="588">
        <v>4</v>
      </c>
      <c r="B152" s="587" t="s">
        <v>115</v>
      </c>
      <c r="C152" s="610">
        <v>24459</v>
      </c>
      <c r="D152" s="610">
        <v>24204</v>
      </c>
      <c r="E152" s="607">
        <f t="shared" si="17"/>
        <v>-255</v>
      </c>
    </row>
    <row r="153" spans="1:5" s="421" customFormat="1" x14ac:dyDescent="0.2">
      <c r="A153" s="588">
        <v>5</v>
      </c>
      <c r="B153" s="587" t="s">
        <v>745</v>
      </c>
      <c r="C153" s="611">
        <v>0</v>
      </c>
      <c r="D153" s="610">
        <v>0</v>
      </c>
      <c r="E153" s="607">
        <f t="shared" si="17"/>
        <v>0</v>
      </c>
    </row>
    <row r="154" spans="1:5" s="421" customFormat="1" x14ac:dyDescent="0.2">
      <c r="A154" s="588">
        <v>6</v>
      </c>
      <c r="B154" s="587" t="s">
        <v>424</v>
      </c>
      <c r="C154" s="610">
        <v>476</v>
      </c>
      <c r="D154" s="610">
        <v>597</v>
      </c>
      <c r="E154" s="607">
        <f t="shared" si="17"/>
        <v>121</v>
      </c>
    </row>
    <row r="155" spans="1:5" s="421" customFormat="1" x14ac:dyDescent="0.2">
      <c r="A155" s="588">
        <v>7</v>
      </c>
      <c r="B155" s="587" t="s">
        <v>760</v>
      </c>
      <c r="C155" s="610">
        <v>245</v>
      </c>
      <c r="D155" s="610">
        <v>189</v>
      </c>
      <c r="E155" s="607">
        <f t="shared" si="17"/>
        <v>-56</v>
      </c>
    </row>
    <row r="156" spans="1:5" s="421" customFormat="1" x14ac:dyDescent="0.2">
      <c r="A156" s="588"/>
      <c r="B156" s="592" t="s">
        <v>810</v>
      </c>
      <c r="C156" s="608">
        <f>SUM(C150+C151+C154)</f>
        <v>24967</v>
      </c>
      <c r="D156" s="608">
        <f>SUM(D150+D151+D154)</f>
        <v>24884</v>
      </c>
      <c r="E156" s="609">
        <f t="shared" si="17"/>
        <v>-83</v>
      </c>
    </row>
    <row r="157" spans="1:5" s="421" customFormat="1" x14ac:dyDescent="0.2">
      <c r="A157" s="588"/>
      <c r="B157" s="592" t="s">
        <v>140</v>
      </c>
      <c r="C157" s="608">
        <f>SUM(C149+C156)</f>
        <v>44449</v>
      </c>
      <c r="D157" s="608">
        <f>SUM(D149+D156)</f>
        <v>46107</v>
      </c>
      <c r="E157" s="609">
        <f t="shared" si="17"/>
        <v>1658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811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658</v>
      </c>
      <c r="C161" s="612">
        <f t="shared" ref="C161:D169" si="18">IF(C137=0,0,C149/C137)</f>
        <v>6.0995616781465252</v>
      </c>
      <c r="D161" s="612">
        <f t="shared" si="18"/>
        <v>7.1337815126050419</v>
      </c>
      <c r="E161" s="613">
        <f t="shared" ref="E161:E169" si="19">D161-C161</f>
        <v>1.0342198344585167</v>
      </c>
    </row>
    <row r="162" spans="1:5" s="421" customFormat="1" x14ac:dyDescent="0.2">
      <c r="A162" s="588">
        <v>2</v>
      </c>
      <c r="B162" s="587" t="s">
        <v>637</v>
      </c>
      <c r="C162" s="612">
        <f t="shared" si="18"/>
        <v>10.666666666666666</v>
      </c>
      <c r="D162" s="612">
        <f t="shared" si="18"/>
        <v>4.1500000000000004</v>
      </c>
      <c r="E162" s="613">
        <f t="shared" si="19"/>
        <v>-6.5166666666666657</v>
      </c>
    </row>
    <row r="163" spans="1:5" s="421" customFormat="1" x14ac:dyDescent="0.2">
      <c r="A163" s="588">
        <v>3</v>
      </c>
      <c r="B163" s="587" t="s">
        <v>779</v>
      </c>
      <c r="C163" s="612">
        <f t="shared" si="18"/>
        <v>7.2107900943396226</v>
      </c>
      <c r="D163" s="612">
        <f t="shared" si="18"/>
        <v>7.2100089365504916</v>
      </c>
      <c r="E163" s="613">
        <f t="shared" si="19"/>
        <v>-7.8115778913101508E-4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7.2107900943396226</v>
      </c>
      <c r="D164" s="612">
        <f t="shared" si="18"/>
        <v>7.2100089365504916</v>
      </c>
      <c r="E164" s="613">
        <f t="shared" si="19"/>
        <v>-7.8115778913101508E-4</v>
      </c>
    </row>
    <row r="165" spans="1:5" s="421" customFormat="1" x14ac:dyDescent="0.2">
      <c r="A165" s="588">
        <v>5</v>
      </c>
      <c r="B165" s="587" t="s">
        <v>745</v>
      </c>
      <c r="C165" s="612">
        <f t="shared" si="18"/>
        <v>0</v>
      </c>
      <c r="D165" s="612">
        <f t="shared" si="18"/>
        <v>0</v>
      </c>
      <c r="E165" s="613">
        <f t="shared" si="19"/>
        <v>0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8.9811320754716988</v>
      </c>
      <c r="D166" s="612">
        <f t="shared" si="18"/>
        <v>8.5285714285714285</v>
      </c>
      <c r="E166" s="613">
        <f t="shared" si="19"/>
        <v>-0.45256064690027031</v>
      </c>
    </row>
    <row r="167" spans="1:5" s="421" customFormat="1" x14ac:dyDescent="0.2">
      <c r="A167" s="588">
        <v>7</v>
      </c>
      <c r="B167" s="587" t="s">
        <v>760</v>
      </c>
      <c r="C167" s="612">
        <f t="shared" si="18"/>
        <v>3.4027777777777777</v>
      </c>
      <c r="D167" s="612">
        <f t="shared" si="18"/>
        <v>4.0212765957446805</v>
      </c>
      <c r="E167" s="613">
        <f t="shared" si="19"/>
        <v>0.61849881796690287</v>
      </c>
    </row>
    <row r="168" spans="1:5" s="421" customFormat="1" x14ac:dyDescent="0.2">
      <c r="A168" s="588"/>
      <c r="B168" s="592" t="s">
        <v>812</v>
      </c>
      <c r="C168" s="614">
        <f t="shared" si="18"/>
        <v>7.2410092807424595</v>
      </c>
      <c r="D168" s="614">
        <f t="shared" si="18"/>
        <v>7.2190310414853496</v>
      </c>
      <c r="E168" s="615">
        <f t="shared" si="19"/>
        <v>-2.1978239257109955E-2</v>
      </c>
    </row>
    <row r="169" spans="1:5" s="421" customFormat="1" x14ac:dyDescent="0.2">
      <c r="A169" s="588"/>
      <c r="B169" s="592" t="s">
        <v>746</v>
      </c>
      <c r="C169" s="614">
        <f t="shared" si="18"/>
        <v>6.692110809996989</v>
      </c>
      <c r="D169" s="614">
        <f t="shared" si="18"/>
        <v>7.1795390843973843</v>
      </c>
      <c r="E169" s="615">
        <f t="shared" si="19"/>
        <v>0.48742827440039527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813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658</v>
      </c>
      <c r="C173" s="617">
        <f t="shared" ref="C173:D181" si="20">IF(C137=0,0,C203/C137)</f>
        <v>1.5525000000000002</v>
      </c>
      <c r="D173" s="617">
        <f t="shared" si="20"/>
        <v>1.6778</v>
      </c>
      <c r="E173" s="618">
        <f t="shared" ref="E173:E181" si="21">D173-C173</f>
        <v>0.12529999999999974</v>
      </c>
    </row>
    <row r="174" spans="1:5" s="421" customFormat="1" x14ac:dyDescent="0.2">
      <c r="A174" s="588">
        <v>2</v>
      </c>
      <c r="B174" s="587" t="s">
        <v>637</v>
      </c>
      <c r="C174" s="617">
        <f t="shared" si="20"/>
        <v>2.5541</v>
      </c>
      <c r="D174" s="617">
        <f t="shared" si="20"/>
        <v>1.7544999999999997</v>
      </c>
      <c r="E174" s="618">
        <f t="shared" si="21"/>
        <v>-0.79960000000000031</v>
      </c>
    </row>
    <row r="175" spans="1:5" s="421" customFormat="1" x14ac:dyDescent="0.2">
      <c r="A175" s="588">
        <v>3</v>
      </c>
      <c r="B175" s="587" t="s">
        <v>779</v>
      </c>
      <c r="C175" s="617">
        <f t="shared" si="20"/>
        <v>1.5658000000000001</v>
      </c>
      <c r="D175" s="617">
        <f t="shared" si="20"/>
        <v>1.5775999999999997</v>
      </c>
      <c r="E175" s="618">
        <f t="shared" si="21"/>
        <v>1.1799999999999589E-2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1.5658000000000001</v>
      </c>
      <c r="D176" s="617">
        <f t="shared" si="20"/>
        <v>1.5775999999999997</v>
      </c>
      <c r="E176" s="618">
        <f t="shared" si="21"/>
        <v>1.1799999999999589E-2</v>
      </c>
    </row>
    <row r="177" spans="1:5" s="421" customFormat="1" x14ac:dyDescent="0.2">
      <c r="A177" s="588">
        <v>5</v>
      </c>
      <c r="B177" s="587" t="s">
        <v>745</v>
      </c>
      <c r="C177" s="617">
        <f t="shared" si="20"/>
        <v>0</v>
      </c>
      <c r="D177" s="617">
        <f t="shared" si="20"/>
        <v>0</v>
      </c>
      <c r="E177" s="618">
        <f t="shared" si="21"/>
        <v>0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1.8080000000000001</v>
      </c>
      <c r="D178" s="617">
        <f t="shared" si="20"/>
        <v>1.4213</v>
      </c>
      <c r="E178" s="618">
        <f t="shared" si="21"/>
        <v>-0.38670000000000004</v>
      </c>
    </row>
    <row r="179" spans="1:5" s="421" customFormat="1" x14ac:dyDescent="0.2">
      <c r="A179" s="588">
        <v>7</v>
      </c>
      <c r="B179" s="587" t="s">
        <v>760</v>
      </c>
      <c r="C179" s="617">
        <f t="shared" si="20"/>
        <v>0.94809999999999994</v>
      </c>
      <c r="D179" s="617">
        <f t="shared" si="20"/>
        <v>1.2221</v>
      </c>
      <c r="E179" s="618">
        <f t="shared" si="21"/>
        <v>0.27400000000000002</v>
      </c>
    </row>
    <row r="180" spans="1:5" s="421" customFormat="1" x14ac:dyDescent="0.2">
      <c r="A180" s="588"/>
      <c r="B180" s="592" t="s">
        <v>814</v>
      </c>
      <c r="C180" s="619">
        <f t="shared" si="20"/>
        <v>1.5703828016241299</v>
      </c>
      <c r="D180" s="619">
        <f t="shared" si="20"/>
        <v>1.5754523353640846</v>
      </c>
      <c r="E180" s="620">
        <f t="shared" si="21"/>
        <v>5.0695337399546681E-3</v>
      </c>
    </row>
    <row r="181" spans="1:5" s="421" customFormat="1" x14ac:dyDescent="0.2">
      <c r="A181" s="588"/>
      <c r="B181" s="592" t="s">
        <v>725</v>
      </c>
      <c r="C181" s="619">
        <f t="shared" si="20"/>
        <v>1.5617833333333333</v>
      </c>
      <c r="D181" s="619">
        <f t="shared" si="20"/>
        <v>1.6228650264715041</v>
      </c>
      <c r="E181" s="620">
        <f t="shared" si="21"/>
        <v>6.1081693138170801E-2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815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816</v>
      </c>
      <c r="C185" s="589">
        <v>229320741</v>
      </c>
      <c r="D185" s="589">
        <v>267224459</v>
      </c>
      <c r="E185" s="590">
        <f>D185-C185</f>
        <v>37903718</v>
      </c>
    </row>
    <row r="186" spans="1:5" s="421" customFormat="1" ht="25.5" x14ac:dyDescent="0.2">
      <c r="A186" s="588">
        <v>2</v>
      </c>
      <c r="B186" s="587" t="s">
        <v>817</v>
      </c>
      <c r="C186" s="589">
        <v>128326484</v>
      </c>
      <c r="D186" s="589">
        <v>150463835</v>
      </c>
      <c r="E186" s="590">
        <f>D186-C186</f>
        <v>22137351</v>
      </c>
    </row>
    <row r="187" spans="1:5" s="421" customFormat="1" x14ac:dyDescent="0.2">
      <c r="A187" s="588"/>
      <c r="B187" s="587" t="s">
        <v>670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749</v>
      </c>
      <c r="C188" s="622">
        <f>+C185-C186</f>
        <v>100994257</v>
      </c>
      <c r="D188" s="622">
        <f>+D185-D186</f>
        <v>116760624</v>
      </c>
      <c r="E188" s="590">
        <f t="shared" ref="E188:E197" si="22">D188-C188</f>
        <v>15766367</v>
      </c>
    </row>
    <row r="189" spans="1:5" s="421" customFormat="1" x14ac:dyDescent="0.2">
      <c r="A189" s="588">
        <v>4</v>
      </c>
      <c r="B189" s="587" t="s">
        <v>672</v>
      </c>
      <c r="C189" s="623">
        <f>IF(C185=0,0,+C188/C185)</f>
        <v>0.44040611660155066</v>
      </c>
      <c r="D189" s="623">
        <f>IF(D185=0,0,+D188/D185)</f>
        <v>0.43693838669161644</v>
      </c>
      <c r="E189" s="599">
        <f t="shared" si="22"/>
        <v>-3.467729909934214E-3</v>
      </c>
    </row>
    <row r="190" spans="1:5" s="421" customFormat="1" x14ac:dyDescent="0.2">
      <c r="A190" s="588">
        <v>5</v>
      </c>
      <c r="B190" s="587" t="s">
        <v>764</v>
      </c>
      <c r="C190" s="589">
        <v>0</v>
      </c>
      <c r="D190" s="589">
        <v>0</v>
      </c>
      <c r="E190" s="622">
        <f t="shared" si="22"/>
        <v>0</v>
      </c>
    </row>
    <row r="191" spans="1:5" s="421" customFormat="1" x14ac:dyDescent="0.2">
      <c r="A191" s="588">
        <v>6</v>
      </c>
      <c r="B191" s="587" t="s">
        <v>750</v>
      </c>
      <c r="C191" s="589">
        <v>0</v>
      </c>
      <c r="D191" s="589">
        <v>0</v>
      </c>
      <c r="E191" s="622">
        <f t="shared" si="22"/>
        <v>0</v>
      </c>
    </row>
    <row r="192" spans="1:5" ht="29.25" x14ac:dyDescent="0.2">
      <c r="A192" s="588">
        <v>7</v>
      </c>
      <c r="B192" s="624" t="s">
        <v>818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819</v>
      </c>
      <c r="C193" s="589">
        <v>710025</v>
      </c>
      <c r="D193" s="589">
        <v>1431441</v>
      </c>
      <c r="E193" s="622">
        <f t="shared" si="22"/>
        <v>721416</v>
      </c>
    </row>
    <row r="194" spans="1:5" s="421" customFormat="1" x14ac:dyDescent="0.2">
      <c r="A194" s="588">
        <v>9</v>
      </c>
      <c r="B194" s="587" t="s">
        <v>820</v>
      </c>
      <c r="C194" s="589">
        <v>4548779</v>
      </c>
      <c r="D194" s="589">
        <v>4545394</v>
      </c>
      <c r="E194" s="622">
        <f t="shared" si="22"/>
        <v>-3385</v>
      </c>
    </row>
    <row r="195" spans="1:5" s="421" customFormat="1" x14ac:dyDescent="0.2">
      <c r="A195" s="588">
        <v>10</v>
      </c>
      <c r="B195" s="587" t="s">
        <v>821</v>
      </c>
      <c r="C195" s="589">
        <f>+C193+C194</f>
        <v>5258804</v>
      </c>
      <c r="D195" s="589">
        <f>+D193+D194</f>
        <v>5976835</v>
      </c>
      <c r="E195" s="625">
        <f t="shared" si="22"/>
        <v>718031</v>
      </c>
    </row>
    <row r="196" spans="1:5" s="421" customFormat="1" x14ac:dyDescent="0.2">
      <c r="A196" s="588">
        <v>11</v>
      </c>
      <c r="B196" s="587" t="s">
        <v>822</v>
      </c>
      <c r="C196" s="589">
        <v>29826230</v>
      </c>
      <c r="D196" s="589">
        <v>28586425</v>
      </c>
      <c r="E196" s="622">
        <f t="shared" si="22"/>
        <v>-1239805</v>
      </c>
    </row>
    <row r="197" spans="1:5" s="421" customFormat="1" x14ac:dyDescent="0.2">
      <c r="A197" s="588">
        <v>12</v>
      </c>
      <c r="B197" s="587" t="s">
        <v>712</v>
      </c>
      <c r="C197" s="589">
        <v>251662045</v>
      </c>
      <c r="D197" s="589">
        <v>267793841</v>
      </c>
      <c r="E197" s="622">
        <f t="shared" si="22"/>
        <v>16131796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823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824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658</v>
      </c>
      <c r="C203" s="629">
        <v>4958.6850000000004</v>
      </c>
      <c r="D203" s="629">
        <v>4991.4549999999999</v>
      </c>
      <c r="E203" s="630">
        <f t="shared" ref="E203:E211" si="23">D203-C203</f>
        <v>32.769999999999527</v>
      </c>
    </row>
    <row r="204" spans="1:5" s="421" customFormat="1" x14ac:dyDescent="0.2">
      <c r="A204" s="588">
        <v>2</v>
      </c>
      <c r="B204" s="587" t="s">
        <v>637</v>
      </c>
      <c r="C204" s="629">
        <v>7.6623000000000001</v>
      </c>
      <c r="D204" s="629">
        <v>35.089999999999996</v>
      </c>
      <c r="E204" s="630">
        <f t="shared" si="23"/>
        <v>27.427699999999994</v>
      </c>
    </row>
    <row r="205" spans="1:5" s="421" customFormat="1" x14ac:dyDescent="0.2">
      <c r="A205" s="588">
        <v>3</v>
      </c>
      <c r="B205" s="587" t="s">
        <v>779</v>
      </c>
      <c r="C205" s="629">
        <f>C206+C207</f>
        <v>5311.1936000000005</v>
      </c>
      <c r="D205" s="629">
        <f>D206+D207</f>
        <v>5296.0031999999992</v>
      </c>
      <c r="E205" s="630">
        <f t="shared" si="23"/>
        <v>-15.190400000001318</v>
      </c>
    </row>
    <row r="206" spans="1:5" s="421" customFormat="1" x14ac:dyDescent="0.2">
      <c r="A206" s="588">
        <v>4</v>
      </c>
      <c r="B206" s="587" t="s">
        <v>115</v>
      </c>
      <c r="C206" s="629">
        <v>5311.1936000000005</v>
      </c>
      <c r="D206" s="629">
        <v>5296.0031999999992</v>
      </c>
      <c r="E206" s="630">
        <f t="shared" si="23"/>
        <v>-15.190400000001318</v>
      </c>
    </row>
    <row r="207" spans="1:5" s="421" customFormat="1" x14ac:dyDescent="0.2">
      <c r="A207" s="588">
        <v>5</v>
      </c>
      <c r="B207" s="587" t="s">
        <v>745</v>
      </c>
      <c r="C207" s="629">
        <v>0</v>
      </c>
      <c r="D207" s="629">
        <v>0</v>
      </c>
      <c r="E207" s="630">
        <f t="shared" si="23"/>
        <v>0</v>
      </c>
    </row>
    <row r="208" spans="1:5" s="421" customFormat="1" x14ac:dyDescent="0.2">
      <c r="A208" s="588">
        <v>6</v>
      </c>
      <c r="B208" s="587" t="s">
        <v>424</v>
      </c>
      <c r="C208" s="629">
        <v>95.823999999999998</v>
      </c>
      <c r="D208" s="629">
        <v>99.491</v>
      </c>
      <c r="E208" s="630">
        <f t="shared" si="23"/>
        <v>3.6670000000000016</v>
      </c>
    </row>
    <row r="209" spans="1:5" s="421" customFormat="1" x14ac:dyDescent="0.2">
      <c r="A209" s="588">
        <v>7</v>
      </c>
      <c r="B209" s="587" t="s">
        <v>760</v>
      </c>
      <c r="C209" s="629">
        <v>68.263199999999998</v>
      </c>
      <c r="D209" s="629">
        <v>57.438699999999997</v>
      </c>
      <c r="E209" s="630">
        <f t="shared" si="23"/>
        <v>-10.8245</v>
      </c>
    </row>
    <row r="210" spans="1:5" s="421" customFormat="1" x14ac:dyDescent="0.2">
      <c r="A210" s="588"/>
      <c r="B210" s="592" t="s">
        <v>825</v>
      </c>
      <c r="C210" s="631">
        <f>C204+C205+C208</f>
        <v>5414.6799000000001</v>
      </c>
      <c r="D210" s="631">
        <f>D204+D205+D208</f>
        <v>5430.5841999999993</v>
      </c>
      <c r="E210" s="632">
        <f t="shared" si="23"/>
        <v>15.904299999999239</v>
      </c>
    </row>
    <row r="211" spans="1:5" s="421" customFormat="1" x14ac:dyDescent="0.2">
      <c r="A211" s="588"/>
      <c r="B211" s="592" t="s">
        <v>726</v>
      </c>
      <c r="C211" s="631">
        <f>C210+C203</f>
        <v>10373.3649</v>
      </c>
      <c r="D211" s="631">
        <f>D210+D203</f>
        <v>10422.039199999999</v>
      </c>
      <c r="E211" s="632">
        <f t="shared" si="23"/>
        <v>48.674299999998766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826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658</v>
      </c>
      <c r="C215" s="633">
        <f>IF(C14*C137=0,0,C25/C14*C137)</f>
        <v>2432.5528224717623</v>
      </c>
      <c r="D215" s="633">
        <f>IF(D14*D137=0,0,D25/D14*D137)</f>
        <v>2070.584410663851</v>
      </c>
      <c r="E215" s="633">
        <f t="shared" ref="E215:E223" si="24">D215-C215</f>
        <v>-361.96841180791125</v>
      </c>
    </row>
    <row r="216" spans="1:5" s="421" customFormat="1" x14ac:dyDescent="0.2">
      <c r="A216" s="588">
        <v>2</v>
      </c>
      <c r="B216" s="587" t="s">
        <v>637</v>
      </c>
      <c r="C216" s="633">
        <f>IF(C15*C138=0,0,C26/C15*C138)</f>
        <v>0.86067203911251067</v>
      </c>
      <c r="D216" s="633">
        <f>IF(D15*D138=0,0,D26/D15*D138)</f>
        <v>6.8889415498109363</v>
      </c>
      <c r="E216" s="633">
        <f t="shared" si="24"/>
        <v>6.0282695106984256</v>
      </c>
    </row>
    <row r="217" spans="1:5" s="421" customFormat="1" x14ac:dyDescent="0.2">
      <c r="A217" s="588">
        <v>3</v>
      </c>
      <c r="B217" s="587" t="s">
        <v>779</v>
      </c>
      <c r="C217" s="633">
        <f>C218+C219</f>
        <v>2217.4653092747558</v>
      </c>
      <c r="D217" s="633">
        <f>D218+D219</f>
        <v>2140.829748210766</v>
      </c>
      <c r="E217" s="633">
        <f t="shared" si="24"/>
        <v>-76.635561063989826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2217.4653092747558</v>
      </c>
      <c r="D218" s="633">
        <f t="shared" si="25"/>
        <v>2140.829748210766</v>
      </c>
      <c r="E218" s="633">
        <f t="shared" si="24"/>
        <v>-76.635561063989826</v>
      </c>
    </row>
    <row r="219" spans="1:5" s="421" customFormat="1" x14ac:dyDescent="0.2">
      <c r="A219" s="588">
        <v>5</v>
      </c>
      <c r="B219" s="587" t="s">
        <v>745</v>
      </c>
      <c r="C219" s="633">
        <f t="shared" si="25"/>
        <v>0</v>
      </c>
      <c r="D219" s="633">
        <f t="shared" si="25"/>
        <v>0</v>
      </c>
      <c r="E219" s="633">
        <f t="shared" si="24"/>
        <v>0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18.051218268111626</v>
      </c>
      <c r="D220" s="633">
        <f t="shared" si="25"/>
        <v>22.14317405450549</v>
      </c>
      <c r="E220" s="633">
        <f t="shared" si="24"/>
        <v>4.0919557863938643</v>
      </c>
    </row>
    <row r="221" spans="1:5" s="421" customFormat="1" x14ac:dyDescent="0.2">
      <c r="A221" s="588">
        <v>7</v>
      </c>
      <c r="B221" s="587" t="s">
        <v>760</v>
      </c>
      <c r="C221" s="633">
        <f t="shared" si="25"/>
        <v>117.85095165450483</v>
      </c>
      <c r="D221" s="633">
        <f t="shared" si="25"/>
        <v>75.513517974213514</v>
      </c>
      <c r="E221" s="633">
        <f t="shared" si="24"/>
        <v>-42.337433680291312</v>
      </c>
    </row>
    <row r="222" spans="1:5" s="421" customFormat="1" x14ac:dyDescent="0.2">
      <c r="A222" s="588"/>
      <c r="B222" s="592" t="s">
        <v>827</v>
      </c>
      <c r="C222" s="634">
        <f>C216+C218+C219+C220</f>
        <v>2236.3771995819802</v>
      </c>
      <c r="D222" s="634">
        <f>D216+D218+D219+D220</f>
        <v>2169.8618638150824</v>
      </c>
      <c r="E222" s="634">
        <f t="shared" si="24"/>
        <v>-66.515335766897806</v>
      </c>
    </row>
    <row r="223" spans="1:5" s="421" customFormat="1" x14ac:dyDescent="0.2">
      <c r="A223" s="588"/>
      <c r="B223" s="592" t="s">
        <v>828</v>
      </c>
      <c r="C223" s="634">
        <f>C215+C222</f>
        <v>4668.9300220537425</v>
      </c>
      <c r="D223" s="634">
        <f>D215+D222</f>
        <v>4240.4462744789334</v>
      </c>
      <c r="E223" s="634">
        <f t="shared" si="24"/>
        <v>-428.48374757480906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829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658</v>
      </c>
      <c r="C227" s="636">
        <f t="shared" ref="C227:D235" si="26">IF(C203=0,0,C47/C203)</f>
        <v>16442.870841765507</v>
      </c>
      <c r="D227" s="636">
        <f t="shared" si="26"/>
        <v>19179.363732619047</v>
      </c>
      <c r="E227" s="636">
        <f t="shared" ref="E227:E235" si="27">D227-C227</f>
        <v>2736.4928908535403</v>
      </c>
    </row>
    <row r="228" spans="1:5" s="421" customFormat="1" x14ac:dyDescent="0.2">
      <c r="A228" s="588">
        <v>2</v>
      </c>
      <c r="B228" s="587" t="s">
        <v>637</v>
      </c>
      <c r="C228" s="636">
        <f t="shared" si="26"/>
        <v>296799.39443770144</v>
      </c>
      <c r="D228" s="636">
        <f t="shared" si="26"/>
        <v>57511.199772014828</v>
      </c>
      <c r="E228" s="636">
        <f t="shared" si="27"/>
        <v>-239288.19466568661</v>
      </c>
    </row>
    <row r="229" spans="1:5" s="421" customFormat="1" x14ac:dyDescent="0.2">
      <c r="A229" s="588">
        <v>3</v>
      </c>
      <c r="B229" s="587" t="s">
        <v>779</v>
      </c>
      <c r="C229" s="636">
        <f t="shared" si="26"/>
        <v>9775.8997148964772</v>
      </c>
      <c r="D229" s="636">
        <f t="shared" si="26"/>
        <v>9926.969077360076</v>
      </c>
      <c r="E229" s="636">
        <f t="shared" si="27"/>
        <v>151.06936246359874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9775.8997148964772</v>
      </c>
      <c r="D230" s="636">
        <f t="shared" si="26"/>
        <v>9926.969077360076</v>
      </c>
      <c r="E230" s="636">
        <f t="shared" si="27"/>
        <v>151.06936246359874</v>
      </c>
    </row>
    <row r="231" spans="1:5" s="421" customFormat="1" x14ac:dyDescent="0.2">
      <c r="A231" s="588">
        <v>5</v>
      </c>
      <c r="B231" s="587" t="s">
        <v>745</v>
      </c>
      <c r="C231" s="636">
        <f t="shared" si="26"/>
        <v>0</v>
      </c>
      <c r="D231" s="636">
        <f t="shared" si="26"/>
        <v>0</v>
      </c>
      <c r="E231" s="636">
        <f t="shared" si="27"/>
        <v>0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16784.448572382702</v>
      </c>
      <c r="D232" s="636">
        <f t="shared" si="26"/>
        <v>17305.565327517063</v>
      </c>
      <c r="E232" s="636">
        <f t="shared" si="27"/>
        <v>521.11675513436057</v>
      </c>
    </row>
    <row r="233" spans="1:5" s="421" customFormat="1" x14ac:dyDescent="0.2">
      <c r="A233" s="588">
        <v>7</v>
      </c>
      <c r="B233" s="587" t="s">
        <v>760</v>
      </c>
      <c r="C233" s="636">
        <f t="shared" si="26"/>
        <v>7796.2943430721098</v>
      </c>
      <c r="D233" s="636">
        <f t="shared" si="26"/>
        <v>6510.1055560101468</v>
      </c>
      <c r="E233" s="636">
        <f t="shared" si="27"/>
        <v>-1286.188787061963</v>
      </c>
    </row>
    <row r="234" spans="1:5" x14ac:dyDescent="0.2">
      <c r="A234" s="588"/>
      <c r="B234" s="592" t="s">
        <v>830</v>
      </c>
      <c r="C234" s="637">
        <f t="shared" si="26"/>
        <v>10306.096764833688</v>
      </c>
      <c r="D234" s="637">
        <f t="shared" si="26"/>
        <v>10369.616587475066</v>
      </c>
      <c r="E234" s="637">
        <f t="shared" si="27"/>
        <v>63.519822641377687</v>
      </c>
    </row>
    <row r="235" spans="1:5" s="421" customFormat="1" x14ac:dyDescent="0.2">
      <c r="A235" s="588"/>
      <c r="B235" s="592" t="s">
        <v>831</v>
      </c>
      <c r="C235" s="637">
        <f t="shared" si="26"/>
        <v>13239.602898766243</v>
      </c>
      <c r="D235" s="637">
        <f t="shared" si="26"/>
        <v>14588.892258244434</v>
      </c>
      <c r="E235" s="637">
        <f t="shared" si="27"/>
        <v>1349.2893594781908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832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658</v>
      </c>
      <c r="C239" s="636">
        <f t="shared" ref="C239:D247" si="28">IF(C215=0,0,C58/C215)</f>
        <v>20515.564775810461</v>
      </c>
      <c r="D239" s="636">
        <f t="shared" si="28"/>
        <v>26316.288154864407</v>
      </c>
      <c r="E239" s="638">
        <f t="shared" ref="E239:E247" si="29">D239-C239</f>
        <v>5800.7233790539467</v>
      </c>
    </row>
    <row r="240" spans="1:5" s="421" customFormat="1" x14ac:dyDescent="0.2">
      <c r="A240" s="588">
        <v>2</v>
      </c>
      <c r="B240" s="587" t="s">
        <v>637</v>
      </c>
      <c r="C240" s="636">
        <f t="shared" si="28"/>
        <v>786986.17965844669</v>
      </c>
      <c r="D240" s="636">
        <f t="shared" si="28"/>
        <v>112253.81931440877</v>
      </c>
      <c r="E240" s="638">
        <f t="shared" si="29"/>
        <v>-674732.36034403788</v>
      </c>
    </row>
    <row r="241" spans="1:5" x14ac:dyDescent="0.2">
      <c r="A241" s="588">
        <v>3</v>
      </c>
      <c r="B241" s="587" t="s">
        <v>779</v>
      </c>
      <c r="C241" s="636">
        <f t="shared" si="28"/>
        <v>14622.278357357809</v>
      </c>
      <c r="D241" s="636">
        <f t="shared" si="28"/>
        <v>11229.516975879205</v>
      </c>
      <c r="E241" s="638">
        <f t="shared" si="29"/>
        <v>-3392.7613814786037</v>
      </c>
    </row>
    <row r="242" spans="1:5" x14ac:dyDescent="0.2">
      <c r="A242" s="588">
        <v>4</v>
      </c>
      <c r="B242" s="587" t="s">
        <v>115</v>
      </c>
      <c r="C242" s="636">
        <f t="shared" si="28"/>
        <v>14622.278357357809</v>
      </c>
      <c r="D242" s="636">
        <f t="shared" si="28"/>
        <v>11229.516975879205</v>
      </c>
      <c r="E242" s="638">
        <f t="shared" si="29"/>
        <v>-3392.7613814786037</v>
      </c>
    </row>
    <row r="243" spans="1:5" x14ac:dyDescent="0.2">
      <c r="A243" s="588">
        <v>5</v>
      </c>
      <c r="B243" s="587" t="s">
        <v>745</v>
      </c>
      <c r="C243" s="636">
        <f t="shared" si="28"/>
        <v>0</v>
      </c>
      <c r="D243" s="636">
        <f t="shared" si="28"/>
        <v>0</v>
      </c>
      <c r="E243" s="638">
        <f t="shared" si="29"/>
        <v>0</v>
      </c>
    </row>
    <row r="244" spans="1:5" x14ac:dyDescent="0.2">
      <c r="A244" s="588">
        <v>6</v>
      </c>
      <c r="B244" s="587" t="s">
        <v>424</v>
      </c>
      <c r="C244" s="636">
        <f t="shared" si="28"/>
        <v>36429.784972557041</v>
      </c>
      <c r="D244" s="636">
        <f t="shared" si="28"/>
        <v>39016.854488582678</v>
      </c>
      <c r="E244" s="638">
        <f t="shared" si="29"/>
        <v>2587.0695160256364</v>
      </c>
    </row>
    <row r="245" spans="1:5" x14ac:dyDescent="0.2">
      <c r="A245" s="588">
        <v>7</v>
      </c>
      <c r="B245" s="587" t="s">
        <v>760</v>
      </c>
      <c r="C245" s="636">
        <f t="shared" si="28"/>
        <v>7391.6670826196241</v>
      </c>
      <c r="D245" s="636">
        <f t="shared" si="28"/>
        <v>5991.9867612910348</v>
      </c>
      <c r="E245" s="638">
        <f t="shared" si="29"/>
        <v>-1399.6803213285893</v>
      </c>
    </row>
    <row r="246" spans="1:5" ht="25.5" x14ac:dyDescent="0.2">
      <c r="A246" s="588"/>
      <c r="B246" s="592" t="s">
        <v>833</v>
      </c>
      <c r="C246" s="637">
        <f t="shared" si="28"/>
        <v>15095.545602195478</v>
      </c>
      <c r="D246" s="637">
        <f t="shared" si="28"/>
        <v>11833.818285028065</v>
      </c>
      <c r="E246" s="639">
        <f t="shared" si="29"/>
        <v>-3261.7273171674133</v>
      </c>
    </row>
    <row r="247" spans="1:5" x14ac:dyDescent="0.2">
      <c r="A247" s="588"/>
      <c r="B247" s="592" t="s">
        <v>834</v>
      </c>
      <c r="C247" s="637">
        <f t="shared" si="28"/>
        <v>17919.422352618196</v>
      </c>
      <c r="D247" s="637">
        <f t="shared" si="28"/>
        <v>18905.521214238477</v>
      </c>
      <c r="E247" s="639">
        <f t="shared" si="29"/>
        <v>986.09886162028124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762</v>
      </c>
      <c r="B249" s="626" t="s">
        <v>759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1712690157.271276</v>
      </c>
      <c r="D251" s="622">
        <f>((IF((IF(D15=0,0,D26/D15)*D138)=0,0,D59/(IF(D15=0,0,D26/D15)*D138)))-(IF((IF(D17=0,0,D28/D17)*D140)=0,0,D61/(IF(D17=0,0,D28/D17)*D140))))*(IF(D17=0,0,D28/D17)*D140)</f>
        <v>216275831.73856255</v>
      </c>
      <c r="E251" s="622">
        <f>D251-C251</f>
        <v>-1496414325.5327134</v>
      </c>
    </row>
    <row r="252" spans="1:5" x14ac:dyDescent="0.2">
      <c r="A252" s="588">
        <v>2</v>
      </c>
      <c r="B252" s="587" t="s">
        <v>745</v>
      </c>
      <c r="C252" s="622">
        <f>IF(C231=0,0,(C228-C231)*C207)+IF(C243=0,0,(C240-C243)*C219)</f>
        <v>0</v>
      </c>
      <c r="D252" s="622">
        <f>IF(D231=0,0,(D228-D231)*D207)+IF(D243=0,0,(D240-D243)*D219)</f>
        <v>0</v>
      </c>
      <c r="E252" s="622">
        <f>D252-C252</f>
        <v>0</v>
      </c>
    </row>
    <row r="253" spans="1:5" x14ac:dyDescent="0.2">
      <c r="A253" s="588">
        <v>3</v>
      </c>
      <c r="B253" s="587" t="s">
        <v>760</v>
      </c>
      <c r="C253" s="622">
        <f>IF(C233=0,0,(C228-C233)*C209+IF(C221=0,0,(C240-C245)*C221))</f>
        <v>111604231.63407075</v>
      </c>
      <c r="D253" s="622">
        <f>IF(D233=0,0,(D228-D233)*D209+IF(D221=0,0,(D240-D245)*D221))</f>
        <v>10953641.35281755</v>
      </c>
      <c r="E253" s="622">
        <f>D253-C253</f>
        <v>-100650590.2812532</v>
      </c>
    </row>
    <row r="254" spans="1:5" ht="15" customHeight="1" x14ac:dyDescent="0.2">
      <c r="A254" s="588"/>
      <c r="B254" s="592" t="s">
        <v>761</v>
      </c>
      <c r="C254" s="640">
        <f>+C251+C252+C253</f>
        <v>1824294388.9053469</v>
      </c>
      <c r="D254" s="640">
        <f>+D251+D252+D253</f>
        <v>227229473.09138012</v>
      </c>
      <c r="E254" s="640">
        <f>D254-C254</f>
        <v>-1597064915.8139668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835</v>
      </c>
      <c r="B256" s="626" t="s">
        <v>836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727</v>
      </c>
      <c r="C258" s="622">
        <f>+C44</f>
        <v>506581501</v>
      </c>
      <c r="D258" s="625">
        <f>+D44</f>
        <v>574813439</v>
      </c>
      <c r="E258" s="622">
        <f t="shared" ref="E258:E271" si="30">D258-C258</f>
        <v>68231938</v>
      </c>
    </row>
    <row r="259" spans="1:5" x14ac:dyDescent="0.2">
      <c r="A259" s="588">
        <v>2</v>
      </c>
      <c r="B259" s="587" t="s">
        <v>744</v>
      </c>
      <c r="C259" s="622">
        <f>+(C43-C76)</f>
        <v>183102992</v>
      </c>
      <c r="D259" s="625">
        <f>+(D43-D76)</f>
        <v>221223323</v>
      </c>
      <c r="E259" s="622">
        <f t="shared" si="30"/>
        <v>38120331</v>
      </c>
    </row>
    <row r="260" spans="1:5" x14ac:dyDescent="0.2">
      <c r="A260" s="588">
        <v>3</v>
      </c>
      <c r="B260" s="587" t="s">
        <v>748</v>
      </c>
      <c r="C260" s="622">
        <f>C195</f>
        <v>5258804</v>
      </c>
      <c r="D260" s="622">
        <f>D195</f>
        <v>5976835</v>
      </c>
      <c r="E260" s="622">
        <f t="shared" si="30"/>
        <v>718031</v>
      </c>
    </row>
    <row r="261" spans="1:5" x14ac:dyDescent="0.2">
      <c r="A261" s="588">
        <v>4</v>
      </c>
      <c r="B261" s="587" t="s">
        <v>749</v>
      </c>
      <c r="C261" s="622">
        <f>C188</f>
        <v>100994257</v>
      </c>
      <c r="D261" s="622">
        <f>D188</f>
        <v>116760624</v>
      </c>
      <c r="E261" s="622">
        <f t="shared" si="30"/>
        <v>15766367</v>
      </c>
    </row>
    <row r="262" spans="1:5" x14ac:dyDescent="0.2">
      <c r="A262" s="588">
        <v>5</v>
      </c>
      <c r="B262" s="587" t="s">
        <v>750</v>
      </c>
      <c r="C262" s="622">
        <f>C191</f>
        <v>0</v>
      </c>
      <c r="D262" s="622">
        <f>D191</f>
        <v>0</v>
      </c>
      <c r="E262" s="622">
        <f t="shared" si="30"/>
        <v>0</v>
      </c>
    </row>
    <row r="263" spans="1:5" x14ac:dyDescent="0.2">
      <c r="A263" s="588">
        <v>6</v>
      </c>
      <c r="B263" s="587" t="s">
        <v>751</v>
      </c>
      <c r="C263" s="622">
        <f>+C259+C260+C261+C262</f>
        <v>289356053</v>
      </c>
      <c r="D263" s="622">
        <f>+D259+D260+D261+D262</f>
        <v>343960782</v>
      </c>
      <c r="E263" s="622">
        <f t="shared" si="30"/>
        <v>54604729</v>
      </c>
    </row>
    <row r="264" spans="1:5" x14ac:dyDescent="0.2">
      <c r="A264" s="588">
        <v>7</v>
      </c>
      <c r="B264" s="587" t="s">
        <v>656</v>
      </c>
      <c r="C264" s="622">
        <f>+C258-C263</f>
        <v>217225448</v>
      </c>
      <c r="D264" s="622">
        <f>+D258-D263</f>
        <v>230852657</v>
      </c>
      <c r="E264" s="622">
        <f t="shared" si="30"/>
        <v>13627209</v>
      </c>
    </row>
    <row r="265" spans="1:5" x14ac:dyDescent="0.2">
      <c r="A265" s="588">
        <v>8</v>
      </c>
      <c r="B265" s="587" t="s">
        <v>837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838</v>
      </c>
      <c r="C266" s="622">
        <f>+C264+C265</f>
        <v>217225448</v>
      </c>
      <c r="D266" s="622">
        <f>+D264+D265</f>
        <v>230852657</v>
      </c>
      <c r="E266" s="641">
        <f t="shared" si="30"/>
        <v>13627209</v>
      </c>
    </row>
    <row r="267" spans="1:5" x14ac:dyDescent="0.2">
      <c r="A267" s="588">
        <v>10</v>
      </c>
      <c r="B267" s="587" t="s">
        <v>839</v>
      </c>
      <c r="C267" s="642">
        <f>IF(C258=0,0,C266/C258)</f>
        <v>0.4288065149856311</v>
      </c>
      <c r="D267" s="642">
        <f>IF(D258=0,0,D266/D258)</f>
        <v>0.40161318670908808</v>
      </c>
      <c r="E267" s="643">
        <f t="shared" si="30"/>
        <v>-2.7193328276543027E-2</v>
      </c>
    </row>
    <row r="268" spans="1:5" x14ac:dyDescent="0.2">
      <c r="A268" s="588">
        <v>11</v>
      </c>
      <c r="B268" s="587" t="s">
        <v>718</v>
      </c>
      <c r="C268" s="622">
        <f>+C260*C267</f>
        <v>2255009.416232497</v>
      </c>
      <c r="D268" s="644">
        <f>+D260*D267</f>
        <v>2400375.7507844125</v>
      </c>
      <c r="E268" s="622">
        <f t="shared" si="30"/>
        <v>145366.33455191553</v>
      </c>
    </row>
    <row r="269" spans="1:5" x14ac:dyDescent="0.2">
      <c r="A269" s="588">
        <v>12</v>
      </c>
      <c r="B269" s="587" t="s">
        <v>840</v>
      </c>
      <c r="C269" s="622">
        <f>((C17+C18+C28+C29)*C267)-(C50+C51+C61+C62)</f>
        <v>30202669.552778721</v>
      </c>
      <c r="D269" s="644">
        <f>((D17+D18+D28+D29)*D267)-(D50+D51+D61+D62)</f>
        <v>42554152.909577444</v>
      </c>
      <c r="E269" s="622">
        <f t="shared" si="30"/>
        <v>12351483.356798723</v>
      </c>
    </row>
    <row r="270" spans="1:5" s="648" customFormat="1" x14ac:dyDescent="0.2">
      <c r="A270" s="645">
        <v>13</v>
      </c>
      <c r="B270" s="646" t="s">
        <v>841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842</v>
      </c>
      <c r="C271" s="622">
        <f>+C268+C269+C270</f>
        <v>32457678.969011217</v>
      </c>
      <c r="D271" s="622">
        <f>+D268+D269+D270</f>
        <v>44954528.660361856</v>
      </c>
      <c r="E271" s="625">
        <f t="shared" si="30"/>
        <v>12496849.691350639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843</v>
      </c>
      <c r="B273" s="626" t="s">
        <v>844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845</v>
      </c>
      <c r="C275" s="425"/>
      <c r="D275" s="425"/>
      <c r="E275" s="596"/>
    </row>
    <row r="276" spans="1:5" x14ac:dyDescent="0.2">
      <c r="A276" s="588">
        <v>1</v>
      </c>
      <c r="B276" s="587" t="s">
        <v>658</v>
      </c>
      <c r="C276" s="623">
        <f t="shared" ref="C276:D284" si="31">IF(C14=0,0,+C47/C14)</f>
        <v>0.61403574951762785</v>
      </c>
      <c r="D276" s="623">
        <f t="shared" si="31"/>
        <v>0.59780182018305861</v>
      </c>
      <c r="E276" s="650">
        <f t="shared" ref="E276:E284" si="32">D276-C276</f>
        <v>-1.6233929334569241E-2</v>
      </c>
    </row>
    <row r="277" spans="1:5" x14ac:dyDescent="0.2">
      <c r="A277" s="588">
        <v>2</v>
      </c>
      <c r="B277" s="587" t="s">
        <v>637</v>
      </c>
      <c r="C277" s="623">
        <f t="shared" si="31"/>
        <v>5.8890586480495539</v>
      </c>
      <c r="D277" s="623">
        <f t="shared" si="31"/>
        <v>2.5990758008180759</v>
      </c>
      <c r="E277" s="650">
        <f t="shared" si="32"/>
        <v>-3.289982847231478</v>
      </c>
    </row>
    <row r="278" spans="1:5" x14ac:dyDescent="0.2">
      <c r="A278" s="588">
        <v>3</v>
      </c>
      <c r="B278" s="587" t="s">
        <v>779</v>
      </c>
      <c r="C278" s="623">
        <f t="shared" si="31"/>
        <v>0.32142930833761441</v>
      </c>
      <c r="D278" s="623">
        <f t="shared" si="31"/>
        <v>0.29017069020294978</v>
      </c>
      <c r="E278" s="650">
        <f t="shared" si="32"/>
        <v>-3.1258618134664629E-2</v>
      </c>
    </row>
    <row r="279" spans="1:5" x14ac:dyDescent="0.2">
      <c r="A279" s="588">
        <v>4</v>
      </c>
      <c r="B279" s="587" t="s">
        <v>115</v>
      </c>
      <c r="C279" s="623">
        <f t="shared" si="31"/>
        <v>0.32142930833761441</v>
      </c>
      <c r="D279" s="623">
        <f t="shared" si="31"/>
        <v>0.29017069020294978</v>
      </c>
      <c r="E279" s="650">
        <f t="shared" si="32"/>
        <v>-3.1258618134664629E-2</v>
      </c>
    </row>
    <row r="280" spans="1:5" x14ac:dyDescent="0.2">
      <c r="A280" s="588">
        <v>5</v>
      </c>
      <c r="B280" s="587" t="s">
        <v>745</v>
      </c>
      <c r="C280" s="623">
        <f t="shared" si="31"/>
        <v>0</v>
      </c>
      <c r="D280" s="623">
        <f t="shared" si="31"/>
        <v>0</v>
      </c>
      <c r="E280" s="650">
        <f t="shared" si="32"/>
        <v>0</v>
      </c>
    </row>
    <row r="281" spans="1:5" x14ac:dyDescent="0.2">
      <c r="A281" s="588">
        <v>6</v>
      </c>
      <c r="B281" s="587" t="s">
        <v>424</v>
      </c>
      <c r="C281" s="623">
        <f t="shared" si="31"/>
        <v>0.42817297586252062</v>
      </c>
      <c r="D281" s="623">
        <f t="shared" si="31"/>
        <v>0.41606688202849967</v>
      </c>
      <c r="E281" s="650">
        <f t="shared" si="32"/>
        <v>-1.2106093834020948E-2</v>
      </c>
    </row>
    <row r="282" spans="1:5" x14ac:dyDescent="0.2">
      <c r="A282" s="588">
        <v>7</v>
      </c>
      <c r="B282" s="587" t="s">
        <v>760</v>
      </c>
      <c r="C282" s="623">
        <f t="shared" si="31"/>
        <v>0.30545234151431355</v>
      </c>
      <c r="D282" s="623">
        <f t="shared" si="31"/>
        <v>0.22280124004883453</v>
      </c>
      <c r="E282" s="650">
        <f t="shared" si="32"/>
        <v>-8.2651101465479021E-2</v>
      </c>
    </row>
    <row r="283" spans="1:5" ht="29.25" customHeight="1" x14ac:dyDescent="0.2">
      <c r="A283" s="588"/>
      <c r="B283" s="592" t="s">
        <v>846</v>
      </c>
      <c r="C283" s="651">
        <f t="shared" si="31"/>
        <v>0.33682682479849757</v>
      </c>
      <c r="D283" s="651">
        <f t="shared" si="31"/>
        <v>0.30260380190295316</v>
      </c>
      <c r="E283" s="652">
        <f t="shared" si="32"/>
        <v>-3.4223022895544408E-2</v>
      </c>
    </row>
    <row r="284" spans="1:5" x14ac:dyDescent="0.2">
      <c r="A284" s="588"/>
      <c r="B284" s="592" t="s">
        <v>847</v>
      </c>
      <c r="C284" s="651">
        <f t="shared" si="31"/>
        <v>0.46015691760285454</v>
      </c>
      <c r="D284" s="651">
        <f t="shared" si="31"/>
        <v>0.43913896569056515</v>
      </c>
      <c r="E284" s="652">
        <f t="shared" si="32"/>
        <v>-2.101795191228939E-2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848</v>
      </c>
      <c r="C286" s="596"/>
      <c r="D286" s="596"/>
      <c r="E286" s="596"/>
    </row>
    <row r="287" spans="1:5" x14ac:dyDescent="0.2">
      <c r="A287" s="588">
        <v>1</v>
      </c>
      <c r="B287" s="587" t="s">
        <v>658</v>
      </c>
      <c r="C287" s="623">
        <f t="shared" ref="C287:D295" si="33">IF(C25=0,0,+C58/C25)</f>
        <v>0.49347809517586477</v>
      </c>
      <c r="D287" s="623">
        <f t="shared" si="33"/>
        <v>0.48888586472228068</v>
      </c>
      <c r="E287" s="650">
        <f t="shared" ref="E287:E295" si="34">D287-C287</f>
        <v>-4.5922304535840897E-3</v>
      </c>
    </row>
    <row r="288" spans="1:5" x14ac:dyDescent="0.2">
      <c r="A288" s="588">
        <v>2</v>
      </c>
      <c r="B288" s="587" t="s">
        <v>637</v>
      </c>
      <c r="C288" s="623">
        <f t="shared" si="33"/>
        <v>6.1138119651947864</v>
      </c>
      <c r="D288" s="623">
        <f t="shared" si="33"/>
        <v>2.8914405791032274</v>
      </c>
      <c r="E288" s="650">
        <f t="shared" si="34"/>
        <v>-3.222371386091559</v>
      </c>
    </row>
    <row r="289" spans="1:5" x14ac:dyDescent="0.2">
      <c r="A289" s="588">
        <v>3</v>
      </c>
      <c r="B289" s="587" t="s">
        <v>779</v>
      </c>
      <c r="C289" s="623">
        <f t="shared" si="33"/>
        <v>0.30704886360255257</v>
      </c>
      <c r="D289" s="623">
        <f t="shared" si="33"/>
        <v>0.20806596839321737</v>
      </c>
      <c r="E289" s="650">
        <f t="shared" si="34"/>
        <v>-9.8982895209335203E-2</v>
      </c>
    </row>
    <row r="290" spans="1:5" x14ac:dyDescent="0.2">
      <c r="A290" s="588">
        <v>4</v>
      </c>
      <c r="B290" s="587" t="s">
        <v>115</v>
      </c>
      <c r="C290" s="623">
        <f t="shared" si="33"/>
        <v>0.30704886360255257</v>
      </c>
      <c r="D290" s="623">
        <f t="shared" si="33"/>
        <v>0.20806596839321737</v>
      </c>
      <c r="E290" s="650">
        <f t="shared" si="34"/>
        <v>-9.8982895209335203E-2</v>
      </c>
    </row>
    <row r="291" spans="1:5" x14ac:dyDescent="0.2">
      <c r="A291" s="588">
        <v>5</v>
      </c>
      <c r="B291" s="587" t="s">
        <v>745</v>
      </c>
      <c r="C291" s="623">
        <f t="shared" si="33"/>
        <v>0</v>
      </c>
      <c r="D291" s="623">
        <f t="shared" si="33"/>
        <v>0</v>
      </c>
      <c r="E291" s="650">
        <f t="shared" si="34"/>
        <v>0</v>
      </c>
    </row>
    <row r="292" spans="1:5" x14ac:dyDescent="0.2">
      <c r="A292" s="588">
        <v>6</v>
      </c>
      <c r="B292" s="587" t="s">
        <v>424</v>
      </c>
      <c r="C292" s="623">
        <f t="shared" si="33"/>
        <v>0.51400856678339168</v>
      </c>
      <c r="D292" s="623">
        <f t="shared" si="33"/>
        <v>0.65999987777171731</v>
      </c>
      <c r="E292" s="650">
        <f t="shared" si="34"/>
        <v>0.14599131098832563</v>
      </c>
    </row>
    <row r="293" spans="1:5" x14ac:dyDescent="0.2">
      <c r="A293" s="588">
        <v>7</v>
      </c>
      <c r="B293" s="587" t="s">
        <v>760</v>
      </c>
      <c r="C293" s="623">
        <f t="shared" si="33"/>
        <v>0.30545235870310339</v>
      </c>
      <c r="D293" s="623">
        <f t="shared" si="33"/>
        <v>0.1678006637470893</v>
      </c>
      <c r="E293" s="650">
        <f t="shared" si="34"/>
        <v>-0.13765169495601409</v>
      </c>
    </row>
    <row r="294" spans="1:5" ht="29.25" customHeight="1" x14ac:dyDescent="0.2">
      <c r="A294" s="588"/>
      <c r="B294" s="592" t="s">
        <v>849</v>
      </c>
      <c r="C294" s="651">
        <f t="shared" si="33"/>
        <v>0.31553651116397863</v>
      </c>
      <c r="D294" s="651">
        <f t="shared" si="33"/>
        <v>0.21924481663657891</v>
      </c>
      <c r="E294" s="652">
        <f t="shared" si="34"/>
        <v>-9.6291694527399718E-2</v>
      </c>
    </row>
    <row r="295" spans="1:5" x14ac:dyDescent="0.2">
      <c r="A295" s="588"/>
      <c r="B295" s="592" t="s">
        <v>850</v>
      </c>
      <c r="C295" s="651">
        <f t="shared" si="33"/>
        <v>0.40200184061325533</v>
      </c>
      <c r="D295" s="651">
        <f t="shared" si="33"/>
        <v>0.35072611464656056</v>
      </c>
      <c r="E295" s="652">
        <f t="shared" si="34"/>
        <v>-5.1275725966694774E-2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851</v>
      </c>
      <c r="B297" s="579" t="s">
        <v>852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853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656</v>
      </c>
      <c r="C301" s="590">
        <f>+C48+C47+C50+C51+C52+C59+C58+C61+C62+C63</f>
        <v>221003761</v>
      </c>
      <c r="D301" s="590">
        <f>+D48+D47+D50+D51+D52+D59+D58+D61+D62+D63</f>
        <v>232213854</v>
      </c>
      <c r="E301" s="590">
        <f>D301-C301</f>
        <v>11210093</v>
      </c>
    </row>
    <row r="302" spans="1:5" ht="25.5" x14ac:dyDescent="0.2">
      <c r="A302" s="588">
        <v>2</v>
      </c>
      <c r="B302" s="587" t="s">
        <v>854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855</v>
      </c>
      <c r="C303" s="593">
        <f>+C301+C302</f>
        <v>221003761</v>
      </c>
      <c r="D303" s="593">
        <f>+D301+D302</f>
        <v>232213854</v>
      </c>
      <c r="E303" s="593">
        <f>D303-C303</f>
        <v>11210093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856</v>
      </c>
      <c r="C305" s="589">
        <v>10193874</v>
      </c>
      <c r="D305" s="654">
        <v>7101022</v>
      </c>
      <c r="E305" s="655">
        <f>D305-C305</f>
        <v>-3092852</v>
      </c>
    </row>
    <row r="306" spans="1:5" x14ac:dyDescent="0.2">
      <c r="A306" s="588">
        <v>4</v>
      </c>
      <c r="B306" s="592" t="s">
        <v>857</v>
      </c>
      <c r="C306" s="593">
        <f>+C303+C305+C194+C190-C191</f>
        <v>235746414</v>
      </c>
      <c r="D306" s="593">
        <f>+D303+D305</f>
        <v>239314876</v>
      </c>
      <c r="E306" s="656">
        <f>D306-C306</f>
        <v>3568462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858</v>
      </c>
      <c r="C308" s="589">
        <v>231197635</v>
      </c>
      <c r="D308" s="589">
        <v>239314874</v>
      </c>
      <c r="E308" s="590">
        <f>D308-C308</f>
        <v>8117239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859</v>
      </c>
      <c r="C310" s="657">
        <f>C306-C308</f>
        <v>4548779</v>
      </c>
      <c r="D310" s="658">
        <f>D306-D308</f>
        <v>2</v>
      </c>
      <c r="E310" s="656">
        <f>D310-C310</f>
        <v>-4548777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860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861</v>
      </c>
      <c r="C314" s="590">
        <f>+C14+C15+C16+C19+C25+C26+C27+C30</f>
        <v>506581501</v>
      </c>
      <c r="D314" s="590">
        <f>+D14+D15+D16+D19+D25+D26+D27+D30</f>
        <v>574813439</v>
      </c>
      <c r="E314" s="590">
        <f>D314-C314</f>
        <v>68231938</v>
      </c>
    </row>
    <row r="315" spans="1:5" x14ac:dyDescent="0.2">
      <c r="A315" s="588">
        <v>2</v>
      </c>
      <c r="B315" s="659" t="s">
        <v>862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863</v>
      </c>
      <c r="C316" s="657">
        <f>C314+C315</f>
        <v>506581501</v>
      </c>
      <c r="D316" s="657">
        <f>D314+D315</f>
        <v>574813439</v>
      </c>
      <c r="E316" s="593">
        <f>D316-C316</f>
        <v>68231938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864</v>
      </c>
      <c r="C318" s="589">
        <v>506581501</v>
      </c>
      <c r="D318" s="589">
        <v>574813439</v>
      </c>
      <c r="E318" s="590">
        <f>D318-C318</f>
        <v>68231938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859</v>
      </c>
      <c r="C320" s="657">
        <f>C316-C318</f>
        <v>0</v>
      </c>
      <c r="D320" s="657">
        <f>D316-D318</f>
        <v>0</v>
      </c>
      <c r="E320" s="593">
        <f>D320-C320</f>
        <v>0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865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866</v>
      </c>
      <c r="C324" s="589">
        <f>+C193+C194</f>
        <v>5258804</v>
      </c>
      <c r="D324" s="589">
        <f>+D193+D194</f>
        <v>5976835</v>
      </c>
      <c r="E324" s="590">
        <f>D324-C324</f>
        <v>718031</v>
      </c>
    </row>
    <row r="325" spans="1:5" x14ac:dyDescent="0.2">
      <c r="A325" s="588">
        <v>2</v>
      </c>
      <c r="B325" s="587" t="s">
        <v>867</v>
      </c>
      <c r="C325" s="589">
        <v>4399371</v>
      </c>
      <c r="D325" s="589">
        <v>1570481</v>
      </c>
      <c r="E325" s="590">
        <f>D325-C325</f>
        <v>-2828890</v>
      </c>
    </row>
    <row r="326" spans="1:5" x14ac:dyDescent="0.2">
      <c r="A326" s="588"/>
      <c r="B326" s="592" t="s">
        <v>868</v>
      </c>
      <c r="C326" s="657">
        <f>C324+C325</f>
        <v>9658175</v>
      </c>
      <c r="D326" s="657">
        <f>D324+D325</f>
        <v>7547316</v>
      </c>
      <c r="E326" s="593">
        <f>D326-C326</f>
        <v>-2110859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869</v>
      </c>
      <c r="C328" s="589">
        <v>9658176</v>
      </c>
      <c r="D328" s="589">
        <v>7547316</v>
      </c>
      <c r="E328" s="590">
        <f>D328-C328</f>
        <v>-2110860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870</v>
      </c>
      <c r="C330" s="657">
        <f>C326-C328</f>
        <v>-1</v>
      </c>
      <c r="D330" s="657">
        <f>D326-D328</f>
        <v>0</v>
      </c>
      <c r="E330" s="593">
        <f>D330-C330</f>
        <v>1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25" right="0.25" top="0.5" bottom="0.5" header="0.25" footer="0.25"/>
  <pageSetup scale="72" fitToHeight="0" orientation="portrait" horizontalDpi="1200" verticalDpi="1200" r:id="rId1"/>
  <headerFooter>
    <oddHeader>&amp;LOFFICE OF HEALTH CARE ACCESS&amp;CTWELVE MONTHS ACTUAL FILING&amp;RCT CHILDREN`S MEDICAL CENTER</oddHeader>
    <oddFooter>&amp;LREPORT 100&amp;CPAGE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631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871</v>
      </c>
      <c r="B5" s="824"/>
      <c r="C5" s="825"/>
      <c r="D5" s="661"/>
    </row>
    <row r="6" spans="1:58" s="662" customFormat="1" ht="15.75" customHeight="1" x14ac:dyDescent="0.25">
      <c r="A6" s="823" t="s">
        <v>872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873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874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778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658</v>
      </c>
      <c r="C14" s="589">
        <v>160141585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637</v>
      </c>
      <c r="C15" s="591">
        <v>776456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779</v>
      </c>
      <c r="C16" s="591">
        <v>181180463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181180463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745</v>
      </c>
      <c r="C18" s="591">
        <v>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4138152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760</v>
      </c>
      <c r="C20" s="591">
        <v>1678321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780</v>
      </c>
      <c r="C21" s="593">
        <f>SUM(C15+C16+C19)</f>
        <v>186095071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346236656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781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658</v>
      </c>
      <c r="C25" s="589">
        <v>111457704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637</v>
      </c>
      <c r="C26" s="591">
        <v>267448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779</v>
      </c>
      <c r="C27" s="591">
        <v>115542605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115542605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745</v>
      </c>
      <c r="C29" s="591">
        <v>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1309026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760</v>
      </c>
      <c r="C31" s="594">
        <v>2696509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782</v>
      </c>
      <c r="C32" s="593">
        <f>SUM(C26+C27+C30)</f>
        <v>117119079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228576783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655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875</v>
      </c>
      <c r="C36" s="590">
        <f>SUM(C14+C25)</f>
        <v>271599289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876</v>
      </c>
      <c r="C37" s="594">
        <f>SUM(C21+C32)</f>
        <v>303214150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655</v>
      </c>
      <c r="C38" s="593">
        <f>SUM(+C36+C37)</f>
        <v>574813439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791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658</v>
      </c>
      <c r="C41" s="589">
        <v>95732931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637</v>
      </c>
      <c r="C42" s="591">
        <v>2018068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779</v>
      </c>
      <c r="C43" s="591">
        <v>52573260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52573260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745</v>
      </c>
      <c r="C45" s="591">
        <v>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1721748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760</v>
      </c>
      <c r="C47" s="591">
        <v>373932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792</v>
      </c>
      <c r="C48" s="593">
        <f>SUM(C42+C43+C46)</f>
        <v>56313076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152046007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793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658</v>
      </c>
      <c r="C52" s="589">
        <v>54490096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637</v>
      </c>
      <c r="C53" s="591">
        <v>773310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779</v>
      </c>
      <c r="C54" s="591">
        <v>24040484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24040484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745</v>
      </c>
      <c r="C56" s="591">
        <v>0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863957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760</v>
      </c>
      <c r="C58" s="591">
        <v>452476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794</v>
      </c>
      <c r="C59" s="593">
        <f>SUM(C53+C54+C57)</f>
        <v>25677751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80167847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656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877</v>
      </c>
      <c r="C63" s="590">
        <f>SUM(C41+C52)</f>
        <v>150223027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878</v>
      </c>
      <c r="C64" s="594">
        <f>SUM(C48+C59)</f>
        <v>81990827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656</v>
      </c>
      <c r="C65" s="593">
        <f>SUM(+C63+C64)</f>
        <v>232213854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879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880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658</v>
      </c>
      <c r="C70" s="606">
        <v>2975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637</v>
      </c>
      <c r="C71" s="606">
        <v>20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779</v>
      </c>
      <c r="C72" s="606">
        <v>3357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3357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745</v>
      </c>
      <c r="C74" s="606">
        <v>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70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760</v>
      </c>
      <c r="C76" s="621">
        <v>47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809</v>
      </c>
      <c r="C77" s="608">
        <f>SUM(C71+C72+C75)</f>
        <v>3447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6422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813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658</v>
      </c>
      <c r="C81" s="617">
        <v>1.6778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637</v>
      </c>
      <c r="C82" s="617">
        <v>1.7544999999999999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779</v>
      </c>
      <c r="C83" s="617">
        <f>((C73*C84)+(C74*C85))/(C73+C74)</f>
        <v>1.5775999999999997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1.5775999999999999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745</v>
      </c>
      <c r="C85" s="617">
        <v>0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1.4213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760</v>
      </c>
      <c r="C87" s="617">
        <v>1.2221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814</v>
      </c>
      <c r="C88" s="619">
        <f>((C71*C82)+(C73*C84)+(C74*C85)+(C75*C86))/(C71+C73+C74+C75)</f>
        <v>1.5754523353640846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725</v>
      </c>
      <c r="C89" s="619">
        <f>((C70*C81)+(C71*C82)+(C73*C84)+(C74*C85)+(C75*C86))/(C70+C71+C73+C74+C75)</f>
        <v>1.6228650264715041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815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816</v>
      </c>
      <c r="C92" s="589">
        <v>267224459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817</v>
      </c>
      <c r="C93" s="622">
        <v>150463835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670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749</v>
      </c>
      <c r="C95" s="589">
        <f>+C92-C93</f>
        <v>116760624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672</v>
      </c>
      <c r="C96" s="681">
        <f>(+C92-C93)/C92</f>
        <v>0.43693838669161644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764</v>
      </c>
      <c r="C98" s="589">
        <v>0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750</v>
      </c>
      <c r="C99" s="589">
        <v>0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881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819</v>
      </c>
      <c r="C103" s="589">
        <v>1431441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820</v>
      </c>
      <c r="C104" s="589">
        <v>4545394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821</v>
      </c>
      <c r="C105" s="654">
        <f>+C103+C104</f>
        <v>5976835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822</v>
      </c>
      <c r="C107" s="589">
        <v>28586425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712</v>
      </c>
      <c r="C108" s="589">
        <v>267793841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852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853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656</v>
      </c>
      <c r="C114" s="590">
        <f>+C65</f>
        <v>232213854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854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855</v>
      </c>
      <c r="C116" s="593">
        <f>+C114+C115</f>
        <v>232213854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856</v>
      </c>
      <c r="C118" s="654">
        <v>7101022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857</v>
      </c>
      <c r="C119" s="656">
        <f>+C116+C118</f>
        <v>239314876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858</v>
      </c>
      <c r="C121" s="589">
        <v>239314874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859</v>
      </c>
      <c r="C123" s="658">
        <f>C119-C121</f>
        <v>2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860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861</v>
      </c>
      <c r="C127" s="590">
        <f>C38</f>
        <v>574813439</v>
      </c>
      <c r="D127" s="664"/>
      <c r="AR127" s="485"/>
    </row>
    <row r="128" spans="1:58" s="421" customFormat="1" ht="12.75" x14ac:dyDescent="0.2">
      <c r="A128" s="588">
        <v>2</v>
      </c>
      <c r="B128" s="659" t="s">
        <v>862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863</v>
      </c>
      <c r="C129" s="657">
        <f>C127+C128</f>
        <v>574813439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864</v>
      </c>
      <c r="C131" s="589">
        <v>574813439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859</v>
      </c>
      <c r="C133" s="657">
        <f>C129-C131</f>
        <v>0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865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866</v>
      </c>
      <c r="C137" s="589">
        <f>C105</f>
        <v>5976835</v>
      </c>
      <c r="D137" s="664"/>
      <c r="AR137" s="485"/>
    </row>
    <row r="138" spans="1:44" s="421" customFormat="1" ht="12.75" x14ac:dyDescent="0.2">
      <c r="A138" s="588">
        <v>2</v>
      </c>
      <c r="B138" s="669" t="s">
        <v>882</v>
      </c>
      <c r="C138" s="589">
        <v>1570481</v>
      </c>
      <c r="D138" s="664"/>
      <c r="AR138" s="485"/>
    </row>
    <row r="139" spans="1:44" s="421" customFormat="1" ht="12.75" x14ac:dyDescent="0.2">
      <c r="A139" s="588"/>
      <c r="B139" s="671" t="s">
        <v>868</v>
      </c>
      <c r="C139" s="657">
        <f>C137+C138</f>
        <v>7547316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883</v>
      </c>
      <c r="C141" s="589">
        <v>7547316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870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25" right="0.25" top="0.5" bottom="0.5" header="0.25" footer="0.25"/>
  <pageSetup scale="79" fitToHeight="0" orientation="portrait" horizontalDpi="1200" verticalDpi="1200" r:id="rId1"/>
  <headerFooter>
    <oddHeader>&amp;LOFFICE OF HEALTH CARE ACCESS&amp;CTWELVE MONTHS ACTUAL FILING&amp;RCT CHILDREN`S MEDICAL CENTER</oddHeader>
    <oddFooter>&amp;LREPORT 100&amp;CPAGE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sqref="A1:F1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9"/>
      <c r="B1" s="830"/>
      <c r="C1" s="830"/>
      <c r="D1" s="830"/>
      <c r="E1" s="830"/>
      <c r="F1" s="831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631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884</v>
      </c>
      <c r="B5" s="833"/>
      <c r="C5" s="833"/>
      <c r="D5" s="833"/>
      <c r="E5" s="833"/>
      <c r="F5" s="834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634</v>
      </c>
      <c r="D8" s="177" t="s">
        <v>634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885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886</v>
      </c>
      <c r="C12" s="185">
        <v>156</v>
      </c>
      <c r="D12" s="185">
        <v>591</v>
      </c>
      <c r="E12" s="185">
        <f>+D12-C12</f>
        <v>435</v>
      </c>
      <c r="F12" s="77">
        <f>IF(C12=0,0,+E12/C12)</f>
        <v>2.7884615384615383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887</v>
      </c>
      <c r="C13" s="185">
        <v>143</v>
      </c>
      <c r="D13" s="185">
        <v>492</v>
      </c>
      <c r="E13" s="185">
        <f>+D13-C13</f>
        <v>349</v>
      </c>
      <c r="F13" s="77">
        <f>IF(C13=0,0,+E13/C13)</f>
        <v>2.4405594405594404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888</v>
      </c>
      <c r="C15" s="76">
        <v>710025</v>
      </c>
      <c r="D15" s="76">
        <v>1431441</v>
      </c>
      <c r="E15" s="76">
        <f>+D15-C15</f>
        <v>721416</v>
      </c>
      <c r="F15" s="77">
        <f>IF(C15=0,0,+E15/C15)</f>
        <v>1.0160430970740466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889</v>
      </c>
      <c r="C16" s="79">
        <f>IF(C13=0,0,+C15/+C13)</f>
        <v>4965.2097902097903</v>
      </c>
      <c r="D16" s="79">
        <f>IF(D13=0,0,+D15/+D13)</f>
        <v>2909.4329268292681</v>
      </c>
      <c r="E16" s="79">
        <f>+D16-C16</f>
        <v>-2055.7768633805222</v>
      </c>
      <c r="F16" s="80">
        <f>IF(C16=0,0,+E16/C16)</f>
        <v>-0.41403625430571411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890</v>
      </c>
      <c r="C18" s="704">
        <v>0.46009</v>
      </c>
      <c r="D18" s="704">
        <v>0.46916000000000002</v>
      </c>
      <c r="E18" s="704">
        <f>+D18-C18</f>
        <v>9.0700000000000225E-3</v>
      </c>
      <c r="F18" s="77">
        <f>IF(C18=0,0,+E18/C18)</f>
        <v>1.9713534308504907E-2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891</v>
      </c>
      <c r="C19" s="79">
        <f>+C15*C18</f>
        <v>326675.40224999998</v>
      </c>
      <c r="D19" s="79">
        <f>+D15*D18</f>
        <v>671574.85956000001</v>
      </c>
      <c r="E19" s="79">
        <f>+D19-C19</f>
        <v>344899.45731000003</v>
      </c>
      <c r="F19" s="80">
        <f>IF(C19=0,0,+E19/C19)</f>
        <v>1.0557864318356405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892</v>
      </c>
      <c r="C20" s="79">
        <f>IF(C13=0,0,+C19/C13)</f>
        <v>2284.4433723776224</v>
      </c>
      <c r="D20" s="79">
        <f>IF(D13=0,0,+D19/D13)</f>
        <v>1364.9895519512195</v>
      </c>
      <c r="E20" s="79">
        <f>+D20-C20</f>
        <v>-919.4538204264029</v>
      </c>
      <c r="F20" s="80">
        <f>IF(C20=0,0,+E20/C20)</f>
        <v>-0.40248483790142975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893</v>
      </c>
      <c r="C22" s="76">
        <v>413190</v>
      </c>
      <c r="D22" s="76">
        <v>1005529</v>
      </c>
      <c r="E22" s="76">
        <f>+D22-C22</f>
        <v>592339</v>
      </c>
      <c r="F22" s="77">
        <f>IF(C22=0,0,+E22/C22)</f>
        <v>1.43357535274329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894</v>
      </c>
      <c r="C23" s="185">
        <v>200585</v>
      </c>
      <c r="D23" s="185">
        <v>132833</v>
      </c>
      <c r="E23" s="185">
        <f>+D23-C23</f>
        <v>-67752</v>
      </c>
      <c r="F23" s="77">
        <f>IF(C23=0,0,+E23/C23)</f>
        <v>-0.33777201685071168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895</v>
      </c>
      <c r="C24" s="185">
        <v>96250</v>
      </c>
      <c r="D24" s="185">
        <v>293079</v>
      </c>
      <c r="E24" s="185">
        <f>+D24-C24</f>
        <v>196829</v>
      </c>
      <c r="F24" s="77">
        <f>IF(C24=0,0,+E24/C24)</f>
        <v>2.0449766233766233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896</v>
      </c>
      <c r="C25" s="79">
        <f>+C22+C23+C24</f>
        <v>710025</v>
      </c>
      <c r="D25" s="79">
        <f>+D22+D23+D24</f>
        <v>1431441</v>
      </c>
      <c r="E25" s="79">
        <f>+E22+E23+E24</f>
        <v>721416</v>
      </c>
      <c r="F25" s="80">
        <f>IF(C25=0,0,+E25/C25)</f>
        <v>1.0160430970740466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897</v>
      </c>
      <c r="C27" s="185">
        <v>164</v>
      </c>
      <c r="D27" s="185">
        <v>706</v>
      </c>
      <c r="E27" s="185">
        <f>+D27-C27</f>
        <v>542</v>
      </c>
      <c r="F27" s="77">
        <f>IF(C27=0,0,+E27/C27)</f>
        <v>3.3048780487804876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898</v>
      </c>
      <c r="C28" s="185">
        <v>40</v>
      </c>
      <c r="D28" s="185">
        <v>75</v>
      </c>
      <c r="E28" s="185">
        <f>+D28-C28</f>
        <v>35</v>
      </c>
      <c r="F28" s="77">
        <f>IF(C28=0,0,+E28/C28)</f>
        <v>0.875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899</v>
      </c>
      <c r="C29" s="185">
        <v>96</v>
      </c>
      <c r="D29" s="185">
        <v>125</v>
      </c>
      <c r="E29" s="185">
        <f>+D29-C29</f>
        <v>29</v>
      </c>
      <c r="F29" s="77">
        <f>IF(C29=0,0,+E29/C29)</f>
        <v>0.30208333333333331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900</v>
      </c>
      <c r="C30" s="185">
        <v>242</v>
      </c>
      <c r="D30" s="185">
        <v>321</v>
      </c>
      <c r="E30" s="185">
        <f>+D30-C30</f>
        <v>79</v>
      </c>
      <c r="F30" s="77">
        <f>IF(C30=0,0,+E30/C30)</f>
        <v>0.32644628099173556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901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902</v>
      </c>
      <c r="C33" s="76">
        <v>1082610</v>
      </c>
      <c r="D33" s="76">
        <v>1081804</v>
      </c>
      <c r="E33" s="76">
        <f>+D33-C33</f>
        <v>-806</v>
      </c>
      <c r="F33" s="77">
        <f>IF(C33=0,0,+E33/C33)</f>
        <v>-7.4449709498341967E-4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903</v>
      </c>
      <c r="C34" s="185">
        <v>1501096</v>
      </c>
      <c r="D34" s="185">
        <v>1499979</v>
      </c>
      <c r="E34" s="185">
        <f>+D34-C34</f>
        <v>-1117</v>
      </c>
      <c r="F34" s="77">
        <f>IF(C34=0,0,+E34/C34)</f>
        <v>-7.4412296082329175E-4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904</v>
      </c>
      <c r="C35" s="185">
        <v>1965073</v>
      </c>
      <c r="D35" s="185">
        <v>1963611</v>
      </c>
      <c r="E35" s="185">
        <f>+D35-C35</f>
        <v>-1462</v>
      </c>
      <c r="F35" s="77">
        <f>IF(C35=0,0,+E35/C35)</f>
        <v>-7.4399271681001159E-4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905</v>
      </c>
      <c r="C36" s="79">
        <f>+C33+C34+C35</f>
        <v>4548779</v>
      </c>
      <c r="D36" s="79">
        <f>+D33+D34+D35</f>
        <v>4545394</v>
      </c>
      <c r="E36" s="79">
        <f>+E33+E34+E35</f>
        <v>-3385</v>
      </c>
      <c r="F36" s="80">
        <f>IF(C36=0,0,+E36/C36)</f>
        <v>-7.4415573937533562E-4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906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907</v>
      </c>
      <c r="C39" s="76">
        <f>+C25</f>
        <v>710025</v>
      </c>
      <c r="D39" s="76">
        <f>+D25</f>
        <v>1431441</v>
      </c>
      <c r="E39" s="76">
        <f>+D39-C39</f>
        <v>721416</v>
      </c>
      <c r="F39" s="77">
        <f>IF(C39=0,0,+E39/C39)</f>
        <v>1.0160430970740466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908</v>
      </c>
      <c r="C40" s="185">
        <f>+C36</f>
        <v>4548779</v>
      </c>
      <c r="D40" s="185">
        <f>+D36</f>
        <v>4545394</v>
      </c>
      <c r="E40" s="185">
        <f>+D40-C40</f>
        <v>-3385</v>
      </c>
      <c r="F40" s="77">
        <f>IF(C40=0,0,+E40/C40)</f>
        <v>-7.4415573937533562E-4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909</v>
      </c>
      <c r="C41" s="79">
        <f>+C39+C40</f>
        <v>5258804</v>
      </c>
      <c r="D41" s="79">
        <f>+D39+D40</f>
        <v>5976835</v>
      </c>
      <c r="E41" s="79">
        <f>+E39+E40</f>
        <v>718031</v>
      </c>
      <c r="F41" s="80">
        <f>IF(C41=0,0,+E41/C41)</f>
        <v>0.13653884039032449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910</v>
      </c>
      <c r="C43" s="76">
        <f t="shared" ref="C43:D45" si="0">+C22+C33</f>
        <v>1495800</v>
      </c>
      <c r="D43" s="76">
        <f t="shared" si="0"/>
        <v>2087333</v>
      </c>
      <c r="E43" s="76">
        <f>+D43-C43</f>
        <v>591533</v>
      </c>
      <c r="F43" s="77">
        <f>IF(C43=0,0,+E43/C43)</f>
        <v>0.3954626286936756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911</v>
      </c>
      <c r="C44" s="185">
        <f t="shared" si="0"/>
        <v>1701681</v>
      </c>
      <c r="D44" s="185">
        <f t="shared" si="0"/>
        <v>1632812</v>
      </c>
      <c r="E44" s="185">
        <f>+D44-C44</f>
        <v>-68869</v>
      </c>
      <c r="F44" s="77">
        <f>IF(C44=0,0,+E44/C44)</f>
        <v>-4.047115763765359E-2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912</v>
      </c>
      <c r="C45" s="185">
        <f t="shared" si="0"/>
        <v>2061323</v>
      </c>
      <c r="D45" s="185">
        <f t="shared" si="0"/>
        <v>2256690</v>
      </c>
      <c r="E45" s="185">
        <f>+D45-C45</f>
        <v>195367</v>
      </c>
      <c r="F45" s="77">
        <f>IF(C45=0,0,+E45/C45)</f>
        <v>9.4777480288145047E-2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909</v>
      </c>
      <c r="C46" s="79">
        <f>+C43+C44+C45</f>
        <v>5258804</v>
      </c>
      <c r="D46" s="79">
        <f>+D43+D44+D45</f>
        <v>5976835</v>
      </c>
      <c r="E46" s="79">
        <f>+E43+E44+E45</f>
        <v>718031</v>
      </c>
      <c r="F46" s="80">
        <f>IF(C46=0,0,+E46/C46)</f>
        <v>0.13653884039032449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26" t="s">
        <v>913</v>
      </c>
      <c r="B48" s="827"/>
      <c r="C48" s="827"/>
      <c r="D48" s="827"/>
      <c r="E48" s="827"/>
      <c r="F48" s="828"/>
    </row>
  </sheetData>
  <mergeCells count="6">
    <mergeCell ref="A48:F48"/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FILING&amp;RCT CHILDREN`S MEDICAL CENTER</oddHeader>
    <oddFooter>&amp;LREPORT 100&amp;CPAGE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/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631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914</v>
      </c>
      <c r="B5" s="833"/>
      <c r="C5" s="833"/>
      <c r="D5" s="833"/>
      <c r="E5" s="833"/>
      <c r="F5" s="834"/>
    </row>
    <row r="6" spans="1:14" ht="15.75" customHeight="1" x14ac:dyDescent="0.25">
      <c r="A6" s="832" t="s">
        <v>915</v>
      </c>
      <c r="B6" s="833"/>
      <c r="C6" s="833"/>
      <c r="D6" s="833"/>
      <c r="E6" s="833"/>
      <c r="F6" s="834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916</v>
      </c>
      <c r="D10" s="177" t="s">
        <v>916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917</v>
      </c>
      <c r="D11" s="693" t="s">
        <v>917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918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229320741</v>
      </c>
      <c r="D15" s="76">
        <v>267224459</v>
      </c>
      <c r="E15" s="76">
        <f>+D15-C15</f>
        <v>37903718</v>
      </c>
      <c r="F15" s="77">
        <f>IF(C15=0,0,E15/C15)</f>
        <v>0.16528691576136151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919</v>
      </c>
      <c r="C17" s="76">
        <v>100994257</v>
      </c>
      <c r="D17" s="76">
        <v>116760624</v>
      </c>
      <c r="E17" s="76">
        <f>+D17-C17</f>
        <v>15766367</v>
      </c>
      <c r="F17" s="77">
        <f>IF(C17=0,0,E17/C17)</f>
        <v>0.15611152028179187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920</v>
      </c>
      <c r="C19" s="79">
        <f>+C15-C17</f>
        <v>128326484</v>
      </c>
      <c r="D19" s="79">
        <f>+D15-D17</f>
        <v>150463835</v>
      </c>
      <c r="E19" s="79">
        <f>+D19-C19</f>
        <v>22137351</v>
      </c>
      <c r="F19" s="80">
        <f>IF(C19=0,0,E19/C19)</f>
        <v>0.17250804596189201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921</v>
      </c>
      <c r="C21" s="720">
        <f>IF(C15=0,0,C17/C15)</f>
        <v>0.44040611660155066</v>
      </c>
      <c r="D21" s="720">
        <f>IF(D15=0,0,D17/D15)</f>
        <v>0.43693838669161644</v>
      </c>
      <c r="E21" s="720">
        <f>+D21-C21</f>
        <v>-3.467729909934214E-3</v>
      </c>
      <c r="F21" s="80">
        <f>IF(C21=0,0,E21/C21)</f>
        <v>-7.8739367579482977E-3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922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rintOptions gridLines="1"/>
  <pageMargins left="0.25" right="0.25" top="0.5" bottom="0.5" header="0.25" footer="0.25"/>
  <pageSetup scale="67" fitToHeight="0" orientation="portrait" horizontalDpi="1200" verticalDpi="1200" r:id="rId1"/>
  <headerFooter>
    <oddHeader>&amp;LOFFICE OF HEALTH CARE ACCESS&amp;CTWELVE MONTHS ACTUAL FILING&amp;RCT CHILDREN`S MEDICAL CENTER</oddHeader>
    <oddFooter>&amp;LREPORT 100&amp;CPAGE &amp;P of &amp;N&amp;R&amp;D,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zoomScale="75" workbookViewId="0">
      <selection sqref="A1:E1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923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924</v>
      </c>
      <c r="B6" s="734" t="s">
        <v>925</v>
      </c>
      <c r="C6" s="734" t="s">
        <v>926</v>
      </c>
      <c r="D6" s="734" t="s">
        <v>927</v>
      </c>
      <c r="E6" s="734" t="s">
        <v>928</v>
      </c>
    </row>
    <row r="7" spans="1:6" ht="37.5" customHeight="1" x14ac:dyDescent="0.25">
      <c r="A7" s="735" t="s">
        <v>8</v>
      </c>
      <c r="B7" s="736" t="s">
        <v>9</v>
      </c>
      <c r="C7" s="737" t="s">
        <v>929</v>
      </c>
      <c r="D7" s="737" t="s">
        <v>930</v>
      </c>
      <c r="E7" s="737" t="s">
        <v>931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932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933</v>
      </c>
      <c r="C10" s="744">
        <v>252494049</v>
      </c>
      <c r="D10" s="744">
        <v>298461735</v>
      </c>
      <c r="E10" s="744">
        <v>346236656</v>
      </c>
    </row>
    <row r="11" spans="1:6" ht="26.1" customHeight="1" x14ac:dyDescent="0.25">
      <c r="A11" s="742">
        <v>2</v>
      </c>
      <c r="B11" s="743" t="s">
        <v>934</v>
      </c>
      <c r="C11" s="744">
        <v>182375521</v>
      </c>
      <c r="D11" s="744">
        <v>208119766</v>
      </c>
      <c r="E11" s="744">
        <v>228576783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434869570</v>
      </c>
      <c r="D12" s="744">
        <f>+D11+D10</f>
        <v>506581501</v>
      </c>
      <c r="E12" s="744">
        <f>+E11+E10</f>
        <v>574813439</v>
      </c>
    </row>
    <row r="13" spans="1:6" ht="26.1" customHeight="1" x14ac:dyDescent="0.25">
      <c r="A13" s="742">
        <v>4</v>
      </c>
      <c r="B13" s="743" t="s">
        <v>507</v>
      </c>
      <c r="C13" s="744">
        <v>202447507</v>
      </c>
      <c r="D13" s="744">
        <v>231197635</v>
      </c>
      <c r="E13" s="744">
        <v>239314874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935</v>
      </c>
      <c r="C16" s="744">
        <v>212457955</v>
      </c>
      <c r="D16" s="744">
        <v>251662045</v>
      </c>
      <c r="E16" s="744">
        <v>267793841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936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37834</v>
      </c>
      <c r="D19" s="747">
        <v>44449</v>
      </c>
      <c r="E19" s="747">
        <v>46107</v>
      </c>
    </row>
    <row r="20" spans="1:5" ht="26.1" customHeight="1" x14ac:dyDescent="0.25">
      <c r="A20" s="742">
        <v>2</v>
      </c>
      <c r="B20" s="743" t="s">
        <v>381</v>
      </c>
      <c r="C20" s="748">
        <v>6203</v>
      </c>
      <c r="D20" s="748">
        <v>6642</v>
      </c>
      <c r="E20" s="748">
        <v>6422</v>
      </c>
    </row>
    <row r="21" spans="1:5" ht="26.1" customHeight="1" x14ac:dyDescent="0.25">
      <c r="A21" s="742">
        <v>3</v>
      </c>
      <c r="B21" s="743" t="s">
        <v>937</v>
      </c>
      <c r="C21" s="749">
        <f>IF(C20=0,0,+C19/C20)</f>
        <v>6.0993067870385298</v>
      </c>
      <c r="D21" s="749">
        <f>IF(D20=0,0,+D19/D20)</f>
        <v>6.692110809996989</v>
      </c>
      <c r="E21" s="749">
        <f>IF(E20=0,0,+E19/E20)</f>
        <v>7.1795390843973843</v>
      </c>
    </row>
    <row r="22" spans="1:5" ht="26.1" customHeight="1" x14ac:dyDescent="0.25">
      <c r="A22" s="742">
        <v>4</v>
      </c>
      <c r="B22" s="743" t="s">
        <v>938</v>
      </c>
      <c r="C22" s="748">
        <f>IF(C10=0,0,C19*(C12/C10))</f>
        <v>65161.35875891475</v>
      </c>
      <c r="D22" s="748">
        <f>IF(D10=0,0,D19*(D12/D10))</f>
        <v>75443.644854336177</v>
      </c>
      <c r="E22" s="748">
        <f>IF(E10=0,0,E19*(E12/E10))</f>
        <v>76545.688541923184</v>
      </c>
    </row>
    <row r="23" spans="1:5" ht="26.1" customHeight="1" x14ac:dyDescent="0.25">
      <c r="A23" s="742">
        <v>0</v>
      </c>
      <c r="B23" s="743" t="s">
        <v>939</v>
      </c>
      <c r="C23" s="748">
        <f>IF(C10=0,0,C20*(C12/C10))</f>
        <v>10683.404038207649</v>
      </c>
      <c r="D23" s="748">
        <f>IF(D10=0,0,D20*(D12/D10))</f>
        <v>11273.519969459401</v>
      </c>
      <c r="E23" s="748">
        <f>IF(E10=0,0,E20*(E12/E10))</f>
        <v>10661.643824500199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940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1.3622803159761403</v>
      </c>
      <c r="D26" s="750">
        <v>1.5617833333333333</v>
      </c>
      <c r="E26" s="750">
        <v>1.6228650264715041</v>
      </c>
    </row>
    <row r="27" spans="1:5" ht="26.1" customHeight="1" x14ac:dyDescent="0.25">
      <c r="A27" s="742">
        <v>2</v>
      </c>
      <c r="B27" s="743" t="s">
        <v>941</v>
      </c>
      <c r="C27" s="748">
        <f>C19*C26</f>
        <v>51540.513474641295</v>
      </c>
      <c r="D27" s="748">
        <f>D19*D26</f>
        <v>69419.707383333327</v>
      </c>
      <c r="E27" s="748">
        <f>E19*E26</f>
        <v>74825.437775521641</v>
      </c>
    </row>
    <row r="28" spans="1:5" ht="26.1" customHeight="1" x14ac:dyDescent="0.25">
      <c r="A28" s="742">
        <v>3</v>
      </c>
      <c r="B28" s="743" t="s">
        <v>942</v>
      </c>
      <c r="C28" s="748">
        <f>C20*C26</f>
        <v>8450.2247999999981</v>
      </c>
      <c r="D28" s="748">
        <f>D20*D26</f>
        <v>10373.3649</v>
      </c>
      <c r="E28" s="748">
        <f>E20*E26</f>
        <v>10422.039199999999</v>
      </c>
    </row>
    <row r="29" spans="1:5" ht="26.1" customHeight="1" x14ac:dyDescent="0.25">
      <c r="A29" s="742">
        <v>4</v>
      </c>
      <c r="B29" s="743" t="s">
        <v>943</v>
      </c>
      <c r="C29" s="748">
        <f>C22*C26</f>
        <v>88768.036399529024</v>
      </c>
      <c r="D29" s="748">
        <f>D22*D26</f>
        <v>117826.62713942133</v>
      </c>
      <c r="E29" s="748">
        <f>E22*E26</f>
        <v>124223.32086186767</v>
      </c>
    </row>
    <row r="30" spans="1:5" ht="26.1" customHeight="1" x14ac:dyDescent="0.25">
      <c r="A30" s="742">
        <v>5</v>
      </c>
      <c r="B30" s="743" t="s">
        <v>944</v>
      </c>
      <c r="C30" s="748">
        <f>C23*C26</f>
        <v>14553.79102887029</v>
      </c>
      <c r="D30" s="748">
        <f>D23*D26</f>
        <v>17606.795596302203</v>
      </c>
      <c r="E30" s="748">
        <f>E23*E26</f>
        <v>17302.408887477264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945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946</v>
      </c>
      <c r="C33" s="744">
        <f>IF(C19=0,0,C12/C19)</f>
        <v>11494.14732780039</v>
      </c>
      <c r="D33" s="744">
        <f>IF(D19=0,0,D12/D19)</f>
        <v>11396.915588652164</v>
      </c>
      <c r="E33" s="744">
        <f>IF(E19=0,0,E12/E19)</f>
        <v>12466.945127637886</v>
      </c>
    </row>
    <row r="34" spans="1:5" ht="26.1" customHeight="1" x14ac:dyDescent="0.25">
      <c r="A34" s="742">
        <v>2</v>
      </c>
      <c r="B34" s="743" t="s">
        <v>947</v>
      </c>
      <c r="C34" s="744">
        <f>IF(C20=0,0,C12/C20)</f>
        <v>70106.330807673701</v>
      </c>
      <c r="D34" s="744">
        <f>IF(D20=0,0,D12/D20)</f>
        <v>76269.422011442337</v>
      </c>
      <c r="E34" s="744">
        <f>IF(E20=0,0,E12/E20)</f>
        <v>89506.919806913735</v>
      </c>
    </row>
    <row r="35" spans="1:5" ht="26.1" customHeight="1" x14ac:dyDescent="0.25">
      <c r="A35" s="742">
        <v>3</v>
      </c>
      <c r="B35" s="743" t="s">
        <v>948</v>
      </c>
      <c r="C35" s="744">
        <f>IF(C22=0,0,C12/C22)</f>
        <v>6673.733916582968</v>
      </c>
      <c r="D35" s="744">
        <f>IF(D22=0,0,D12/D22)</f>
        <v>6714.7007806699821</v>
      </c>
      <c r="E35" s="744">
        <f>IF(E22=0,0,E12/E22)</f>
        <v>7509.4162708482445</v>
      </c>
    </row>
    <row r="36" spans="1:5" ht="26.1" customHeight="1" x14ac:dyDescent="0.25">
      <c r="A36" s="742">
        <v>4</v>
      </c>
      <c r="B36" s="743" t="s">
        <v>949</v>
      </c>
      <c r="C36" s="744">
        <f>IF(C23=0,0,C12/C23)</f>
        <v>40705.150572303726</v>
      </c>
      <c r="D36" s="744">
        <f>IF(D23=0,0,D12/D23)</f>
        <v>44935.521680216807</v>
      </c>
      <c r="E36" s="744">
        <f>IF(E23=0,0,E12/E23)</f>
        <v>53914.147617564624</v>
      </c>
    </row>
    <row r="37" spans="1:5" ht="26.1" customHeight="1" x14ac:dyDescent="0.25">
      <c r="A37" s="742">
        <v>5</v>
      </c>
      <c r="B37" s="743" t="s">
        <v>950</v>
      </c>
      <c r="C37" s="744">
        <f>IF(C29=0,0,C12/C29)</f>
        <v>4898.9432191868027</v>
      </c>
      <c r="D37" s="744">
        <f>IF(D29=0,0,D12/D29)</f>
        <v>4299.380482143265</v>
      </c>
      <c r="E37" s="744">
        <f>IF(E29=0,0,E12/E29)</f>
        <v>4627.2586742321437</v>
      </c>
    </row>
    <row r="38" spans="1:5" ht="26.1" customHeight="1" x14ac:dyDescent="0.25">
      <c r="A38" s="742">
        <v>6</v>
      </c>
      <c r="B38" s="743" t="s">
        <v>951</v>
      </c>
      <c r="C38" s="744">
        <f>IF(C30=0,0,C12/C30)</f>
        <v>29880.157626102449</v>
      </c>
      <c r="D38" s="744">
        <f>IF(D30=0,0,D12/D30)</f>
        <v>28771.930600841006</v>
      </c>
      <c r="E38" s="744">
        <f>IF(E30=0,0,E12/E30)</f>
        <v>33221.584505266495</v>
      </c>
    </row>
    <row r="39" spans="1:5" ht="26.1" customHeight="1" x14ac:dyDescent="0.25">
      <c r="A39" s="742">
        <v>7</v>
      </c>
      <c r="B39" s="743" t="s">
        <v>952</v>
      </c>
      <c r="C39" s="744">
        <f>IF(C22=0,0,C10/C22)</f>
        <v>3874.9046031127486</v>
      </c>
      <c r="D39" s="744">
        <f>IF(D22=0,0,D10/D22)</f>
        <v>3956.0884893122407</v>
      </c>
      <c r="E39" s="744">
        <f>IF(E22=0,0,E10/E22)</f>
        <v>4523.2679017626215</v>
      </c>
    </row>
    <row r="40" spans="1:5" ht="26.1" customHeight="1" x14ac:dyDescent="0.25">
      <c r="A40" s="742">
        <v>8</v>
      </c>
      <c r="B40" s="743" t="s">
        <v>953</v>
      </c>
      <c r="C40" s="744">
        <f>IF(C23=0,0,C10/C23)</f>
        <v>23634.231944892428</v>
      </c>
      <c r="D40" s="744">
        <f>IF(D23=0,0,D10/D23)</f>
        <v>26474.582544631099</v>
      </c>
      <c r="E40" s="744">
        <f>IF(E23=0,0,E10/E23)</f>
        <v>32474.978689904885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954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955</v>
      </c>
      <c r="C43" s="744">
        <f>IF(C19=0,0,C13/C19)</f>
        <v>5350.9411376010994</v>
      </c>
      <c r="D43" s="744">
        <f>IF(D19=0,0,D13/D19)</f>
        <v>5201.413642601633</v>
      </c>
      <c r="E43" s="744">
        <f>IF(E19=0,0,E13/E19)</f>
        <v>5190.4238835751621</v>
      </c>
    </row>
    <row r="44" spans="1:5" ht="26.1" customHeight="1" x14ac:dyDescent="0.25">
      <c r="A44" s="742">
        <v>2</v>
      </c>
      <c r="B44" s="743" t="s">
        <v>956</v>
      </c>
      <c r="C44" s="744">
        <f>IF(C20=0,0,C13/C20)</f>
        <v>32637.031597614059</v>
      </c>
      <c r="D44" s="744">
        <f>IF(D20=0,0,D13/D20)</f>
        <v>34808.436464920203</v>
      </c>
      <c r="E44" s="744">
        <f>IF(E20=0,0,E13/E20)</f>
        <v>37264.851136717531</v>
      </c>
    </row>
    <row r="45" spans="1:5" ht="26.1" customHeight="1" x14ac:dyDescent="0.25">
      <c r="A45" s="742">
        <v>3</v>
      </c>
      <c r="B45" s="743" t="s">
        <v>957</v>
      </c>
      <c r="C45" s="744">
        <f>IF(C22=0,0,C13/C22)</f>
        <v>3106.864418665964</v>
      </c>
      <c r="D45" s="744">
        <f>IF(D22=0,0,D13/D22)</f>
        <v>3064.507758690449</v>
      </c>
      <c r="E45" s="744">
        <f>IF(E22=0,0,E13/E22)</f>
        <v>3126.4317894133255</v>
      </c>
    </row>
    <row r="46" spans="1:5" ht="26.1" customHeight="1" x14ac:dyDescent="0.25">
      <c r="A46" s="742">
        <v>4</v>
      </c>
      <c r="B46" s="743" t="s">
        <v>958</v>
      </c>
      <c r="C46" s="744">
        <f>IF(C23=0,0,C13/C23)</f>
        <v>18949.719235177832</v>
      </c>
      <c r="D46" s="744">
        <f>IF(D23=0,0,D13/D23)</f>
        <v>20508.025499251999</v>
      </c>
      <c r="E46" s="744">
        <f>IF(E23=0,0,E13/E23)</f>
        <v>22446.339226795422</v>
      </c>
    </row>
    <row r="47" spans="1:5" ht="26.1" customHeight="1" x14ac:dyDescent="0.25">
      <c r="A47" s="742">
        <v>5</v>
      </c>
      <c r="B47" s="743" t="s">
        <v>959</v>
      </c>
      <c r="C47" s="744">
        <f>IF(C29=0,0,C13/C29)</f>
        <v>2280.635183691797</v>
      </c>
      <c r="D47" s="744">
        <f>IF(D29=0,0,D13/D29)</f>
        <v>1962.1849543943033</v>
      </c>
      <c r="E47" s="744">
        <f>IF(E29=0,0,E13/E29)</f>
        <v>1926.4891031701723</v>
      </c>
    </row>
    <row r="48" spans="1:5" ht="26.1" customHeight="1" x14ac:dyDescent="0.25">
      <c r="A48" s="742">
        <v>6</v>
      </c>
      <c r="B48" s="743" t="s">
        <v>960</v>
      </c>
      <c r="C48" s="744">
        <f>IF(C30=0,0,C13/C30)</f>
        <v>13910.293654650242</v>
      </c>
      <c r="D48" s="744">
        <f>IF(D30=0,0,D13/D30)</f>
        <v>13131.159144515563</v>
      </c>
      <c r="E48" s="744">
        <f>IF(E30=0,0,E13/E30)</f>
        <v>13831.303811875916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961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962</v>
      </c>
      <c r="C51" s="744">
        <f>IF(C19=0,0,C16/C19)</f>
        <v>5615.5298144526087</v>
      </c>
      <c r="D51" s="744">
        <f>IF(D19=0,0,D16/D19)</f>
        <v>5661.8156763931693</v>
      </c>
      <c r="E51" s="744">
        <f>IF(E19=0,0,E16/E19)</f>
        <v>5808.0951048647712</v>
      </c>
    </row>
    <row r="52" spans="1:6" ht="26.1" customHeight="1" x14ac:dyDescent="0.25">
      <c r="A52" s="742">
        <v>2</v>
      </c>
      <c r="B52" s="743" t="s">
        <v>963</v>
      </c>
      <c r="C52" s="744">
        <f>IF(C20=0,0,C16/C20)</f>
        <v>34250.839110108012</v>
      </c>
      <c r="D52" s="744">
        <f>IF(D20=0,0,D16/D20)</f>
        <v>37889.497892201143</v>
      </c>
      <c r="E52" s="744">
        <f>IF(E20=0,0,E16/E20)</f>
        <v>41699.445811273748</v>
      </c>
    </row>
    <row r="53" spans="1:6" ht="26.1" customHeight="1" x14ac:dyDescent="0.25">
      <c r="A53" s="742">
        <v>3</v>
      </c>
      <c r="B53" s="743" t="s">
        <v>964</v>
      </c>
      <c r="C53" s="744">
        <f>IF(C22=0,0,C16/C22)</f>
        <v>3260.4899444478442</v>
      </c>
      <c r="D53" s="744">
        <f>IF(D22=0,0,D16/D22)</f>
        <v>3335.7620179393484</v>
      </c>
      <c r="E53" s="744">
        <f>IF(E22=0,0,E16/E22)</f>
        <v>3498.4836651293876</v>
      </c>
    </row>
    <row r="54" spans="1:6" ht="26.1" customHeight="1" x14ac:dyDescent="0.25">
      <c r="A54" s="742">
        <v>4</v>
      </c>
      <c r="B54" s="743" t="s">
        <v>965</v>
      </c>
      <c r="C54" s="744">
        <f>IF(C23=0,0,C16/C23)</f>
        <v>19886.728447241614</v>
      </c>
      <c r="D54" s="744">
        <f>IF(D23=0,0,D16/D23)</f>
        <v>22323.289059829283</v>
      </c>
      <c r="E54" s="744">
        <f>IF(E23=0,0,E16/E23)</f>
        <v>25117.500209922247</v>
      </c>
    </row>
    <row r="55" spans="1:6" ht="26.1" customHeight="1" x14ac:dyDescent="0.25">
      <c r="A55" s="742">
        <v>5</v>
      </c>
      <c r="B55" s="743" t="s">
        <v>966</v>
      </c>
      <c r="C55" s="744">
        <f>IF(C29=0,0,C16/C29)</f>
        <v>2393.4060458853096</v>
      </c>
      <c r="D55" s="744">
        <f>IF(D29=0,0,D16/D29)</f>
        <v>2135.8673426356722</v>
      </c>
      <c r="E55" s="744">
        <f>IF(E29=0,0,E16/E29)</f>
        <v>2155.745307258193</v>
      </c>
    </row>
    <row r="56" spans="1:6" ht="26.1" customHeight="1" x14ac:dyDescent="0.25">
      <c r="A56" s="742">
        <v>6</v>
      </c>
      <c r="B56" s="743" t="s">
        <v>967</v>
      </c>
      <c r="C56" s="744">
        <f>IF(C30=0,0,C16/C30)</f>
        <v>14598.11773980732</v>
      </c>
      <c r="D56" s="744">
        <f>IF(D30=0,0,D16/D30)</f>
        <v>14293.460932371721</v>
      </c>
      <c r="E56" s="744">
        <f>IF(E30=0,0,E16/E30)</f>
        <v>15477.257689466442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968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969</v>
      </c>
      <c r="C59" s="752">
        <v>29076374</v>
      </c>
      <c r="D59" s="752">
        <v>30614095</v>
      </c>
      <c r="E59" s="752">
        <v>29967685</v>
      </c>
    </row>
    <row r="60" spans="1:6" ht="26.1" customHeight="1" x14ac:dyDescent="0.25">
      <c r="A60" s="742">
        <v>2</v>
      </c>
      <c r="B60" s="743" t="s">
        <v>970</v>
      </c>
      <c r="C60" s="752">
        <v>8257803</v>
      </c>
      <c r="D60" s="752">
        <v>8158437</v>
      </c>
      <c r="E60" s="752">
        <v>8711626</v>
      </c>
    </row>
    <row r="61" spans="1:6" ht="26.1" customHeight="1" x14ac:dyDescent="0.25">
      <c r="A61" s="753">
        <v>3</v>
      </c>
      <c r="B61" s="754" t="s">
        <v>971</v>
      </c>
      <c r="C61" s="755">
        <f>C59+C60</f>
        <v>37334177</v>
      </c>
      <c r="D61" s="755">
        <f>D59+D60</f>
        <v>38772532</v>
      </c>
      <c r="E61" s="755">
        <f>E59+E60</f>
        <v>38679311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972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973</v>
      </c>
      <c r="C64" s="744">
        <v>0</v>
      </c>
      <c r="D64" s="744">
        <v>0</v>
      </c>
      <c r="E64" s="752">
        <v>0</v>
      </c>
      <c r="F64" s="756"/>
    </row>
    <row r="65" spans="1:6" ht="26.1" customHeight="1" x14ac:dyDescent="0.25">
      <c r="A65" s="742">
        <v>2</v>
      </c>
      <c r="B65" s="743" t="s">
        <v>974</v>
      </c>
      <c r="C65" s="752">
        <v>0</v>
      </c>
      <c r="D65" s="752">
        <v>0</v>
      </c>
      <c r="E65" s="752">
        <v>0</v>
      </c>
      <c r="F65" s="756"/>
    </row>
    <row r="66" spans="1:6" ht="26.1" customHeight="1" x14ac:dyDescent="0.25">
      <c r="A66" s="753">
        <v>3</v>
      </c>
      <c r="B66" s="754" t="s">
        <v>975</v>
      </c>
      <c r="C66" s="757">
        <f>C64+C65</f>
        <v>0</v>
      </c>
      <c r="D66" s="757">
        <f>D64+D65</f>
        <v>0</v>
      </c>
      <c r="E66" s="757">
        <f>E64+E65</f>
        <v>0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976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977</v>
      </c>
      <c r="C69" s="752">
        <v>60735716</v>
      </c>
      <c r="D69" s="752">
        <v>67858609</v>
      </c>
      <c r="E69" s="752">
        <v>77662593</v>
      </c>
    </row>
    <row r="70" spans="1:6" ht="26.1" customHeight="1" x14ac:dyDescent="0.25">
      <c r="A70" s="742">
        <v>2</v>
      </c>
      <c r="B70" s="743" t="s">
        <v>978</v>
      </c>
      <c r="C70" s="752">
        <v>17249180</v>
      </c>
      <c r="D70" s="752">
        <v>18083833</v>
      </c>
      <c r="E70" s="752">
        <v>22576569</v>
      </c>
    </row>
    <row r="71" spans="1:6" ht="26.1" customHeight="1" x14ac:dyDescent="0.25">
      <c r="A71" s="753">
        <v>3</v>
      </c>
      <c r="B71" s="754" t="s">
        <v>979</v>
      </c>
      <c r="C71" s="755">
        <f>C69+C70</f>
        <v>77984896</v>
      </c>
      <c r="D71" s="755">
        <f>D69+D70</f>
        <v>85942442</v>
      </c>
      <c r="E71" s="755">
        <f>E69+E70</f>
        <v>100239162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980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981</v>
      </c>
      <c r="C75" s="744">
        <f t="shared" ref="C75:E76" si="0">+C59+C64+C69</f>
        <v>89812090</v>
      </c>
      <c r="D75" s="744">
        <f t="shared" si="0"/>
        <v>98472704</v>
      </c>
      <c r="E75" s="744">
        <f t="shared" si="0"/>
        <v>107630278</v>
      </c>
    </row>
    <row r="76" spans="1:6" ht="26.1" customHeight="1" x14ac:dyDescent="0.25">
      <c r="A76" s="742">
        <v>2</v>
      </c>
      <c r="B76" s="743" t="s">
        <v>982</v>
      </c>
      <c r="C76" s="744">
        <f t="shared" si="0"/>
        <v>25506983</v>
      </c>
      <c r="D76" s="744">
        <f t="shared" si="0"/>
        <v>26242270</v>
      </c>
      <c r="E76" s="744">
        <f t="shared" si="0"/>
        <v>31288195</v>
      </c>
    </row>
    <row r="77" spans="1:6" ht="26.1" customHeight="1" x14ac:dyDescent="0.25">
      <c r="A77" s="753">
        <v>3</v>
      </c>
      <c r="B77" s="754" t="s">
        <v>980</v>
      </c>
      <c r="C77" s="757">
        <f>C75+C76</f>
        <v>115319073</v>
      </c>
      <c r="D77" s="757">
        <f>D75+D76</f>
        <v>124714974</v>
      </c>
      <c r="E77" s="757">
        <f>E75+E76</f>
        <v>138918473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983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329.3</v>
      </c>
      <c r="D80" s="749">
        <v>341.1</v>
      </c>
      <c r="E80" s="749">
        <v>329.6</v>
      </c>
    </row>
    <row r="81" spans="1:5" ht="26.1" customHeight="1" x14ac:dyDescent="0.25">
      <c r="A81" s="742">
        <v>2</v>
      </c>
      <c r="B81" s="743" t="s">
        <v>617</v>
      </c>
      <c r="C81" s="749">
        <v>39</v>
      </c>
      <c r="D81" s="749">
        <v>42.9</v>
      </c>
      <c r="E81" s="749">
        <v>43.6</v>
      </c>
    </row>
    <row r="82" spans="1:5" ht="26.1" customHeight="1" x14ac:dyDescent="0.25">
      <c r="A82" s="742">
        <v>3</v>
      </c>
      <c r="B82" s="743" t="s">
        <v>984</v>
      </c>
      <c r="C82" s="749">
        <v>860.9</v>
      </c>
      <c r="D82" s="749">
        <v>947.9</v>
      </c>
      <c r="E82" s="749">
        <v>1056.5</v>
      </c>
    </row>
    <row r="83" spans="1:5" ht="26.1" customHeight="1" x14ac:dyDescent="0.25">
      <c r="A83" s="753">
        <v>4</v>
      </c>
      <c r="B83" s="754" t="s">
        <v>983</v>
      </c>
      <c r="C83" s="759">
        <f>C80+C81+C82</f>
        <v>1229.2</v>
      </c>
      <c r="D83" s="759">
        <f>D80+D81+D82</f>
        <v>1331.9</v>
      </c>
      <c r="E83" s="759">
        <f>E80+E81+E82</f>
        <v>1429.7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985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986</v>
      </c>
      <c r="C86" s="752">
        <f>IF(C80=0,0,C59/C80)</f>
        <v>88297.52201639842</v>
      </c>
      <c r="D86" s="752">
        <f>IF(D80=0,0,D59/D80)</f>
        <v>89751.084725886831</v>
      </c>
      <c r="E86" s="752">
        <f>IF(E80=0,0,E59/E80)</f>
        <v>90921.374393203878</v>
      </c>
    </row>
    <row r="87" spans="1:5" ht="26.1" customHeight="1" x14ac:dyDescent="0.25">
      <c r="A87" s="742">
        <v>2</v>
      </c>
      <c r="B87" s="743" t="s">
        <v>987</v>
      </c>
      <c r="C87" s="752">
        <f>IF(C80=0,0,C60/C80)</f>
        <v>25076.838748861221</v>
      </c>
      <c r="D87" s="752">
        <f>IF(D80=0,0,D60/D80)</f>
        <v>23918.021108179419</v>
      </c>
      <c r="E87" s="752">
        <f>IF(E80=0,0,E60/E80)</f>
        <v>26430.904126213591</v>
      </c>
    </row>
    <row r="88" spans="1:5" ht="26.1" customHeight="1" x14ac:dyDescent="0.25">
      <c r="A88" s="753">
        <v>3</v>
      </c>
      <c r="B88" s="754" t="s">
        <v>988</v>
      </c>
      <c r="C88" s="755">
        <f>+C86+C87</f>
        <v>113374.36076525964</v>
      </c>
      <c r="D88" s="755">
        <f>+D86+D87</f>
        <v>113669.10583406626</v>
      </c>
      <c r="E88" s="755">
        <f>+E86+E87</f>
        <v>117352.27851941746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989</v>
      </c>
    </row>
    <row r="91" spans="1:5" ht="26.1" customHeight="1" x14ac:dyDescent="0.25">
      <c r="A91" s="742">
        <v>1</v>
      </c>
      <c r="B91" s="743" t="s">
        <v>990</v>
      </c>
      <c r="C91" s="744">
        <f>IF(C81=0,0,C64/C81)</f>
        <v>0</v>
      </c>
      <c r="D91" s="744">
        <f>IF(D81=0,0,D64/D81)</f>
        <v>0</v>
      </c>
      <c r="E91" s="744">
        <f>IF(E81=0,0,E64/E81)</f>
        <v>0</v>
      </c>
    </row>
    <row r="92" spans="1:5" ht="26.1" customHeight="1" x14ac:dyDescent="0.25">
      <c r="A92" s="742">
        <v>2</v>
      </c>
      <c r="B92" s="743" t="s">
        <v>991</v>
      </c>
      <c r="C92" s="744">
        <f>IF(C81=0,0,C65/C81)</f>
        <v>0</v>
      </c>
      <c r="D92" s="744">
        <f>IF(D81=0,0,D65/D81)</f>
        <v>0</v>
      </c>
      <c r="E92" s="744">
        <f>IF(E81=0,0,E65/E81)</f>
        <v>0</v>
      </c>
    </row>
    <row r="93" spans="1:5" ht="26.1" customHeight="1" x14ac:dyDescent="0.25">
      <c r="A93" s="753">
        <v>3</v>
      </c>
      <c r="B93" s="754" t="s">
        <v>992</v>
      </c>
      <c r="C93" s="757">
        <f>+C91+C92</f>
        <v>0</v>
      </c>
      <c r="D93" s="757">
        <f>+D91+D92</f>
        <v>0</v>
      </c>
      <c r="E93" s="757">
        <f>+E91+E92</f>
        <v>0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993</v>
      </c>
      <c r="B95" s="745" t="s">
        <v>994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995</v>
      </c>
      <c r="C96" s="752">
        <f>IF(C82=0,0,C69/C82)</f>
        <v>70549.095133000345</v>
      </c>
      <c r="D96" s="752">
        <f>IF(D82=0,0,D69/D82)</f>
        <v>71588.362696486976</v>
      </c>
      <c r="E96" s="752">
        <f>IF(E82=0,0,E69/E82)</f>
        <v>73509.316611452916</v>
      </c>
    </row>
    <row r="97" spans="1:5" ht="26.1" customHeight="1" x14ac:dyDescent="0.25">
      <c r="A97" s="742">
        <v>2</v>
      </c>
      <c r="B97" s="743" t="s">
        <v>996</v>
      </c>
      <c r="C97" s="752">
        <f>IF(C82=0,0,C70/C82)</f>
        <v>20036.21791148798</v>
      </c>
      <c r="D97" s="752">
        <f>IF(D82=0,0,D70/D82)</f>
        <v>19077.785631395716</v>
      </c>
      <c r="E97" s="752">
        <f>IF(E82=0,0,E70/E82)</f>
        <v>21369.208707998107</v>
      </c>
    </row>
    <row r="98" spans="1:5" ht="26.1" customHeight="1" x14ac:dyDescent="0.25">
      <c r="A98" s="753">
        <v>3</v>
      </c>
      <c r="B98" s="754" t="s">
        <v>997</v>
      </c>
      <c r="C98" s="757">
        <f>+C96+C97</f>
        <v>90585.313044488328</v>
      </c>
      <c r="D98" s="757">
        <f>+D96+D97</f>
        <v>90666.148327882693</v>
      </c>
      <c r="E98" s="757">
        <f>+E96+E97</f>
        <v>94878.52531945103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998</v>
      </c>
      <c r="B100" s="745" t="s">
        <v>999</v>
      </c>
    </row>
    <row r="101" spans="1:5" ht="26.1" customHeight="1" x14ac:dyDescent="0.25">
      <c r="A101" s="742">
        <v>1</v>
      </c>
      <c r="B101" s="743" t="s">
        <v>1000</v>
      </c>
      <c r="C101" s="744">
        <f>IF(C83=0,0,C75/C83)</f>
        <v>73065.481614057921</v>
      </c>
      <c r="D101" s="744">
        <f>IF(D83=0,0,D75/D83)</f>
        <v>73934.007057586903</v>
      </c>
      <c r="E101" s="744">
        <f>IF(E83=0,0,E75/E83)</f>
        <v>75281.722039588727</v>
      </c>
    </row>
    <row r="102" spans="1:5" ht="26.1" customHeight="1" x14ac:dyDescent="0.25">
      <c r="A102" s="742">
        <v>2</v>
      </c>
      <c r="B102" s="743" t="s">
        <v>1001</v>
      </c>
      <c r="C102" s="761">
        <f>IF(C83=0,0,C76/C83)</f>
        <v>20750.881060852586</v>
      </c>
      <c r="D102" s="761">
        <f>IF(D83=0,0,D76/D83)</f>
        <v>19702.883099331779</v>
      </c>
      <c r="E102" s="761">
        <f>IF(E83=0,0,E76/E83)</f>
        <v>21884.447786248864</v>
      </c>
    </row>
    <row r="103" spans="1:5" ht="26.1" customHeight="1" x14ac:dyDescent="0.25">
      <c r="A103" s="753">
        <v>3</v>
      </c>
      <c r="B103" s="754" t="s">
        <v>999</v>
      </c>
      <c r="C103" s="757">
        <f>+C101+C102</f>
        <v>93816.362674910502</v>
      </c>
      <c r="D103" s="757">
        <f>+D101+D102</f>
        <v>93636.890156918686</v>
      </c>
      <c r="E103" s="757">
        <f>+E101+E102</f>
        <v>97166.169825837598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1002</v>
      </c>
      <c r="B107" s="736" t="s">
        <v>1003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1004</v>
      </c>
      <c r="C108" s="744">
        <f>IF(C19=0,0,C77/C19)</f>
        <v>3048.0275149336576</v>
      </c>
      <c r="D108" s="744">
        <f>IF(D19=0,0,D77/D19)</f>
        <v>2805.7993205696416</v>
      </c>
      <c r="E108" s="744">
        <f>IF(E19=0,0,E77/E19)</f>
        <v>3012.9584011104603</v>
      </c>
    </row>
    <row r="109" spans="1:5" ht="26.1" customHeight="1" x14ac:dyDescent="0.25">
      <c r="A109" s="742">
        <v>2</v>
      </c>
      <c r="B109" s="743" t="s">
        <v>1005</v>
      </c>
      <c r="C109" s="744">
        <f>IF(C20=0,0,C77/C20)</f>
        <v>18590.85490891504</v>
      </c>
      <c r="D109" s="744">
        <f>IF(D20=0,0,D77/D20)</f>
        <v>18776.719963866304</v>
      </c>
      <c r="E109" s="744">
        <f>IF(E20=0,0,E77/E20)</f>
        <v>21631.652600436002</v>
      </c>
    </row>
    <row r="110" spans="1:5" ht="26.1" customHeight="1" x14ac:dyDescent="0.25">
      <c r="A110" s="742">
        <v>3</v>
      </c>
      <c r="B110" s="743" t="s">
        <v>1006</v>
      </c>
      <c r="C110" s="744">
        <f>IF(C22=0,0,C77/C22)</f>
        <v>1769.7462913052461</v>
      </c>
      <c r="D110" s="744">
        <f>IF(D22=0,0,D77/D22)</f>
        <v>1653.0878676500201</v>
      </c>
      <c r="E110" s="744">
        <f>IF(E22=0,0,E77/E22)</f>
        <v>1814.8438618318257</v>
      </c>
    </row>
    <row r="111" spans="1:5" ht="26.1" customHeight="1" x14ac:dyDescent="0.25">
      <c r="A111" s="742">
        <v>4</v>
      </c>
      <c r="B111" s="743" t="s">
        <v>1007</v>
      </c>
      <c r="C111" s="744">
        <f>IF(C23=0,0,C77/C23)</f>
        <v>10794.225565894356</v>
      </c>
      <c r="D111" s="744">
        <f>IF(D23=0,0,D77/D23)</f>
        <v>11062.64718897557</v>
      </c>
      <c r="E111" s="744">
        <f>IF(E23=0,0,E77/E23)</f>
        <v>13029.742438100278</v>
      </c>
    </row>
    <row r="112" spans="1:5" ht="26.1" customHeight="1" x14ac:dyDescent="0.25">
      <c r="A112" s="742">
        <v>5</v>
      </c>
      <c r="B112" s="743" t="s">
        <v>1008</v>
      </c>
      <c r="C112" s="744">
        <f>IF(C29=0,0,C77/C29)</f>
        <v>1299.1058231925906</v>
      </c>
      <c r="D112" s="744">
        <f>IF(D29=0,0,D77/D29)</f>
        <v>1058.46171640327</v>
      </c>
      <c r="E112" s="744">
        <f>IF(E29=0,0,E77/E29)</f>
        <v>1118.2962428968781</v>
      </c>
    </row>
    <row r="113" spans="1:7" ht="25.5" customHeight="1" x14ac:dyDescent="0.25">
      <c r="A113" s="742">
        <v>6</v>
      </c>
      <c r="B113" s="743" t="s">
        <v>1009</v>
      </c>
      <c r="C113" s="744">
        <f>IF(C30=0,0,C77/C30)</f>
        <v>7923.644964479844</v>
      </c>
      <c r="D113" s="744">
        <f>IF(D30=0,0,D77/D30)</f>
        <v>7083.3430943102876</v>
      </c>
      <c r="E113" s="744">
        <f>IF(E30=0,0,E77/E30)</f>
        <v>8028.8515838128869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68" fitToHeight="0" orientation="portrait" horizontalDpi="1200" verticalDpi="1200" r:id="rId1"/>
  <headerFooter>
    <oddHeader>&amp;LOFFICE OF HEALTH CARE ACCESS&amp;CTWELVE MONTHS ACTUAL FILING&amp;RCT CHILDREN`S MEDICAL CENTER</oddHeader>
    <oddFooter>&amp;LREPORT 100&amp;CPAGE &amp;P of &amp;N&amp;R&amp;D,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506581501</v>
      </c>
      <c r="D12" s="76">
        <v>574813438</v>
      </c>
      <c r="E12" s="76">
        <f t="shared" ref="E12:E21" si="0">D12-C12</f>
        <v>68231937</v>
      </c>
      <c r="F12" s="77">
        <f t="shared" ref="F12:F21" si="1">IF(C12=0,0,E12/C12)</f>
        <v>0.13469093692783701</v>
      </c>
    </row>
    <row r="13" spans="1:8" ht="23.1" customHeight="1" x14ac:dyDescent="0.2">
      <c r="A13" s="74">
        <v>2</v>
      </c>
      <c r="B13" s="75" t="s">
        <v>72</v>
      </c>
      <c r="C13" s="76">
        <v>270274469</v>
      </c>
      <c r="D13" s="76">
        <v>323934980</v>
      </c>
      <c r="E13" s="76">
        <f t="shared" si="0"/>
        <v>53660511</v>
      </c>
      <c r="F13" s="77">
        <f t="shared" si="1"/>
        <v>0.19854080630901175</v>
      </c>
    </row>
    <row r="14" spans="1:8" ht="23.1" customHeight="1" x14ac:dyDescent="0.2">
      <c r="A14" s="74">
        <v>3</v>
      </c>
      <c r="B14" s="75" t="s">
        <v>73</v>
      </c>
      <c r="C14" s="76">
        <v>710025</v>
      </c>
      <c r="D14" s="76">
        <v>1431441</v>
      </c>
      <c r="E14" s="76">
        <f t="shared" si="0"/>
        <v>721416</v>
      </c>
      <c r="F14" s="77">
        <f t="shared" si="1"/>
        <v>1.0160430970740466</v>
      </c>
    </row>
    <row r="15" spans="1:8" ht="23.1" customHeight="1" x14ac:dyDescent="0.2">
      <c r="A15" s="74">
        <v>4</v>
      </c>
      <c r="B15" s="75" t="s">
        <v>74</v>
      </c>
      <c r="C15" s="76">
        <v>4399372</v>
      </c>
      <c r="D15" s="76">
        <v>5586749</v>
      </c>
      <c r="E15" s="76">
        <f t="shared" si="0"/>
        <v>1187377</v>
      </c>
      <c r="F15" s="77">
        <f t="shared" si="1"/>
        <v>0.2698969307437516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231197635</v>
      </c>
      <c r="D16" s="79">
        <f>D12-D13-D14-D15</f>
        <v>243860268</v>
      </c>
      <c r="E16" s="79">
        <f t="shared" si="0"/>
        <v>12662633</v>
      </c>
      <c r="F16" s="80">
        <f t="shared" si="1"/>
        <v>5.4769734128119432E-2</v>
      </c>
    </row>
    <row r="17" spans="1:7" ht="23.1" customHeight="1" x14ac:dyDescent="0.2">
      <c r="A17" s="74">
        <v>5</v>
      </c>
      <c r="B17" s="75" t="s">
        <v>76</v>
      </c>
      <c r="C17" s="76">
        <v>0</v>
      </c>
      <c r="D17" s="76">
        <v>4545394</v>
      </c>
      <c r="E17" s="76">
        <f t="shared" si="0"/>
        <v>4545394</v>
      </c>
      <c r="F17" s="77">
        <f t="shared" si="1"/>
        <v>0</v>
      </c>
      <c r="G17" s="65"/>
    </row>
    <row r="18" spans="1:7" ht="31.5" customHeight="1" x14ac:dyDescent="0.25">
      <c r="A18" s="71"/>
      <c r="B18" s="81" t="s">
        <v>77</v>
      </c>
      <c r="C18" s="79">
        <f>C16-C17</f>
        <v>231197635</v>
      </c>
      <c r="D18" s="79">
        <f>D16-D17</f>
        <v>239314874</v>
      </c>
      <c r="E18" s="79">
        <f t="shared" si="0"/>
        <v>8117239</v>
      </c>
      <c r="F18" s="80">
        <f t="shared" si="1"/>
        <v>3.5109524368620811E-2</v>
      </c>
    </row>
    <row r="19" spans="1:7" ht="23.1" customHeight="1" x14ac:dyDescent="0.2">
      <c r="A19" s="74">
        <v>6</v>
      </c>
      <c r="B19" s="75" t="s">
        <v>78</v>
      </c>
      <c r="C19" s="76">
        <v>7522637</v>
      </c>
      <c r="D19" s="76">
        <v>3079721</v>
      </c>
      <c r="E19" s="76">
        <f t="shared" si="0"/>
        <v>-4442916</v>
      </c>
      <c r="F19" s="77">
        <f t="shared" si="1"/>
        <v>-0.59060619301449746</v>
      </c>
      <c r="G19" s="65"/>
    </row>
    <row r="20" spans="1:7" ht="33" customHeight="1" x14ac:dyDescent="0.2">
      <c r="A20" s="74">
        <v>7</v>
      </c>
      <c r="B20" s="82" t="s">
        <v>79</v>
      </c>
      <c r="C20" s="76">
        <v>12253353</v>
      </c>
      <c r="D20" s="76">
        <v>14927504</v>
      </c>
      <c r="E20" s="76">
        <f t="shared" si="0"/>
        <v>2674151</v>
      </c>
      <c r="F20" s="77">
        <f t="shared" si="1"/>
        <v>0.21823830587431864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250973625</v>
      </c>
      <c r="D21" s="79">
        <f>SUM(D18:D20)</f>
        <v>257322099</v>
      </c>
      <c r="E21" s="79">
        <f t="shared" si="0"/>
        <v>6348474</v>
      </c>
      <c r="F21" s="80">
        <f t="shared" si="1"/>
        <v>2.5295383130398662E-2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98472704</v>
      </c>
      <c r="D24" s="76">
        <v>107630278</v>
      </c>
      <c r="E24" s="76">
        <f t="shared" ref="E24:E33" si="2">D24-C24</f>
        <v>9157574</v>
      </c>
      <c r="F24" s="77">
        <f t="shared" ref="F24:F33" si="3">IF(C24=0,0,E24/C24)</f>
        <v>9.2996065183708163E-2</v>
      </c>
    </row>
    <row r="25" spans="1:7" ht="23.1" customHeight="1" x14ac:dyDescent="0.2">
      <c r="A25" s="74">
        <v>2</v>
      </c>
      <c r="B25" s="75" t="s">
        <v>83</v>
      </c>
      <c r="C25" s="76">
        <v>26242270</v>
      </c>
      <c r="D25" s="76">
        <v>31288195</v>
      </c>
      <c r="E25" s="76">
        <f t="shared" si="2"/>
        <v>5045925</v>
      </c>
      <c r="F25" s="77">
        <f t="shared" si="3"/>
        <v>0.19228233685576743</v>
      </c>
    </row>
    <row r="26" spans="1:7" ht="23.1" customHeight="1" x14ac:dyDescent="0.2">
      <c r="A26" s="74">
        <v>3</v>
      </c>
      <c r="B26" s="75" t="s">
        <v>84</v>
      </c>
      <c r="C26" s="76">
        <v>9842568</v>
      </c>
      <c r="D26" s="76">
        <v>11600355</v>
      </c>
      <c r="E26" s="76">
        <f t="shared" si="2"/>
        <v>1757787</v>
      </c>
      <c r="F26" s="77">
        <f t="shared" si="3"/>
        <v>0.17859028253602108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16627144</v>
      </c>
      <c r="D27" s="76">
        <v>17770696</v>
      </c>
      <c r="E27" s="76">
        <f t="shared" si="2"/>
        <v>1143552</v>
      </c>
      <c r="F27" s="77">
        <f t="shared" si="3"/>
        <v>6.8776213160841093E-2</v>
      </c>
    </row>
    <row r="28" spans="1:7" ht="23.1" customHeight="1" x14ac:dyDescent="0.2">
      <c r="A28" s="74">
        <v>5</v>
      </c>
      <c r="B28" s="75" t="s">
        <v>86</v>
      </c>
      <c r="C28" s="76">
        <v>10408276</v>
      </c>
      <c r="D28" s="76">
        <v>11801840</v>
      </c>
      <c r="E28" s="76">
        <f t="shared" si="2"/>
        <v>1393564</v>
      </c>
      <c r="F28" s="77">
        <f t="shared" si="3"/>
        <v>0.13388999292486095</v>
      </c>
    </row>
    <row r="29" spans="1:7" ht="23.1" customHeight="1" x14ac:dyDescent="0.2">
      <c r="A29" s="74">
        <v>6</v>
      </c>
      <c r="B29" s="75" t="s">
        <v>87</v>
      </c>
      <c r="C29" s="76">
        <v>4548780</v>
      </c>
      <c r="D29" s="76">
        <v>0</v>
      </c>
      <c r="E29" s="76">
        <f t="shared" si="2"/>
        <v>-4548780</v>
      </c>
      <c r="F29" s="77">
        <f t="shared" si="3"/>
        <v>-1</v>
      </c>
    </row>
    <row r="30" spans="1:7" ht="23.1" customHeight="1" x14ac:dyDescent="0.2">
      <c r="A30" s="74">
        <v>7</v>
      </c>
      <c r="B30" s="75" t="s">
        <v>88</v>
      </c>
      <c r="C30" s="76">
        <v>910866</v>
      </c>
      <c r="D30" s="76">
        <v>1294274</v>
      </c>
      <c r="E30" s="76">
        <f t="shared" si="2"/>
        <v>383408</v>
      </c>
      <c r="F30" s="77">
        <f t="shared" si="3"/>
        <v>0.42092689813869438</v>
      </c>
    </row>
    <row r="31" spans="1:7" ht="23.1" customHeight="1" x14ac:dyDescent="0.2">
      <c r="A31" s="74">
        <v>8</v>
      </c>
      <c r="B31" s="75" t="s">
        <v>89</v>
      </c>
      <c r="C31" s="76">
        <v>5072074</v>
      </c>
      <c r="D31" s="76">
        <v>870596</v>
      </c>
      <c r="E31" s="76">
        <f t="shared" si="2"/>
        <v>-4201478</v>
      </c>
      <c r="F31" s="77">
        <f t="shared" si="3"/>
        <v>-0.82835502794320426</v>
      </c>
    </row>
    <row r="32" spans="1:7" ht="23.1" customHeight="1" x14ac:dyDescent="0.2">
      <c r="A32" s="74">
        <v>9</v>
      </c>
      <c r="B32" s="75" t="s">
        <v>90</v>
      </c>
      <c r="C32" s="76">
        <v>79537363</v>
      </c>
      <c r="D32" s="76">
        <v>85537607</v>
      </c>
      <c r="E32" s="76">
        <f t="shared" si="2"/>
        <v>6000244</v>
      </c>
      <c r="F32" s="77">
        <f t="shared" si="3"/>
        <v>7.543931271646509E-2</v>
      </c>
    </row>
    <row r="33" spans="1:6" ht="23.1" customHeight="1" x14ac:dyDescent="0.25">
      <c r="A33" s="71"/>
      <c r="B33" s="78" t="s">
        <v>91</v>
      </c>
      <c r="C33" s="79">
        <f>SUM(C24:C32)</f>
        <v>251662045</v>
      </c>
      <c r="D33" s="79">
        <f>SUM(D24:D32)</f>
        <v>267793841</v>
      </c>
      <c r="E33" s="79">
        <f t="shared" si="2"/>
        <v>16131796</v>
      </c>
      <c r="F33" s="80">
        <f t="shared" si="3"/>
        <v>6.4101028822204795E-2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-688420</v>
      </c>
      <c r="D35" s="79">
        <f>+D21-D33</f>
        <v>-10471742</v>
      </c>
      <c r="E35" s="79">
        <f>D35-C35</f>
        <v>-9783322</v>
      </c>
      <c r="F35" s="80">
        <f>IF(C35=0,0,E35/C35)</f>
        <v>14.211269283286367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19597315</v>
      </c>
      <c r="D38" s="76">
        <v>10804821</v>
      </c>
      <c r="E38" s="76">
        <f>D38-C38</f>
        <v>-8792494</v>
      </c>
      <c r="F38" s="77">
        <f>IF(C38=0,0,E38/C38)</f>
        <v>-0.44865809423382746</v>
      </c>
    </row>
    <row r="39" spans="1:6" ht="23.1" customHeight="1" x14ac:dyDescent="0.2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0</v>
      </c>
      <c r="D40" s="76">
        <v>0</v>
      </c>
      <c r="E40" s="76">
        <f>D40-C40</f>
        <v>0</v>
      </c>
      <c r="F40" s="77">
        <f>IF(C40=0,0,E40/C40)</f>
        <v>0</v>
      </c>
    </row>
    <row r="41" spans="1:6" ht="23.1" customHeight="1" x14ac:dyDescent="0.25">
      <c r="A41" s="83"/>
      <c r="B41" s="78" t="s">
        <v>97</v>
      </c>
      <c r="C41" s="79">
        <f>SUM(C38:C40)</f>
        <v>19597315</v>
      </c>
      <c r="D41" s="79">
        <f>SUM(D38:D40)</f>
        <v>10804821</v>
      </c>
      <c r="E41" s="79">
        <f>D41-C41</f>
        <v>-8792494</v>
      </c>
      <c r="F41" s="80">
        <f>IF(C41=0,0,E41/C41)</f>
        <v>-0.44865809423382746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18908895</v>
      </c>
      <c r="D43" s="79">
        <f>D35+D41</f>
        <v>333079</v>
      </c>
      <c r="E43" s="79">
        <f>D43-C43</f>
        <v>-18575816</v>
      </c>
      <c r="F43" s="80">
        <f>IF(C43=0,0,E43/C43)</f>
        <v>-0.98238506269139469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0</v>
      </c>
      <c r="D48" s="79">
        <f>SUM(D46:D47)</f>
        <v>0</v>
      </c>
      <c r="E48" s="79">
        <f>D48-C48</f>
        <v>0</v>
      </c>
      <c r="F48" s="80">
        <f>IF(C48=0,0,E48/C48)</f>
        <v>0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18908895</v>
      </c>
      <c r="D50" s="79">
        <f>D43+D48</f>
        <v>333079</v>
      </c>
      <c r="E50" s="79">
        <f>D50-C50</f>
        <v>-18575816</v>
      </c>
      <c r="F50" s="80">
        <f>IF(C50=0,0,E50/C50)</f>
        <v>-0.98238506269139469</v>
      </c>
    </row>
    <row r="51" spans="1:6" ht="23.1" customHeight="1" x14ac:dyDescent="0.2">
      <c r="A51" s="85"/>
      <c r="B51" s="75" t="s">
        <v>104</v>
      </c>
      <c r="C51" s="76">
        <v>4530551</v>
      </c>
      <c r="D51" s="76">
        <v>4463925</v>
      </c>
      <c r="E51" s="76">
        <f>D51-C51</f>
        <v>-66626</v>
      </c>
      <c r="F51" s="77">
        <f>IF(C51=0,0,E51/C51)</f>
        <v>-1.4705937533867293E-2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FILING&amp;RCT CHILDREN`S MEDICAL CENTER</oddHeader>
    <oddFooter>&amp;LREPORT 100&amp;CPAGE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sqref="A1:F1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69" t="s">
        <v>0</v>
      </c>
      <c r="B2" s="769"/>
      <c r="C2" s="769"/>
      <c r="D2" s="769"/>
      <c r="E2" s="769"/>
      <c r="F2" s="769"/>
    </row>
    <row r="3" spans="1:6" ht="15.75" customHeight="1" x14ac:dyDescent="0.25">
      <c r="A3" s="769" t="s">
        <v>1</v>
      </c>
      <c r="B3" s="769"/>
      <c r="C3" s="769"/>
      <c r="D3" s="769"/>
      <c r="E3" s="769"/>
      <c r="F3" s="769"/>
    </row>
    <row r="4" spans="1:6" ht="15.75" customHeight="1" x14ac:dyDescent="0.25">
      <c r="A4" s="769" t="s">
        <v>2</v>
      </c>
      <c r="B4" s="769"/>
      <c r="C4" s="769"/>
      <c r="D4" s="769"/>
      <c r="E4" s="769"/>
      <c r="F4" s="769"/>
    </row>
    <row r="5" spans="1:6" ht="15.75" customHeight="1" x14ac:dyDescent="0.25">
      <c r="A5" s="769" t="s">
        <v>105</v>
      </c>
      <c r="B5" s="769"/>
      <c r="C5" s="769"/>
      <c r="D5" s="769"/>
      <c r="E5" s="769"/>
      <c r="F5" s="76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70"/>
      <c r="D9" s="771"/>
      <c r="E9" s="771"/>
      <c r="F9" s="772"/>
    </row>
    <row r="10" spans="1:6" x14ac:dyDescent="0.2">
      <c r="A10" s="773" t="s">
        <v>12</v>
      </c>
      <c r="B10" s="775" t="s">
        <v>111</v>
      </c>
      <c r="C10" s="777"/>
      <c r="D10" s="778"/>
      <c r="E10" s="778"/>
      <c r="F10" s="779"/>
    </row>
    <row r="11" spans="1:6" x14ac:dyDescent="0.2">
      <c r="A11" s="774"/>
      <c r="B11" s="776"/>
      <c r="C11" s="780"/>
      <c r="D11" s="781"/>
      <c r="E11" s="781"/>
      <c r="F11" s="782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386168</v>
      </c>
      <c r="D14" s="113">
        <v>776456</v>
      </c>
      <c r="E14" s="113">
        <f t="shared" ref="E14:E25" si="0">D14-C14</f>
        <v>390288</v>
      </c>
      <c r="F14" s="114">
        <f t="shared" ref="F14:F25" si="1">IF(C14=0,0,E14/C14)</f>
        <v>1.0106689316566884</v>
      </c>
    </row>
    <row r="15" spans="1:6" x14ac:dyDescent="0.2">
      <c r="A15" s="115">
        <v>2</v>
      </c>
      <c r="B15" s="116" t="s">
        <v>114</v>
      </c>
      <c r="C15" s="113">
        <v>0</v>
      </c>
      <c r="D15" s="113">
        <v>0</v>
      </c>
      <c r="E15" s="113">
        <f t="shared" si="0"/>
        <v>0</v>
      </c>
      <c r="F15" s="114">
        <f t="shared" si="1"/>
        <v>0</v>
      </c>
    </row>
    <row r="16" spans="1:6" x14ac:dyDescent="0.2">
      <c r="A16" s="115">
        <v>3</v>
      </c>
      <c r="B16" s="116" t="s">
        <v>115</v>
      </c>
      <c r="C16" s="113">
        <v>131205858</v>
      </c>
      <c r="D16" s="113">
        <v>181180463</v>
      </c>
      <c r="E16" s="113">
        <f t="shared" si="0"/>
        <v>49974605</v>
      </c>
      <c r="F16" s="114">
        <f t="shared" si="1"/>
        <v>0.38088699515230484</v>
      </c>
    </row>
    <row r="17" spans="1:6" x14ac:dyDescent="0.2">
      <c r="A17" s="115">
        <v>4</v>
      </c>
      <c r="B17" s="116" t="s">
        <v>116</v>
      </c>
      <c r="C17" s="113">
        <v>30327937</v>
      </c>
      <c r="D17" s="113">
        <v>0</v>
      </c>
      <c r="E17" s="113">
        <f t="shared" si="0"/>
        <v>-30327937</v>
      </c>
      <c r="F17" s="114">
        <f t="shared" si="1"/>
        <v>-1</v>
      </c>
    </row>
    <row r="18" spans="1:6" x14ac:dyDescent="0.2">
      <c r="A18" s="115">
        <v>5</v>
      </c>
      <c r="B18" s="116" t="s">
        <v>117</v>
      </c>
      <c r="C18" s="113">
        <v>3756316</v>
      </c>
      <c r="D18" s="113">
        <v>4138152</v>
      </c>
      <c r="E18" s="113">
        <f t="shared" si="0"/>
        <v>381836</v>
      </c>
      <c r="F18" s="114">
        <f t="shared" si="1"/>
        <v>0.10165172472177528</v>
      </c>
    </row>
    <row r="19" spans="1:6" x14ac:dyDescent="0.2">
      <c r="A19" s="115">
        <v>6</v>
      </c>
      <c r="B19" s="116" t="s">
        <v>118</v>
      </c>
      <c r="C19" s="113">
        <v>0</v>
      </c>
      <c r="D19" s="113">
        <v>0</v>
      </c>
      <c r="E19" s="113">
        <f t="shared" si="0"/>
        <v>0</v>
      </c>
      <c r="F19" s="114">
        <f t="shared" si="1"/>
        <v>0</v>
      </c>
    </row>
    <row r="20" spans="1:6" x14ac:dyDescent="0.2">
      <c r="A20" s="115">
        <v>7</v>
      </c>
      <c r="B20" s="116" t="s">
        <v>119</v>
      </c>
      <c r="C20" s="113">
        <v>131043122</v>
      </c>
      <c r="D20" s="113">
        <v>158463264</v>
      </c>
      <c r="E20" s="113">
        <f t="shared" si="0"/>
        <v>27420142</v>
      </c>
      <c r="F20" s="114">
        <f t="shared" si="1"/>
        <v>0.20924518266590139</v>
      </c>
    </row>
    <row r="21" spans="1:6" x14ac:dyDescent="0.2">
      <c r="A21" s="115">
        <v>8</v>
      </c>
      <c r="B21" s="116" t="s">
        <v>120</v>
      </c>
      <c r="C21" s="113">
        <v>0</v>
      </c>
      <c r="D21" s="113">
        <v>0</v>
      </c>
      <c r="E21" s="113">
        <f t="shared" si="0"/>
        <v>0</v>
      </c>
      <c r="F21" s="114">
        <f t="shared" si="1"/>
        <v>0</v>
      </c>
    </row>
    <row r="22" spans="1:6" x14ac:dyDescent="0.2">
      <c r="A22" s="115">
        <v>9</v>
      </c>
      <c r="B22" s="116" t="s">
        <v>121</v>
      </c>
      <c r="C22" s="113">
        <v>1742334</v>
      </c>
      <c r="D22" s="113">
        <v>1678321</v>
      </c>
      <c r="E22" s="113">
        <f t="shared" si="0"/>
        <v>-64013</v>
      </c>
      <c r="F22" s="114">
        <f t="shared" si="1"/>
        <v>-3.6739798454257337E-2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0</v>
      </c>
      <c r="D24" s="113">
        <v>0</v>
      </c>
      <c r="E24" s="113">
        <f t="shared" si="0"/>
        <v>0</v>
      </c>
      <c r="F24" s="114">
        <f t="shared" si="1"/>
        <v>0</v>
      </c>
    </row>
    <row r="25" spans="1:6" ht="15.75" x14ac:dyDescent="0.25">
      <c r="A25" s="117"/>
      <c r="B25" s="118" t="s">
        <v>124</v>
      </c>
      <c r="C25" s="119">
        <f>SUM(C14:C24)</f>
        <v>298461735</v>
      </c>
      <c r="D25" s="119">
        <f>SUM(D14:D24)</f>
        <v>346236656</v>
      </c>
      <c r="E25" s="119">
        <f t="shared" si="0"/>
        <v>47774921</v>
      </c>
      <c r="F25" s="120">
        <f t="shared" si="1"/>
        <v>0.16007050619068472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110788</v>
      </c>
      <c r="D27" s="113">
        <v>267448</v>
      </c>
      <c r="E27" s="113">
        <f t="shared" ref="E27:E38" si="2">D27-C27</f>
        <v>156660</v>
      </c>
      <c r="F27" s="114">
        <f t="shared" ref="F27:F38" si="3">IF(C27=0,0,E27/C27)</f>
        <v>1.4140520634003684</v>
      </c>
    </row>
    <row r="28" spans="1:6" x14ac:dyDescent="0.2">
      <c r="A28" s="115">
        <v>2</v>
      </c>
      <c r="B28" s="116" t="s">
        <v>114</v>
      </c>
      <c r="C28" s="113">
        <v>0</v>
      </c>
      <c r="D28" s="113">
        <v>0</v>
      </c>
      <c r="E28" s="113">
        <f t="shared" si="2"/>
        <v>0</v>
      </c>
      <c r="F28" s="114">
        <f t="shared" si="3"/>
        <v>0</v>
      </c>
    </row>
    <row r="29" spans="1:6" x14ac:dyDescent="0.2">
      <c r="A29" s="115">
        <v>3</v>
      </c>
      <c r="B29" s="116" t="s">
        <v>115</v>
      </c>
      <c r="C29" s="113">
        <v>81999225</v>
      </c>
      <c r="D29" s="113">
        <v>115542605</v>
      </c>
      <c r="E29" s="113">
        <f t="shared" si="2"/>
        <v>33543380</v>
      </c>
      <c r="F29" s="114">
        <f t="shared" si="3"/>
        <v>0.40906947596151061</v>
      </c>
    </row>
    <row r="30" spans="1:6" x14ac:dyDescent="0.2">
      <c r="A30" s="115">
        <v>4</v>
      </c>
      <c r="B30" s="116" t="s">
        <v>116</v>
      </c>
      <c r="C30" s="113">
        <v>23600889</v>
      </c>
      <c r="D30" s="113">
        <v>0</v>
      </c>
      <c r="E30" s="113">
        <f t="shared" si="2"/>
        <v>-23600889</v>
      </c>
      <c r="F30" s="114">
        <f t="shared" si="3"/>
        <v>-1</v>
      </c>
    </row>
    <row r="31" spans="1:6" x14ac:dyDescent="0.2">
      <c r="A31" s="115">
        <v>5</v>
      </c>
      <c r="B31" s="116" t="s">
        <v>117</v>
      </c>
      <c r="C31" s="113">
        <v>1279360</v>
      </c>
      <c r="D31" s="113">
        <v>1309026</v>
      </c>
      <c r="E31" s="113">
        <f t="shared" si="2"/>
        <v>29666</v>
      </c>
      <c r="F31" s="114">
        <f t="shared" si="3"/>
        <v>2.3188156578289144E-2</v>
      </c>
    </row>
    <row r="32" spans="1:6" x14ac:dyDescent="0.2">
      <c r="A32" s="115">
        <v>6</v>
      </c>
      <c r="B32" s="116" t="s">
        <v>118</v>
      </c>
      <c r="C32" s="113">
        <v>0</v>
      </c>
      <c r="D32" s="113">
        <v>0</v>
      </c>
      <c r="E32" s="113">
        <f t="shared" si="2"/>
        <v>0</v>
      </c>
      <c r="F32" s="114">
        <f t="shared" si="3"/>
        <v>0</v>
      </c>
    </row>
    <row r="33" spans="1:6" x14ac:dyDescent="0.2">
      <c r="A33" s="115">
        <v>7</v>
      </c>
      <c r="B33" s="116" t="s">
        <v>119</v>
      </c>
      <c r="C33" s="113">
        <v>98277619</v>
      </c>
      <c r="D33" s="113">
        <v>108761195</v>
      </c>
      <c r="E33" s="113">
        <f t="shared" si="2"/>
        <v>10483576</v>
      </c>
      <c r="F33" s="114">
        <f t="shared" si="3"/>
        <v>0.10667307680703986</v>
      </c>
    </row>
    <row r="34" spans="1:6" x14ac:dyDescent="0.2">
      <c r="A34" s="115">
        <v>8</v>
      </c>
      <c r="B34" s="116" t="s">
        <v>120</v>
      </c>
      <c r="C34" s="113">
        <v>0</v>
      </c>
      <c r="D34" s="113">
        <v>0</v>
      </c>
      <c r="E34" s="113">
        <f t="shared" si="2"/>
        <v>0</v>
      </c>
      <c r="F34" s="114">
        <f t="shared" si="3"/>
        <v>0</v>
      </c>
    </row>
    <row r="35" spans="1:6" x14ac:dyDescent="0.2">
      <c r="A35" s="115">
        <v>9</v>
      </c>
      <c r="B35" s="116" t="s">
        <v>121</v>
      </c>
      <c r="C35" s="113">
        <v>2851885</v>
      </c>
      <c r="D35" s="113">
        <v>2696509</v>
      </c>
      <c r="E35" s="113">
        <f t="shared" si="2"/>
        <v>-155376</v>
      </c>
      <c r="F35" s="114">
        <f t="shared" si="3"/>
        <v>-5.4481860243312759E-2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0</v>
      </c>
      <c r="D37" s="113">
        <v>0</v>
      </c>
      <c r="E37" s="113">
        <f t="shared" si="2"/>
        <v>0</v>
      </c>
      <c r="F37" s="114">
        <f t="shared" si="3"/>
        <v>0</v>
      </c>
    </row>
    <row r="38" spans="1:6" ht="15.75" x14ac:dyDescent="0.25">
      <c r="A38" s="117"/>
      <c r="B38" s="118" t="s">
        <v>126</v>
      </c>
      <c r="C38" s="119">
        <f>SUM(C27:C37)</f>
        <v>208119766</v>
      </c>
      <c r="D38" s="119">
        <f>SUM(D27:D37)</f>
        <v>228576783</v>
      </c>
      <c r="E38" s="119">
        <f t="shared" si="2"/>
        <v>20457017</v>
      </c>
      <c r="F38" s="120">
        <f t="shared" si="3"/>
        <v>9.8294445516530132E-2</v>
      </c>
    </row>
    <row r="39" spans="1:6" ht="15" customHeight="1" x14ac:dyDescent="0.2">
      <c r="A39" s="773" t="s">
        <v>127</v>
      </c>
      <c r="B39" s="775" t="s">
        <v>128</v>
      </c>
      <c r="C39" s="777"/>
      <c r="D39" s="778"/>
      <c r="E39" s="778"/>
      <c r="F39" s="779"/>
    </row>
    <row r="40" spans="1:6" ht="15" customHeight="1" x14ac:dyDescent="0.2">
      <c r="A40" s="774"/>
      <c r="B40" s="776"/>
      <c r="C40" s="780"/>
      <c r="D40" s="781"/>
      <c r="E40" s="781"/>
      <c r="F40" s="782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496956</v>
      </c>
      <c r="D41" s="119">
        <f t="shared" si="4"/>
        <v>1043904</v>
      </c>
      <c r="E41" s="123">
        <f t="shared" ref="E41:E52" si="5">D41-C41</f>
        <v>546948</v>
      </c>
      <c r="F41" s="124">
        <f t="shared" ref="F41:F52" si="6">IF(C41=0,0,E41/C41)</f>
        <v>1.1005964310723686</v>
      </c>
    </row>
    <row r="42" spans="1:6" ht="15.75" x14ac:dyDescent="0.25">
      <c r="A42" s="121">
        <v>2</v>
      </c>
      <c r="B42" s="122" t="s">
        <v>114</v>
      </c>
      <c r="C42" s="119">
        <f t="shared" si="4"/>
        <v>0</v>
      </c>
      <c r="D42" s="119">
        <f t="shared" si="4"/>
        <v>0</v>
      </c>
      <c r="E42" s="123">
        <f t="shared" si="5"/>
        <v>0</v>
      </c>
      <c r="F42" s="124">
        <f t="shared" si="6"/>
        <v>0</v>
      </c>
    </row>
    <row r="43" spans="1:6" ht="15.75" x14ac:dyDescent="0.25">
      <c r="A43" s="121">
        <v>3</v>
      </c>
      <c r="B43" s="122" t="s">
        <v>115</v>
      </c>
      <c r="C43" s="119">
        <f t="shared" si="4"/>
        <v>213205083</v>
      </c>
      <c r="D43" s="119">
        <f t="shared" si="4"/>
        <v>296723068</v>
      </c>
      <c r="E43" s="123">
        <f t="shared" si="5"/>
        <v>83517985</v>
      </c>
      <c r="F43" s="124">
        <f t="shared" si="6"/>
        <v>0.39172604998352689</v>
      </c>
    </row>
    <row r="44" spans="1:6" ht="15.75" x14ac:dyDescent="0.25">
      <c r="A44" s="121">
        <v>4</v>
      </c>
      <c r="B44" s="122" t="s">
        <v>116</v>
      </c>
      <c r="C44" s="119">
        <f t="shared" si="4"/>
        <v>53928826</v>
      </c>
      <c r="D44" s="119">
        <f t="shared" si="4"/>
        <v>0</v>
      </c>
      <c r="E44" s="123">
        <f t="shared" si="5"/>
        <v>-53928826</v>
      </c>
      <c r="F44" s="124">
        <f t="shared" si="6"/>
        <v>-1</v>
      </c>
    </row>
    <row r="45" spans="1:6" ht="15.75" x14ac:dyDescent="0.25">
      <c r="A45" s="121">
        <v>5</v>
      </c>
      <c r="B45" s="122" t="s">
        <v>117</v>
      </c>
      <c r="C45" s="119">
        <f t="shared" si="4"/>
        <v>5035676</v>
      </c>
      <c r="D45" s="119">
        <f t="shared" si="4"/>
        <v>5447178</v>
      </c>
      <c r="E45" s="123">
        <f t="shared" si="5"/>
        <v>411502</v>
      </c>
      <c r="F45" s="124">
        <f t="shared" si="6"/>
        <v>8.1717330503392194E-2</v>
      </c>
    </row>
    <row r="46" spans="1:6" ht="15.75" x14ac:dyDescent="0.25">
      <c r="A46" s="121">
        <v>6</v>
      </c>
      <c r="B46" s="122" t="s">
        <v>118</v>
      </c>
      <c r="C46" s="119">
        <f t="shared" si="4"/>
        <v>0</v>
      </c>
      <c r="D46" s="119">
        <f t="shared" si="4"/>
        <v>0</v>
      </c>
      <c r="E46" s="123">
        <f t="shared" si="5"/>
        <v>0</v>
      </c>
      <c r="F46" s="124">
        <f t="shared" si="6"/>
        <v>0</v>
      </c>
    </row>
    <row r="47" spans="1:6" ht="15.75" x14ac:dyDescent="0.25">
      <c r="A47" s="121">
        <v>7</v>
      </c>
      <c r="B47" s="122" t="s">
        <v>119</v>
      </c>
      <c r="C47" s="119">
        <f t="shared" si="4"/>
        <v>229320741</v>
      </c>
      <c r="D47" s="119">
        <f t="shared" si="4"/>
        <v>267224459</v>
      </c>
      <c r="E47" s="123">
        <f t="shared" si="5"/>
        <v>37903718</v>
      </c>
      <c r="F47" s="124">
        <f t="shared" si="6"/>
        <v>0.16528691576136151</v>
      </c>
    </row>
    <row r="48" spans="1:6" ht="15.75" x14ac:dyDescent="0.25">
      <c r="A48" s="121">
        <v>8</v>
      </c>
      <c r="B48" s="122" t="s">
        <v>120</v>
      </c>
      <c r="C48" s="119">
        <f t="shared" si="4"/>
        <v>0</v>
      </c>
      <c r="D48" s="119">
        <f t="shared" si="4"/>
        <v>0</v>
      </c>
      <c r="E48" s="123">
        <f t="shared" si="5"/>
        <v>0</v>
      </c>
      <c r="F48" s="124">
        <f t="shared" si="6"/>
        <v>0</v>
      </c>
    </row>
    <row r="49" spans="1:6" ht="15.75" x14ac:dyDescent="0.25">
      <c r="A49" s="121">
        <v>9</v>
      </c>
      <c r="B49" s="122" t="s">
        <v>121</v>
      </c>
      <c r="C49" s="119">
        <f t="shared" si="4"/>
        <v>4594219</v>
      </c>
      <c r="D49" s="119">
        <f t="shared" si="4"/>
        <v>4374830</v>
      </c>
      <c r="E49" s="123">
        <f t="shared" si="5"/>
        <v>-219389</v>
      </c>
      <c r="F49" s="124">
        <f t="shared" si="6"/>
        <v>-4.7753274277956712E-2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0</v>
      </c>
      <c r="D51" s="119">
        <f t="shared" si="4"/>
        <v>0</v>
      </c>
      <c r="E51" s="123">
        <f t="shared" si="5"/>
        <v>0</v>
      </c>
      <c r="F51" s="124">
        <f t="shared" si="6"/>
        <v>0</v>
      </c>
    </row>
    <row r="52" spans="1:6" ht="18.75" customHeight="1" thickBot="1" x14ac:dyDescent="0.3">
      <c r="A52" s="125"/>
      <c r="B52" s="126" t="s">
        <v>128</v>
      </c>
      <c r="C52" s="127">
        <f>SUM(C41:C51)</f>
        <v>506581501</v>
      </c>
      <c r="D52" s="128">
        <f>SUM(D41:D51)</f>
        <v>574813439</v>
      </c>
      <c r="E52" s="127">
        <f t="shared" si="5"/>
        <v>68231938</v>
      </c>
      <c r="F52" s="129">
        <f t="shared" si="6"/>
        <v>0.13469093890185302</v>
      </c>
    </row>
    <row r="53" spans="1:6" x14ac:dyDescent="0.2">
      <c r="A53" s="773" t="s">
        <v>44</v>
      </c>
      <c r="B53" s="775" t="s">
        <v>129</v>
      </c>
      <c r="C53" s="777"/>
      <c r="D53" s="778"/>
      <c r="E53" s="778"/>
      <c r="F53" s="779"/>
    </row>
    <row r="54" spans="1:6" ht="15" customHeight="1" x14ac:dyDescent="0.2">
      <c r="A54" s="774"/>
      <c r="B54" s="776"/>
      <c r="C54" s="780"/>
      <c r="D54" s="781"/>
      <c r="E54" s="781"/>
      <c r="F54" s="782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2274166</v>
      </c>
      <c r="D57" s="113">
        <v>2018068</v>
      </c>
      <c r="E57" s="113">
        <f t="shared" ref="E57:E68" si="7">D57-C57</f>
        <v>-256098</v>
      </c>
      <c r="F57" s="114">
        <f t="shared" ref="F57:F68" si="8">IF(C57=0,0,E57/C57)</f>
        <v>-0.11261183220574048</v>
      </c>
    </row>
    <row r="58" spans="1:6" x14ac:dyDescent="0.2">
      <c r="A58" s="115">
        <v>2</v>
      </c>
      <c r="B58" s="116" t="s">
        <v>114</v>
      </c>
      <c r="C58" s="113">
        <v>0</v>
      </c>
      <c r="D58" s="113">
        <v>0</v>
      </c>
      <c r="E58" s="113">
        <f t="shared" si="7"/>
        <v>0</v>
      </c>
      <c r="F58" s="114">
        <f t="shared" si="8"/>
        <v>0</v>
      </c>
    </row>
    <row r="59" spans="1:6" x14ac:dyDescent="0.2">
      <c r="A59" s="115">
        <v>3</v>
      </c>
      <c r="B59" s="116" t="s">
        <v>115</v>
      </c>
      <c r="C59" s="113">
        <v>40675822</v>
      </c>
      <c r="D59" s="113">
        <v>52573260</v>
      </c>
      <c r="E59" s="113">
        <f t="shared" si="7"/>
        <v>11897438</v>
      </c>
      <c r="F59" s="114">
        <f t="shared" si="8"/>
        <v>0.29249410128700043</v>
      </c>
    </row>
    <row r="60" spans="1:6" x14ac:dyDescent="0.2">
      <c r="A60" s="115">
        <v>4</v>
      </c>
      <c r="B60" s="116" t="s">
        <v>116</v>
      </c>
      <c r="C60" s="113">
        <v>11245874</v>
      </c>
      <c r="D60" s="113">
        <v>0</v>
      </c>
      <c r="E60" s="113">
        <f t="shared" si="7"/>
        <v>-11245874</v>
      </c>
      <c r="F60" s="114">
        <f t="shared" si="8"/>
        <v>-1</v>
      </c>
    </row>
    <row r="61" spans="1:6" x14ac:dyDescent="0.2">
      <c r="A61" s="115">
        <v>5</v>
      </c>
      <c r="B61" s="116" t="s">
        <v>117</v>
      </c>
      <c r="C61" s="113">
        <v>1608353</v>
      </c>
      <c r="D61" s="113">
        <v>1721748</v>
      </c>
      <c r="E61" s="113">
        <f t="shared" si="7"/>
        <v>113395</v>
      </c>
      <c r="F61" s="114">
        <f t="shared" si="8"/>
        <v>7.0503801093416682E-2</v>
      </c>
    </row>
    <row r="62" spans="1:6" x14ac:dyDescent="0.2">
      <c r="A62" s="115">
        <v>6</v>
      </c>
      <c r="B62" s="116" t="s">
        <v>118</v>
      </c>
      <c r="C62" s="113">
        <v>0</v>
      </c>
      <c r="D62" s="113">
        <v>0</v>
      </c>
      <c r="E62" s="113">
        <f t="shared" si="7"/>
        <v>0</v>
      </c>
      <c r="F62" s="114">
        <f t="shared" si="8"/>
        <v>0</v>
      </c>
    </row>
    <row r="63" spans="1:6" x14ac:dyDescent="0.2">
      <c r="A63" s="115">
        <v>7</v>
      </c>
      <c r="B63" s="116" t="s">
        <v>119</v>
      </c>
      <c r="C63" s="113">
        <v>81002817</v>
      </c>
      <c r="D63" s="113">
        <v>95358999</v>
      </c>
      <c r="E63" s="113">
        <f t="shared" si="7"/>
        <v>14356182</v>
      </c>
      <c r="F63" s="114">
        <f t="shared" si="8"/>
        <v>0.17723065112661451</v>
      </c>
    </row>
    <row r="64" spans="1:6" x14ac:dyDescent="0.2">
      <c r="A64" s="115">
        <v>8</v>
      </c>
      <c r="B64" s="116" t="s">
        <v>120</v>
      </c>
      <c r="C64" s="113">
        <v>0</v>
      </c>
      <c r="D64" s="113">
        <v>0</v>
      </c>
      <c r="E64" s="113">
        <f t="shared" si="7"/>
        <v>0</v>
      </c>
      <c r="F64" s="114">
        <f t="shared" si="8"/>
        <v>0</v>
      </c>
    </row>
    <row r="65" spans="1:6" x14ac:dyDescent="0.2">
      <c r="A65" s="115">
        <v>9</v>
      </c>
      <c r="B65" s="116" t="s">
        <v>121</v>
      </c>
      <c r="C65" s="113">
        <v>532200</v>
      </c>
      <c r="D65" s="113">
        <v>373932</v>
      </c>
      <c r="E65" s="113">
        <f t="shared" si="7"/>
        <v>-158268</v>
      </c>
      <c r="F65" s="114">
        <f t="shared" si="8"/>
        <v>-0.29738444193912061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0</v>
      </c>
      <c r="D67" s="113">
        <v>0</v>
      </c>
      <c r="E67" s="113">
        <f t="shared" si="7"/>
        <v>0</v>
      </c>
      <c r="F67" s="114">
        <f t="shared" si="8"/>
        <v>0</v>
      </c>
    </row>
    <row r="68" spans="1:6" ht="15.75" x14ac:dyDescent="0.25">
      <c r="A68" s="117"/>
      <c r="B68" s="118" t="s">
        <v>131</v>
      </c>
      <c r="C68" s="119">
        <f>SUM(C57:C67)</f>
        <v>137339232</v>
      </c>
      <c r="D68" s="119">
        <f>SUM(D57:D67)</f>
        <v>152046007</v>
      </c>
      <c r="E68" s="119">
        <f t="shared" si="7"/>
        <v>14706775</v>
      </c>
      <c r="F68" s="120">
        <f t="shared" si="8"/>
        <v>0.10708356808053215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677337</v>
      </c>
      <c r="D70" s="113">
        <v>773310</v>
      </c>
      <c r="E70" s="113">
        <f t="shared" ref="E70:E81" si="9">D70-C70</f>
        <v>95973</v>
      </c>
      <c r="F70" s="114">
        <f t="shared" ref="F70:F81" si="10">IF(C70=0,0,E70/C70)</f>
        <v>0.14169165422824975</v>
      </c>
    </row>
    <row r="71" spans="1:6" x14ac:dyDescent="0.2">
      <c r="A71" s="115">
        <v>2</v>
      </c>
      <c r="B71" s="116" t="s">
        <v>114</v>
      </c>
      <c r="C71" s="113">
        <v>0</v>
      </c>
      <c r="D71" s="113">
        <v>0</v>
      </c>
      <c r="E71" s="113">
        <f t="shared" si="9"/>
        <v>0</v>
      </c>
      <c r="F71" s="114">
        <f t="shared" si="10"/>
        <v>0</v>
      </c>
    </row>
    <row r="72" spans="1:6" x14ac:dyDescent="0.2">
      <c r="A72" s="115">
        <v>3</v>
      </c>
      <c r="B72" s="116" t="s">
        <v>115</v>
      </c>
      <c r="C72" s="113">
        <v>25086738</v>
      </c>
      <c r="D72" s="113">
        <v>24040484</v>
      </c>
      <c r="E72" s="113">
        <f t="shared" si="9"/>
        <v>-1046254</v>
      </c>
      <c r="F72" s="114">
        <f t="shared" si="10"/>
        <v>-4.1705462065255355E-2</v>
      </c>
    </row>
    <row r="73" spans="1:6" x14ac:dyDescent="0.2">
      <c r="A73" s="115">
        <v>4</v>
      </c>
      <c r="B73" s="116" t="s">
        <v>116</v>
      </c>
      <c r="C73" s="113">
        <v>7337657</v>
      </c>
      <c r="D73" s="113">
        <v>0</v>
      </c>
      <c r="E73" s="113">
        <f t="shared" si="9"/>
        <v>-7337657</v>
      </c>
      <c r="F73" s="114">
        <f t="shared" si="10"/>
        <v>-1</v>
      </c>
    </row>
    <row r="74" spans="1:6" x14ac:dyDescent="0.2">
      <c r="A74" s="115">
        <v>5</v>
      </c>
      <c r="B74" s="116" t="s">
        <v>117</v>
      </c>
      <c r="C74" s="113">
        <v>657602</v>
      </c>
      <c r="D74" s="113">
        <v>863957</v>
      </c>
      <c r="E74" s="113">
        <f t="shared" si="9"/>
        <v>206355</v>
      </c>
      <c r="F74" s="114">
        <f t="shared" si="10"/>
        <v>0.31379922810453742</v>
      </c>
    </row>
    <row r="75" spans="1:6" x14ac:dyDescent="0.2">
      <c r="A75" s="115">
        <v>6</v>
      </c>
      <c r="B75" s="116" t="s">
        <v>118</v>
      </c>
      <c r="C75" s="113">
        <v>0</v>
      </c>
      <c r="D75" s="113">
        <v>0</v>
      </c>
      <c r="E75" s="113">
        <f t="shared" si="9"/>
        <v>0</v>
      </c>
      <c r="F75" s="114">
        <f t="shared" si="10"/>
        <v>0</v>
      </c>
    </row>
    <row r="76" spans="1:6" x14ac:dyDescent="0.2">
      <c r="A76" s="115">
        <v>7</v>
      </c>
      <c r="B76" s="116" t="s">
        <v>119</v>
      </c>
      <c r="C76" s="113">
        <v>49034080</v>
      </c>
      <c r="D76" s="113">
        <v>54037620</v>
      </c>
      <c r="E76" s="113">
        <f t="shared" si="9"/>
        <v>5003540</v>
      </c>
      <c r="F76" s="114">
        <f t="shared" si="10"/>
        <v>0.10204208990971178</v>
      </c>
    </row>
    <row r="77" spans="1:6" x14ac:dyDescent="0.2">
      <c r="A77" s="115">
        <v>8</v>
      </c>
      <c r="B77" s="116" t="s">
        <v>120</v>
      </c>
      <c r="C77" s="113">
        <v>0</v>
      </c>
      <c r="D77" s="113">
        <v>0</v>
      </c>
      <c r="E77" s="113">
        <f t="shared" si="9"/>
        <v>0</v>
      </c>
      <c r="F77" s="114">
        <f t="shared" si="10"/>
        <v>0</v>
      </c>
    </row>
    <row r="78" spans="1:6" x14ac:dyDescent="0.2">
      <c r="A78" s="115">
        <v>9</v>
      </c>
      <c r="B78" s="116" t="s">
        <v>121</v>
      </c>
      <c r="C78" s="113">
        <v>871115</v>
      </c>
      <c r="D78" s="113">
        <v>452476</v>
      </c>
      <c r="E78" s="113">
        <f t="shared" si="9"/>
        <v>-418639</v>
      </c>
      <c r="F78" s="114">
        <f t="shared" si="10"/>
        <v>-0.48057833925486304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0</v>
      </c>
      <c r="D80" s="113">
        <v>0</v>
      </c>
      <c r="E80" s="113">
        <f t="shared" si="9"/>
        <v>0</v>
      </c>
      <c r="F80" s="114">
        <f t="shared" si="10"/>
        <v>0</v>
      </c>
    </row>
    <row r="81" spans="1:6" ht="15.75" x14ac:dyDescent="0.25">
      <c r="A81" s="117"/>
      <c r="B81" s="118" t="s">
        <v>133</v>
      </c>
      <c r="C81" s="119">
        <f>SUM(C70:C80)</f>
        <v>83664529</v>
      </c>
      <c r="D81" s="119">
        <f>SUM(D70:D80)</f>
        <v>80167847</v>
      </c>
      <c r="E81" s="119">
        <f t="shared" si="9"/>
        <v>-3496682</v>
      </c>
      <c r="F81" s="120">
        <f t="shared" si="10"/>
        <v>-4.1794079782604167E-2</v>
      </c>
    </row>
    <row r="82" spans="1:6" ht="15" customHeight="1" x14ac:dyDescent="0.2">
      <c r="A82" s="773" t="s">
        <v>127</v>
      </c>
      <c r="B82" s="775" t="s">
        <v>134</v>
      </c>
      <c r="C82" s="777"/>
      <c r="D82" s="778"/>
      <c r="E82" s="778"/>
      <c r="F82" s="779"/>
    </row>
    <row r="83" spans="1:6" ht="15" customHeight="1" x14ac:dyDescent="0.2">
      <c r="A83" s="774"/>
      <c r="B83" s="776"/>
      <c r="C83" s="780"/>
      <c r="D83" s="781"/>
      <c r="E83" s="781"/>
      <c r="F83" s="782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2951503</v>
      </c>
      <c r="D84" s="119">
        <f t="shared" si="11"/>
        <v>2791378</v>
      </c>
      <c r="E84" s="119">
        <f t="shared" ref="E84:E95" si="12">D84-C84</f>
        <v>-160125</v>
      </c>
      <c r="F84" s="120">
        <f t="shared" ref="F84:F95" si="13">IF(C84=0,0,E84/C84)</f>
        <v>-5.4252020072485106E-2</v>
      </c>
    </row>
    <row r="85" spans="1:6" ht="15.75" x14ac:dyDescent="0.25">
      <c r="A85" s="130">
        <v>2</v>
      </c>
      <c r="B85" s="122" t="s">
        <v>114</v>
      </c>
      <c r="C85" s="119">
        <f t="shared" si="11"/>
        <v>0</v>
      </c>
      <c r="D85" s="119">
        <f t="shared" si="11"/>
        <v>0</v>
      </c>
      <c r="E85" s="119">
        <f t="shared" si="12"/>
        <v>0</v>
      </c>
      <c r="F85" s="120">
        <f t="shared" si="13"/>
        <v>0</v>
      </c>
    </row>
    <row r="86" spans="1:6" ht="15.75" x14ac:dyDescent="0.25">
      <c r="A86" s="130">
        <v>3</v>
      </c>
      <c r="B86" s="122" t="s">
        <v>115</v>
      </c>
      <c r="C86" s="119">
        <f t="shared" si="11"/>
        <v>65762560</v>
      </c>
      <c r="D86" s="119">
        <f t="shared" si="11"/>
        <v>76613744</v>
      </c>
      <c r="E86" s="119">
        <f t="shared" si="12"/>
        <v>10851184</v>
      </c>
      <c r="F86" s="120">
        <f t="shared" si="13"/>
        <v>0.16500549856939875</v>
      </c>
    </row>
    <row r="87" spans="1:6" ht="15.75" x14ac:dyDescent="0.25">
      <c r="A87" s="130">
        <v>4</v>
      </c>
      <c r="B87" s="122" t="s">
        <v>116</v>
      </c>
      <c r="C87" s="119">
        <f t="shared" si="11"/>
        <v>18583531</v>
      </c>
      <c r="D87" s="119">
        <f t="shared" si="11"/>
        <v>0</v>
      </c>
      <c r="E87" s="119">
        <f t="shared" si="12"/>
        <v>-18583531</v>
      </c>
      <c r="F87" s="120">
        <f t="shared" si="13"/>
        <v>-1</v>
      </c>
    </row>
    <row r="88" spans="1:6" ht="15.75" x14ac:dyDescent="0.25">
      <c r="A88" s="130">
        <v>5</v>
      </c>
      <c r="B88" s="122" t="s">
        <v>117</v>
      </c>
      <c r="C88" s="119">
        <f t="shared" si="11"/>
        <v>2265955</v>
      </c>
      <c r="D88" s="119">
        <f t="shared" si="11"/>
        <v>2585705</v>
      </c>
      <c r="E88" s="119">
        <f t="shared" si="12"/>
        <v>319750</v>
      </c>
      <c r="F88" s="120">
        <f t="shared" si="13"/>
        <v>0.14111048101131751</v>
      </c>
    </row>
    <row r="89" spans="1:6" ht="15.75" x14ac:dyDescent="0.25">
      <c r="A89" s="130">
        <v>6</v>
      </c>
      <c r="B89" s="122" t="s">
        <v>118</v>
      </c>
      <c r="C89" s="119">
        <f t="shared" si="11"/>
        <v>0</v>
      </c>
      <c r="D89" s="119">
        <f t="shared" si="11"/>
        <v>0</v>
      </c>
      <c r="E89" s="119">
        <f t="shared" si="12"/>
        <v>0</v>
      </c>
      <c r="F89" s="120">
        <f t="shared" si="13"/>
        <v>0</v>
      </c>
    </row>
    <row r="90" spans="1:6" ht="15.75" x14ac:dyDescent="0.25">
      <c r="A90" s="130">
        <v>7</v>
      </c>
      <c r="B90" s="122" t="s">
        <v>119</v>
      </c>
      <c r="C90" s="119">
        <f t="shared" si="11"/>
        <v>130036897</v>
      </c>
      <c r="D90" s="119">
        <f t="shared" si="11"/>
        <v>149396619</v>
      </c>
      <c r="E90" s="119">
        <f t="shared" si="12"/>
        <v>19359722</v>
      </c>
      <c r="F90" s="120">
        <f t="shared" si="13"/>
        <v>0.14887868325556861</v>
      </c>
    </row>
    <row r="91" spans="1:6" ht="15.75" x14ac:dyDescent="0.25">
      <c r="A91" s="130">
        <v>8</v>
      </c>
      <c r="B91" s="122" t="s">
        <v>120</v>
      </c>
      <c r="C91" s="119">
        <f t="shared" si="11"/>
        <v>0</v>
      </c>
      <c r="D91" s="119">
        <f t="shared" si="11"/>
        <v>0</v>
      </c>
      <c r="E91" s="119">
        <f t="shared" si="12"/>
        <v>0</v>
      </c>
      <c r="F91" s="120">
        <f t="shared" si="13"/>
        <v>0</v>
      </c>
    </row>
    <row r="92" spans="1:6" ht="15.75" x14ac:dyDescent="0.25">
      <c r="A92" s="130">
        <v>9</v>
      </c>
      <c r="B92" s="122" t="s">
        <v>121</v>
      </c>
      <c r="C92" s="119">
        <f t="shared" si="11"/>
        <v>1403315</v>
      </c>
      <c r="D92" s="119">
        <f t="shared" si="11"/>
        <v>826408</v>
      </c>
      <c r="E92" s="119">
        <f t="shared" si="12"/>
        <v>-576907</v>
      </c>
      <c r="F92" s="120">
        <f t="shared" si="13"/>
        <v>-0.41110299540730344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0</v>
      </c>
      <c r="D94" s="119">
        <f t="shared" si="11"/>
        <v>0</v>
      </c>
      <c r="E94" s="119">
        <f t="shared" si="12"/>
        <v>0</v>
      </c>
      <c r="F94" s="120">
        <f t="shared" si="13"/>
        <v>0</v>
      </c>
    </row>
    <row r="95" spans="1:6" ht="18.75" customHeight="1" thickBot="1" x14ac:dyDescent="0.3">
      <c r="A95" s="131"/>
      <c r="B95" s="132" t="s">
        <v>134</v>
      </c>
      <c r="C95" s="128">
        <f>SUM(C84:C94)</f>
        <v>221003761</v>
      </c>
      <c r="D95" s="128">
        <f>SUM(D84:D94)</f>
        <v>232213854</v>
      </c>
      <c r="E95" s="128">
        <f t="shared" si="12"/>
        <v>11210093</v>
      </c>
      <c r="F95" s="129">
        <f t="shared" si="13"/>
        <v>5.0723539496687571E-2</v>
      </c>
    </row>
    <row r="96" spans="1:6" x14ac:dyDescent="0.2">
      <c r="A96" s="773" t="s">
        <v>135</v>
      </c>
      <c r="B96" s="775" t="s">
        <v>136</v>
      </c>
      <c r="C96" s="777"/>
      <c r="D96" s="778"/>
      <c r="E96" s="778"/>
      <c r="F96" s="779"/>
    </row>
    <row r="97" spans="1:6" ht="15" customHeight="1" x14ac:dyDescent="0.2">
      <c r="A97" s="774"/>
      <c r="B97" s="776"/>
      <c r="C97" s="780"/>
      <c r="D97" s="781"/>
      <c r="E97" s="781"/>
      <c r="F97" s="782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3</v>
      </c>
      <c r="D100" s="133">
        <v>20</v>
      </c>
      <c r="E100" s="133">
        <f t="shared" ref="E100:E111" si="14">D100-C100</f>
        <v>17</v>
      </c>
      <c r="F100" s="114">
        <f t="shared" ref="F100:F111" si="15">IF(C100=0,0,E100/C100)</f>
        <v>5.666666666666667</v>
      </c>
    </row>
    <row r="101" spans="1:6" x14ac:dyDescent="0.2">
      <c r="A101" s="115">
        <v>2</v>
      </c>
      <c r="B101" s="116" t="s">
        <v>114</v>
      </c>
      <c r="C101" s="133">
        <v>0</v>
      </c>
      <c r="D101" s="133">
        <v>0</v>
      </c>
      <c r="E101" s="133">
        <f t="shared" si="14"/>
        <v>0</v>
      </c>
      <c r="F101" s="114">
        <f t="shared" si="15"/>
        <v>0</v>
      </c>
    </row>
    <row r="102" spans="1:6" x14ac:dyDescent="0.2">
      <c r="A102" s="115">
        <v>3</v>
      </c>
      <c r="B102" s="116" t="s">
        <v>115</v>
      </c>
      <c r="C102" s="133">
        <v>2642</v>
      </c>
      <c r="D102" s="133">
        <v>3357</v>
      </c>
      <c r="E102" s="133">
        <f t="shared" si="14"/>
        <v>715</v>
      </c>
      <c r="F102" s="114">
        <f t="shared" si="15"/>
        <v>0.27062831188493564</v>
      </c>
    </row>
    <row r="103" spans="1:6" x14ac:dyDescent="0.2">
      <c r="A103" s="115">
        <v>4</v>
      </c>
      <c r="B103" s="116" t="s">
        <v>116</v>
      </c>
      <c r="C103" s="133">
        <v>750</v>
      </c>
      <c r="D103" s="133">
        <v>0</v>
      </c>
      <c r="E103" s="133">
        <f t="shared" si="14"/>
        <v>-750</v>
      </c>
      <c r="F103" s="114">
        <f t="shared" si="15"/>
        <v>-1</v>
      </c>
    </row>
    <row r="104" spans="1:6" x14ac:dyDescent="0.2">
      <c r="A104" s="115">
        <v>5</v>
      </c>
      <c r="B104" s="116" t="s">
        <v>117</v>
      </c>
      <c r="C104" s="133">
        <v>53</v>
      </c>
      <c r="D104" s="133">
        <v>70</v>
      </c>
      <c r="E104" s="133">
        <f t="shared" si="14"/>
        <v>17</v>
      </c>
      <c r="F104" s="114">
        <f t="shared" si="15"/>
        <v>0.32075471698113206</v>
      </c>
    </row>
    <row r="105" spans="1:6" x14ac:dyDescent="0.2">
      <c r="A105" s="115">
        <v>6</v>
      </c>
      <c r="B105" s="116" t="s">
        <v>118</v>
      </c>
      <c r="C105" s="133">
        <v>0</v>
      </c>
      <c r="D105" s="133">
        <v>0</v>
      </c>
      <c r="E105" s="133">
        <f t="shared" si="14"/>
        <v>0</v>
      </c>
      <c r="F105" s="114">
        <f t="shared" si="15"/>
        <v>0</v>
      </c>
    </row>
    <row r="106" spans="1:6" x14ac:dyDescent="0.2">
      <c r="A106" s="115">
        <v>7</v>
      </c>
      <c r="B106" s="116" t="s">
        <v>119</v>
      </c>
      <c r="C106" s="133">
        <v>3122</v>
      </c>
      <c r="D106" s="133">
        <v>2928</v>
      </c>
      <c r="E106" s="133">
        <f t="shared" si="14"/>
        <v>-194</v>
      </c>
      <c r="F106" s="114">
        <f t="shared" si="15"/>
        <v>-6.2139654067905191E-2</v>
      </c>
    </row>
    <row r="107" spans="1:6" x14ac:dyDescent="0.2">
      <c r="A107" s="115">
        <v>8</v>
      </c>
      <c r="B107" s="116" t="s">
        <v>120</v>
      </c>
      <c r="C107" s="133">
        <v>0</v>
      </c>
      <c r="D107" s="133">
        <v>0</v>
      </c>
      <c r="E107" s="133">
        <f t="shared" si="14"/>
        <v>0</v>
      </c>
      <c r="F107" s="114">
        <f t="shared" si="15"/>
        <v>0</v>
      </c>
    </row>
    <row r="108" spans="1:6" x14ac:dyDescent="0.2">
      <c r="A108" s="115">
        <v>9</v>
      </c>
      <c r="B108" s="116" t="s">
        <v>121</v>
      </c>
      <c r="C108" s="133">
        <v>72</v>
      </c>
      <c r="D108" s="133">
        <v>47</v>
      </c>
      <c r="E108" s="133">
        <f t="shared" si="14"/>
        <v>-25</v>
      </c>
      <c r="F108" s="114">
        <f t="shared" si="15"/>
        <v>-0.34722222222222221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0</v>
      </c>
      <c r="D110" s="133">
        <v>0</v>
      </c>
      <c r="E110" s="133">
        <f t="shared" si="14"/>
        <v>0</v>
      </c>
      <c r="F110" s="114">
        <f t="shared" si="15"/>
        <v>0</v>
      </c>
    </row>
    <row r="111" spans="1:6" ht="15.75" x14ac:dyDescent="0.25">
      <c r="A111" s="117"/>
      <c r="B111" s="118" t="s">
        <v>138</v>
      </c>
      <c r="C111" s="134">
        <f>SUM(C100:C110)</f>
        <v>6642</v>
      </c>
      <c r="D111" s="134">
        <f>SUM(D100:D110)</f>
        <v>6422</v>
      </c>
      <c r="E111" s="134">
        <f t="shared" si="14"/>
        <v>-220</v>
      </c>
      <c r="F111" s="120">
        <f t="shared" si="15"/>
        <v>-3.3122553447756699E-2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32</v>
      </c>
      <c r="D113" s="133">
        <v>83</v>
      </c>
      <c r="E113" s="133">
        <f t="shared" ref="E113:E124" si="16">D113-C113</f>
        <v>51</v>
      </c>
      <c r="F113" s="114">
        <f t="shared" ref="F113:F124" si="17">IF(C113=0,0,E113/C113)</f>
        <v>1.59375</v>
      </c>
    </row>
    <row r="114" spans="1:6" x14ac:dyDescent="0.2">
      <c r="A114" s="115">
        <v>2</v>
      </c>
      <c r="B114" s="116" t="s">
        <v>114</v>
      </c>
      <c r="C114" s="133">
        <v>0</v>
      </c>
      <c r="D114" s="133">
        <v>0</v>
      </c>
      <c r="E114" s="133">
        <f t="shared" si="16"/>
        <v>0</v>
      </c>
      <c r="F114" s="114">
        <f t="shared" si="17"/>
        <v>0</v>
      </c>
    </row>
    <row r="115" spans="1:6" x14ac:dyDescent="0.2">
      <c r="A115" s="115">
        <v>3</v>
      </c>
      <c r="B115" s="116" t="s">
        <v>115</v>
      </c>
      <c r="C115" s="133">
        <v>20066</v>
      </c>
      <c r="D115" s="133">
        <v>24204</v>
      </c>
      <c r="E115" s="133">
        <f t="shared" si="16"/>
        <v>4138</v>
      </c>
      <c r="F115" s="114">
        <f t="shared" si="17"/>
        <v>0.2062194757300907</v>
      </c>
    </row>
    <row r="116" spans="1:6" x14ac:dyDescent="0.2">
      <c r="A116" s="115">
        <v>4</v>
      </c>
      <c r="B116" s="116" t="s">
        <v>116</v>
      </c>
      <c r="C116" s="133">
        <v>4393</v>
      </c>
      <c r="D116" s="133">
        <v>0</v>
      </c>
      <c r="E116" s="133">
        <f t="shared" si="16"/>
        <v>-4393</v>
      </c>
      <c r="F116" s="114">
        <f t="shared" si="17"/>
        <v>-1</v>
      </c>
    </row>
    <row r="117" spans="1:6" x14ac:dyDescent="0.2">
      <c r="A117" s="115">
        <v>5</v>
      </c>
      <c r="B117" s="116" t="s">
        <v>117</v>
      </c>
      <c r="C117" s="133">
        <v>476</v>
      </c>
      <c r="D117" s="133">
        <v>597</v>
      </c>
      <c r="E117" s="133">
        <f t="shared" si="16"/>
        <v>121</v>
      </c>
      <c r="F117" s="114">
        <f t="shared" si="17"/>
        <v>0.25420168067226889</v>
      </c>
    </row>
    <row r="118" spans="1:6" x14ac:dyDescent="0.2">
      <c r="A118" s="115">
        <v>6</v>
      </c>
      <c r="B118" s="116" t="s">
        <v>118</v>
      </c>
      <c r="C118" s="133">
        <v>0</v>
      </c>
      <c r="D118" s="133">
        <v>0</v>
      </c>
      <c r="E118" s="133">
        <f t="shared" si="16"/>
        <v>0</v>
      </c>
      <c r="F118" s="114">
        <f t="shared" si="17"/>
        <v>0</v>
      </c>
    </row>
    <row r="119" spans="1:6" x14ac:dyDescent="0.2">
      <c r="A119" s="115">
        <v>7</v>
      </c>
      <c r="B119" s="116" t="s">
        <v>119</v>
      </c>
      <c r="C119" s="133">
        <v>19237</v>
      </c>
      <c r="D119" s="133">
        <v>21034</v>
      </c>
      <c r="E119" s="133">
        <f t="shared" si="16"/>
        <v>1797</v>
      </c>
      <c r="F119" s="114">
        <f t="shared" si="17"/>
        <v>9.341373395020014E-2</v>
      </c>
    </row>
    <row r="120" spans="1:6" x14ac:dyDescent="0.2">
      <c r="A120" s="115">
        <v>8</v>
      </c>
      <c r="B120" s="116" t="s">
        <v>120</v>
      </c>
      <c r="C120" s="133">
        <v>0</v>
      </c>
      <c r="D120" s="133">
        <v>0</v>
      </c>
      <c r="E120" s="133">
        <f t="shared" si="16"/>
        <v>0</v>
      </c>
      <c r="F120" s="114">
        <f t="shared" si="17"/>
        <v>0</v>
      </c>
    </row>
    <row r="121" spans="1:6" x14ac:dyDescent="0.2">
      <c r="A121" s="115">
        <v>9</v>
      </c>
      <c r="B121" s="116" t="s">
        <v>121</v>
      </c>
      <c r="C121" s="133">
        <v>245</v>
      </c>
      <c r="D121" s="133">
        <v>189</v>
      </c>
      <c r="E121" s="133">
        <f t="shared" si="16"/>
        <v>-56</v>
      </c>
      <c r="F121" s="114">
        <f t="shared" si="17"/>
        <v>-0.22857142857142856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0</v>
      </c>
      <c r="D123" s="133">
        <v>0</v>
      </c>
      <c r="E123" s="133">
        <f t="shared" si="16"/>
        <v>0</v>
      </c>
      <c r="F123" s="114">
        <f t="shared" si="17"/>
        <v>0</v>
      </c>
    </row>
    <row r="124" spans="1:6" ht="15.75" x14ac:dyDescent="0.25">
      <c r="A124" s="117"/>
      <c r="B124" s="118" t="s">
        <v>140</v>
      </c>
      <c r="C124" s="134">
        <f>SUM(C113:C123)</f>
        <v>44449</v>
      </c>
      <c r="D124" s="134">
        <f>SUM(D113:D123)</f>
        <v>46107</v>
      </c>
      <c r="E124" s="134">
        <f t="shared" si="16"/>
        <v>1658</v>
      </c>
      <c r="F124" s="120">
        <f t="shared" si="17"/>
        <v>3.7301176629395486E-2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84</v>
      </c>
      <c r="D126" s="133">
        <v>117</v>
      </c>
      <c r="E126" s="133">
        <f t="shared" ref="E126:E137" si="18">D126-C126</f>
        <v>33</v>
      </c>
      <c r="F126" s="114">
        <f t="shared" ref="F126:F137" si="19">IF(C126=0,0,E126/C126)</f>
        <v>0.39285714285714285</v>
      </c>
    </row>
    <row r="127" spans="1:6" x14ac:dyDescent="0.2">
      <c r="A127" s="115">
        <v>2</v>
      </c>
      <c r="B127" s="116" t="s">
        <v>114</v>
      </c>
      <c r="C127" s="133">
        <v>0</v>
      </c>
      <c r="D127" s="133">
        <v>0</v>
      </c>
      <c r="E127" s="133">
        <f t="shared" si="18"/>
        <v>0</v>
      </c>
      <c r="F127" s="114">
        <f t="shared" si="19"/>
        <v>0</v>
      </c>
    </row>
    <row r="128" spans="1:6" x14ac:dyDescent="0.2">
      <c r="A128" s="115">
        <v>3</v>
      </c>
      <c r="B128" s="116" t="s">
        <v>115</v>
      </c>
      <c r="C128" s="133">
        <v>64792</v>
      </c>
      <c r="D128" s="133">
        <v>83489</v>
      </c>
      <c r="E128" s="133">
        <f t="shared" si="18"/>
        <v>18697</v>
      </c>
      <c r="F128" s="114">
        <f t="shared" si="19"/>
        <v>0.2885695764909248</v>
      </c>
    </row>
    <row r="129" spans="1:6" x14ac:dyDescent="0.2">
      <c r="A129" s="115">
        <v>4</v>
      </c>
      <c r="B129" s="116" t="s">
        <v>116</v>
      </c>
      <c r="C129" s="133">
        <v>18694</v>
      </c>
      <c r="D129" s="133">
        <v>0</v>
      </c>
      <c r="E129" s="133">
        <f t="shared" si="18"/>
        <v>-18694</v>
      </c>
      <c r="F129" s="114">
        <f t="shared" si="19"/>
        <v>-1</v>
      </c>
    </row>
    <row r="130" spans="1:6" x14ac:dyDescent="0.2">
      <c r="A130" s="115">
        <v>5</v>
      </c>
      <c r="B130" s="116" t="s">
        <v>117</v>
      </c>
      <c r="C130" s="133">
        <v>778</v>
      </c>
      <c r="D130" s="133">
        <v>925</v>
      </c>
      <c r="E130" s="133">
        <f t="shared" si="18"/>
        <v>147</v>
      </c>
      <c r="F130" s="114">
        <f t="shared" si="19"/>
        <v>0.18894601542416453</v>
      </c>
    </row>
    <row r="131" spans="1:6" x14ac:dyDescent="0.2">
      <c r="A131" s="115">
        <v>6</v>
      </c>
      <c r="B131" s="116" t="s">
        <v>118</v>
      </c>
      <c r="C131" s="133">
        <v>0</v>
      </c>
      <c r="D131" s="133">
        <v>0</v>
      </c>
      <c r="E131" s="133">
        <f t="shared" si="18"/>
        <v>0</v>
      </c>
      <c r="F131" s="114">
        <f t="shared" si="19"/>
        <v>0</v>
      </c>
    </row>
    <row r="132" spans="1:6" x14ac:dyDescent="0.2">
      <c r="A132" s="115">
        <v>7</v>
      </c>
      <c r="B132" s="116" t="s">
        <v>119</v>
      </c>
      <c r="C132" s="133">
        <v>75441</v>
      </c>
      <c r="D132" s="133">
        <v>77827</v>
      </c>
      <c r="E132" s="133">
        <f t="shared" si="18"/>
        <v>2386</v>
      </c>
      <c r="F132" s="114">
        <f t="shared" si="19"/>
        <v>3.1627364430482099E-2</v>
      </c>
    </row>
    <row r="133" spans="1:6" x14ac:dyDescent="0.2">
      <c r="A133" s="115">
        <v>8</v>
      </c>
      <c r="B133" s="116" t="s">
        <v>120</v>
      </c>
      <c r="C133" s="133">
        <v>0</v>
      </c>
      <c r="D133" s="133">
        <v>0</v>
      </c>
      <c r="E133" s="133">
        <f t="shared" si="18"/>
        <v>0</v>
      </c>
      <c r="F133" s="114">
        <f t="shared" si="19"/>
        <v>0</v>
      </c>
    </row>
    <row r="134" spans="1:6" x14ac:dyDescent="0.2">
      <c r="A134" s="115">
        <v>9</v>
      </c>
      <c r="B134" s="116" t="s">
        <v>121</v>
      </c>
      <c r="C134" s="133">
        <v>2147</v>
      </c>
      <c r="D134" s="133">
        <v>1761</v>
      </c>
      <c r="E134" s="133">
        <f t="shared" si="18"/>
        <v>-386</v>
      </c>
      <c r="F134" s="114">
        <f t="shared" si="19"/>
        <v>-0.17978574755472754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0</v>
      </c>
      <c r="D136" s="133">
        <v>0</v>
      </c>
      <c r="E136" s="133">
        <f t="shared" si="18"/>
        <v>0</v>
      </c>
      <c r="F136" s="114">
        <f t="shared" si="19"/>
        <v>0</v>
      </c>
    </row>
    <row r="137" spans="1:6" ht="15.75" x14ac:dyDescent="0.25">
      <c r="A137" s="117"/>
      <c r="B137" s="118" t="s">
        <v>142</v>
      </c>
      <c r="C137" s="134">
        <f>SUM(C126:C136)</f>
        <v>161936</v>
      </c>
      <c r="D137" s="134">
        <f>SUM(D126:D136)</f>
        <v>164119</v>
      </c>
      <c r="E137" s="134">
        <f t="shared" si="18"/>
        <v>2183</v>
      </c>
      <c r="F137" s="120">
        <f t="shared" si="19"/>
        <v>1.3480634324671475E-2</v>
      </c>
    </row>
    <row r="138" spans="1:6" x14ac:dyDescent="0.2">
      <c r="A138" s="773" t="s">
        <v>143</v>
      </c>
      <c r="B138" s="775" t="s">
        <v>144</v>
      </c>
      <c r="C138" s="777"/>
      <c r="D138" s="778"/>
      <c r="E138" s="778"/>
      <c r="F138" s="779"/>
    </row>
    <row r="139" spans="1:6" ht="15" customHeight="1" x14ac:dyDescent="0.2">
      <c r="A139" s="774"/>
      <c r="B139" s="776"/>
      <c r="C139" s="780"/>
      <c r="D139" s="781"/>
      <c r="E139" s="781"/>
      <c r="F139" s="782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19793</v>
      </c>
      <c r="D142" s="113">
        <v>33787</v>
      </c>
      <c r="E142" s="113">
        <f t="shared" ref="E142:E153" si="20">D142-C142</f>
        <v>13994</v>
      </c>
      <c r="F142" s="114">
        <f t="shared" ref="F142:F153" si="21">IF(C142=0,0,E142/C142)</f>
        <v>0.70701763249633709</v>
      </c>
    </row>
    <row r="143" spans="1:6" x14ac:dyDescent="0.2">
      <c r="A143" s="115">
        <v>2</v>
      </c>
      <c r="B143" s="116" t="s">
        <v>114</v>
      </c>
      <c r="C143" s="113">
        <v>0</v>
      </c>
      <c r="D143" s="113">
        <v>0</v>
      </c>
      <c r="E143" s="113">
        <f t="shared" si="20"/>
        <v>0</v>
      </c>
      <c r="F143" s="114">
        <f t="shared" si="21"/>
        <v>0</v>
      </c>
    </row>
    <row r="144" spans="1:6" x14ac:dyDescent="0.2">
      <c r="A144" s="115">
        <v>3</v>
      </c>
      <c r="B144" s="116" t="s">
        <v>115</v>
      </c>
      <c r="C144" s="113">
        <v>27933571</v>
      </c>
      <c r="D144" s="113">
        <v>50563947</v>
      </c>
      <c r="E144" s="113">
        <f t="shared" si="20"/>
        <v>22630376</v>
      </c>
      <c r="F144" s="114">
        <f t="shared" si="21"/>
        <v>0.81014976567084818</v>
      </c>
    </row>
    <row r="145" spans="1:6" x14ac:dyDescent="0.2">
      <c r="A145" s="115">
        <v>4</v>
      </c>
      <c r="B145" s="116" t="s">
        <v>116</v>
      </c>
      <c r="C145" s="113">
        <v>9213890</v>
      </c>
      <c r="D145" s="113">
        <v>0</v>
      </c>
      <c r="E145" s="113">
        <f t="shared" si="20"/>
        <v>-9213890</v>
      </c>
      <c r="F145" s="114">
        <f t="shared" si="21"/>
        <v>-1</v>
      </c>
    </row>
    <row r="146" spans="1:6" x14ac:dyDescent="0.2">
      <c r="A146" s="115">
        <v>5</v>
      </c>
      <c r="B146" s="116" t="s">
        <v>117</v>
      </c>
      <c r="C146" s="113">
        <v>316143</v>
      </c>
      <c r="D146" s="113">
        <v>458456</v>
      </c>
      <c r="E146" s="113">
        <f t="shared" si="20"/>
        <v>142313</v>
      </c>
      <c r="F146" s="114">
        <f t="shared" si="21"/>
        <v>0.45015388605789153</v>
      </c>
    </row>
    <row r="147" spans="1:6" x14ac:dyDescent="0.2">
      <c r="A147" s="115">
        <v>6</v>
      </c>
      <c r="B147" s="116" t="s">
        <v>118</v>
      </c>
      <c r="C147" s="113">
        <v>0</v>
      </c>
      <c r="D147" s="113">
        <v>0</v>
      </c>
      <c r="E147" s="113">
        <f t="shared" si="20"/>
        <v>0</v>
      </c>
      <c r="F147" s="114">
        <f t="shared" si="21"/>
        <v>0</v>
      </c>
    </row>
    <row r="148" spans="1:6" x14ac:dyDescent="0.2">
      <c r="A148" s="115">
        <v>7</v>
      </c>
      <c r="B148" s="116" t="s">
        <v>119</v>
      </c>
      <c r="C148" s="113">
        <v>21308725</v>
      </c>
      <c r="D148" s="113">
        <v>31639009</v>
      </c>
      <c r="E148" s="113">
        <f t="shared" si="20"/>
        <v>10330284</v>
      </c>
      <c r="F148" s="114">
        <f t="shared" si="21"/>
        <v>0.48479127681266709</v>
      </c>
    </row>
    <row r="149" spans="1:6" x14ac:dyDescent="0.2">
      <c r="A149" s="115">
        <v>8</v>
      </c>
      <c r="B149" s="116" t="s">
        <v>120</v>
      </c>
      <c r="C149" s="113">
        <v>0</v>
      </c>
      <c r="D149" s="113">
        <v>0</v>
      </c>
      <c r="E149" s="113">
        <f t="shared" si="20"/>
        <v>0</v>
      </c>
      <c r="F149" s="114">
        <f t="shared" si="21"/>
        <v>0</v>
      </c>
    </row>
    <row r="150" spans="1:6" x14ac:dyDescent="0.2">
      <c r="A150" s="115">
        <v>9</v>
      </c>
      <c r="B150" s="116" t="s">
        <v>121</v>
      </c>
      <c r="C150" s="113">
        <v>1825220</v>
      </c>
      <c r="D150" s="113">
        <v>1438339</v>
      </c>
      <c r="E150" s="113">
        <f t="shared" si="20"/>
        <v>-386881</v>
      </c>
      <c r="F150" s="114">
        <f t="shared" si="21"/>
        <v>-0.21196403721195253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0</v>
      </c>
      <c r="D152" s="113">
        <v>0</v>
      </c>
      <c r="E152" s="113">
        <f t="shared" si="20"/>
        <v>0</v>
      </c>
      <c r="F152" s="114">
        <f t="shared" si="21"/>
        <v>0</v>
      </c>
    </row>
    <row r="153" spans="1:6" ht="33.75" customHeight="1" x14ac:dyDescent="0.25">
      <c r="A153" s="117"/>
      <c r="B153" s="118" t="s">
        <v>146</v>
      </c>
      <c r="C153" s="119">
        <f>SUM(C142:C152)</f>
        <v>60617342</v>
      </c>
      <c r="D153" s="119">
        <f>SUM(D142:D152)</f>
        <v>84133538</v>
      </c>
      <c r="E153" s="119">
        <f t="shared" si="20"/>
        <v>23516196</v>
      </c>
      <c r="F153" s="120">
        <f t="shared" si="21"/>
        <v>0.38794502075000253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8313</v>
      </c>
      <c r="D155" s="113">
        <v>14191</v>
      </c>
      <c r="E155" s="113">
        <f t="shared" ref="E155:E166" si="22">D155-C155</f>
        <v>5878</v>
      </c>
      <c r="F155" s="114">
        <f t="shared" ref="F155:F166" si="23">IF(C155=0,0,E155/C155)</f>
        <v>0.70708528810297122</v>
      </c>
    </row>
    <row r="156" spans="1:6" x14ac:dyDescent="0.2">
      <c r="A156" s="115">
        <v>2</v>
      </c>
      <c r="B156" s="116" t="s">
        <v>114</v>
      </c>
      <c r="C156" s="113">
        <v>0</v>
      </c>
      <c r="D156" s="113">
        <v>0</v>
      </c>
      <c r="E156" s="113">
        <f t="shared" si="22"/>
        <v>0</v>
      </c>
      <c r="F156" s="114">
        <f t="shared" si="23"/>
        <v>0</v>
      </c>
    </row>
    <row r="157" spans="1:6" x14ac:dyDescent="0.2">
      <c r="A157" s="115">
        <v>3</v>
      </c>
      <c r="B157" s="116" t="s">
        <v>115</v>
      </c>
      <c r="C157" s="113">
        <v>4750177</v>
      </c>
      <c r="D157" s="113">
        <v>10348424</v>
      </c>
      <c r="E157" s="113">
        <f t="shared" si="22"/>
        <v>5598247</v>
      </c>
      <c r="F157" s="114">
        <f t="shared" si="23"/>
        <v>1.1785343998760467</v>
      </c>
    </row>
    <row r="158" spans="1:6" x14ac:dyDescent="0.2">
      <c r="A158" s="115">
        <v>4</v>
      </c>
      <c r="B158" s="116" t="s">
        <v>116</v>
      </c>
      <c r="C158" s="113">
        <v>2114469</v>
      </c>
      <c r="D158" s="113">
        <v>0</v>
      </c>
      <c r="E158" s="113">
        <f t="shared" si="22"/>
        <v>-2114469</v>
      </c>
      <c r="F158" s="114">
        <f t="shared" si="23"/>
        <v>-1</v>
      </c>
    </row>
    <row r="159" spans="1:6" x14ac:dyDescent="0.2">
      <c r="A159" s="115">
        <v>5</v>
      </c>
      <c r="B159" s="116" t="s">
        <v>117</v>
      </c>
      <c r="C159" s="113">
        <v>208655</v>
      </c>
      <c r="D159" s="113">
        <v>302581</v>
      </c>
      <c r="E159" s="113">
        <f t="shared" si="22"/>
        <v>93926</v>
      </c>
      <c r="F159" s="114">
        <f t="shared" si="23"/>
        <v>0.45014976875703916</v>
      </c>
    </row>
    <row r="160" spans="1:6" x14ac:dyDescent="0.2">
      <c r="A160" s="115">
        <v>6</v>
      </c>
      <c r="B160" s="116" t="s">
        <v>118</v>
      </c>
      <c r="C160" s="113">
        <v>0</v>
      </c>
      <c r="D160" s="113">
        <v>0</v>
      </c>
      <c r="E160" s="113">
        <f t="shared" si="22"/>
        <v>0</v>
      </c>
      <c r="F160" s="114">
        <f t="shared" si="23"/>
        <v>0</v>
      </c>
    </row>
    <row r="161" spans="1:6" x14ac:dyDescent="0.2">
      <c r="A161" s="115">
        <v>7</v>
      </c>
      <c r="B161" s="116" t="s">
        <v>119</v>
      </c>
      <c r="C161" s="113">
        <v>13257611</v>
      </c>
      <c r="D161" s="113">
        <v>18950202</v>
      </c>
      <c r="E161" s="113">
        <f t="shared" si="22"/>
        <v>5692591</v>
      </c>
      <c r="F161" s="114">
        <f t="shared" si="23"/>
        <v>0.42938286543480569</v>
      </c>
    </row>
    <row r="162" spans="1:6" x14ac:dyDescent="0.2">
      <c r="A162" s="115">
        <v>8</v>
      </c>
      <c r="B162" s="116" t="s">
        <v>120</v>
      </c>
      <c r="C162" s="113">
        <v>0</v>
      </c>
      <c r="D162" s="113">
        <v>0</v>
      </c>
      <c r="E162" s="113">
        <f t="shared" si="22"/>
        <v>0</v>
      </c>
      <c r="F162" s="114">
        <f t="shared" si="23"/>
        <v>0</v>
      </c>
    </row>
    <row r="163" spans="1:6" x14ac:dyDescent="0.2">
      <c r="A163" s="115">
        <v>9</v>
      </c>
      <c r="B163" s="116" t="s">
        <v>121</v>
      </c>
      <c r="C163" s="113">
        <v>1005140</v>
      </c>
      <c r="D163" s="113">
        <v>779957</v>
      </c>
      <c r="E163" s="113">
        <f t="shared" si="22"/>
        <v>-225183</v>
      </c>
      <c r="F163" s="114">
        <f t="shared" si="23"/>
        <v>-0.2240314782020415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0</v>
      </c>
      <c r="D165" s="113">
        <v>0</v>
      </c>
      <c r="E165" s="113">
        <f t="shared" si="22"/>
        <v>0</v>
      </c>
      <c r="F165" s="114">
        <f t="shared" si="23"/>
        <v>0</v>
      </c>
    </row>
    <row r="166" spans="1:6" ht="33.75" customHeight="1" x14ac:dyDescent="0.25">
      <c r="A166" s="117"/>
      <c r="B166" s="118" t="s">
        <v>148</v>
      </c>
      <c r="C166" s="119">
        <f>SUM(C155:C165)</f>
        <v>21344365</v>
      </c>
      <c r="D166" s="119">
        <f>SUM(D155:D165)</f>
        <v>30395355</v>
      </c>
      <c r="E166" s="119">
        <f t="shared" si="22"/>
        <v>9050990</v>
      </c>
      <c r="F166" s="120">
        <f t="shared" si="23"/>
        <v>0.424045878150978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13</v>
      </c>
      <c r="D168" s="133">
        <v>11</v>
      </c>
      <c r="E168" s="133">
        <f t="shared" ref="E168:E179" si="24">D168-C168</f>
        <v>-2</v>
      </c>
      <c r="F168" s="114">
        <f t="shared" ref="F168:F179" si="25">IF(C168=0,0,E168/C168)</f>
        <v>-0.15384615384615385</v>
      </c>
    </row>
    <row r="169" spans="1:6" x14ac:dyDescent="0.2">
      <c r="A169" s="115">
        <v>2</v>
      </c>
      <c r="B169" s="116" t="s">
        <v>114</v>
      </c>
      <c r="C169" s="133">
        <v>0</v>
      </c>
      <c r="D169" s="133">
        <v>0</v>
      </c>
      <c r="E169" s="133">
        <f t="shared" si="24"/>
        <v>0</v>
      </c>
      <c r="F169" s="114">
        <f t="shared" si="25"/>
        <v>0</v>
      </c>
    </row>
    <row r="170" spans="1:6" x14ac:dyDescent="0.2">
      <c r="A170" s="115">
        <v>3</v>
      </c>
      <c r="B170" s="116" t="s">
        <v>115</v>
      </c>
      <c r="C170" s="133">
        <v>26984</v>
      </c>
      <c r="D170" s="133">
        <v>35126</v>
      </c>
      <c r="E170" s="133">
        <f t="shared" si="24"/>
        <v>8142</v>
      </c>
      <c r="F170" s="114">
        <f t="shared" si="25"/>
        <v>0.30173436110287577</v>
      </c>
    </row>
    <row r="171" spans="1:6" x14ac:dyDescent="0.2">
      <c r="A171" s="115">
        <v>4</v>
      </c>
      <c r="B171" s="116" t="s">
        <v>116</v>
      </c>
      <c r="C171" s="133">
        <v>7824</v>
      </c>
      <c r="D171" s="133">
        <v>0</v>
      </c>
      <c r="E171" s="133">
        <f t="shared" si="24"/>
        <v>-7824</v>
      </c>
      <c r="F171" s="114">
        <f t="shared" si="25"/>
        <v>-1</v>
      </c>
    </row>
    <row r="172" spans="1:6" x14ac:dyDescent="0.2">
      <c r="A172" s="115">
        <v>5</v>
      </c>
      <c r="B172" s="116" t="s">
        <v>117</v>
      </c>
      <c r="C172" s="133">
        <v>277</v>
      </c>
      <c r="D172" s="133">
        <v>285</v>
      </c>
      <c r="E172" s="133">
        <f t="shared" si="24"/>
        <v>8</v>
      </c>
      <c r="F172" s="114">
        <f t="shared" si="25"/>
        <v>2.8880866425992781E-2</v>
      </c>
    </row>
    <row r="173" spans="1:6" x14ac:dyDescent="0.2">
      <c r="A173" s="115">
        <v>6</v>
      </c>
      <c r="B173" s="116" t="s">
        <v>118</v>
      </c>
      <c r="C173" s="133">
        <v>0</v>
      </c>
      <c r="D173" s="133">
        <v>0</v>
      </c>
      <c r="E173" s="133">
        <f t="shared" si="24"/>
        <v>0</v>
      </c>
      <c r="F173" s="114">
        <f t="shared" si="25"/>
        <v>0</v>
      </c>
    </row>
    <row r="174" spans="1:6" x14ac:dyDescent="0.2">
      <c r="A174" s="115">
        <v>7</v>
      </c>
      <c r="B174" s="116" t="s">
        <v>119</v>
      </c>
      <c r="C174" s="133">
        <v>16070</v>
      </c>
      <c r="D174" s="133">
        <v>15773</v>
      </c>
      <c r="E174" s="133">
        <f t="shared" si="24"/>
        <v>-297</v>
      </c>
      <c r="F174" s="114">
        <f t="shared" si="25"/>
        <v>-1.8481642812694463E-2</v>
      </c>
    </row>
    <row r="175" spans="1:6" x14ac:dyDescent="0.2">
      <c r="A175" s="115">
        <v>8</v>
      </c>
      <c r="B175" s="116" t="s">
        <v>120</v>
      </c>
      <c r="C175" s="133">
        <v>0</v>
      </c>
      <c r="D175" s="133">
        <v>0</v>
      </c>
      <c r="E175" s="133">
        <f t="shared" si="24"/>
        <v>0</v>
      </c>
      <c r="F175" s="114">
        <f t="shared" si="25"/>
        <v>0</v>
      </c>
    </row>
    <row r="176" spans="1:6" x14ac:dyDescent="0.2">
      <c r="A176" s="115">
        <v>9</v>
      </c>
      <c r="B176" s="116" t="s">
        <v>121</v>
      </c>
      <c r="C176" s="133">
        <v>1445</v>
      </c>
      <c r="D176" s="133">
        <v>1146</v>
      </c>
      <c r="E176" s="133">
        <f t="shared" si="24"/>
        <v>-299</v>
      </c>
      <c r="F176" s="114">
        <f t="shared" si="25"/>
        <v>-0.2069204152249135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0</v>
      </c>
      <c r="D178" s="133">
        <v>0</v>
      </c>
      <c r="E178" s="133">
        <f t="shared" si="24"/>
        <v>0</v>
      </c>
      <c r="F178" s="114">
        <f t="shared" si="25"/>
        <v>0</v>
      </c>
    </row>
    <row r="179" spans="1:6" ht="33.75" customHeight="1" x14ac:dyDescent="0.25">
      <c r="A179" s="117"/>
      <c r="B179" s="118" t="s">
        <v>150</v>
      </c>
      <c r="C179" s="134">
        <f>SUM(C168:C178)</f>
        <v>52613</v>
      </c>
      <c r="D179" s="134">
        <f>SUM(D168:D178)</f>
        <v>52341</v>
      </c>
      <c r="E179" s="134">
        <f t="shared" si="24"/>
        <v>-272</v>
      </c>
      <c r="F179" s="120">
        <f t="shared" si="25"/>
        <v>-5.1698249482067171E-3</v>
      </c>
    </row>
  </sheetData>
  <mergeCells count="23"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10:A11"/>
    <mergeCell ref="B10:B11"/>
    <mergeCell ref="C10:F11"/>
    <mergeCell ref="A39:A40"/>
    <mergeCell ref="B39:B40"/>
    <mergeCell ref="C39:F40"/>
    <mergeCell ref="A2:F2"/>
    <mergeCell ref="A3:F3"/>
    <mergeCell ref="A4:F4"/>
    <mergeCell ref="A5:F5"/>
    <mergeCell ref="C9:F9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FILING&amp;RCT CHILDREN`S MEDICAL CENTER</oddHeader>
    <oddFooter>&amp;LREPORT 100&amp;CPAGE &amp;P of &amp;N&amp;R&amp;D, 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1"/>
  <sheetViews>
    <sheetView topLeftCell="B1" zoomScale="75" workbookViewId="0">
      <selection sqref="A1:F1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30614095</v>
      </c>
      <c r="D15" s="157">
        <v>29967685</v>
      </c>
      <c r="E15" s="157">
        <f>+D15-C15</f>
        <v>-646410</v>
      </c>
      <c r="F15" s="161">
        <f>IF(C15=0,0,E15/C15)</f>
        <v>-2.111478389284413E-2</v>
      </c>
    </row>
    <row r="16" spans="1:6" ht="15" customHeight="1" x14ac:dyDescent="0.2">
      <c r="A16" s="147">
        <v>2</v>
      </c>
      <c r="B16" s="160" t="s">
        <v>157</v>
      </c>
      <c r="C16" s="157">
        <v>0</v>
      </c>
      <c r="D16" s="157">
        <v>0</v>
      </c>
      <c r="E16" s="157">
        <f>+D16-C16</f>
        <v>0</v>
      </c>
      <c r="F16" s="161">
        <f>IF(C16=0,0,E16/C16)</f>
        <v>0</v>
      </c>
    </row>
    <row r="17" spans="1:6" ht="15" customHeight="1" x14ac:dyDescent="0.2">
      <c r="A17" s="147">
        <v>3</v>
      </c>
      <c r="B17" s="160" t="s">
        <v>158</v>
      </c>
      <c r="C17" s="157">
        <v>67858609</v>
      </c>
      <c r="D17" s="157">
        <v>77662593</v>
      </c>
      <c r="E17" s="157">
        <f>+D17-C17</f>
        <v>9803984</v>
      </c>
      <c r="F17" s="161">
        <f>IF(C17=0,0,E17/C17)</f>
        <v>0.14447664260256204</v>
      </c>
    </row>
    <row r="18" spans="1:6" ht="15.75" customHeight="1" x14ac:dyDescent="0.25">
      <c r="A18" s="147"/>
      <c r="B18" s="162" t="s">
        <v>159</v>
      </c>
      <c r="C18" s="158">
        <f>SUM(C15:C17)</f>
        <v>98472704</v>
      </c>
      <c r="D18" s="158">
        <f>SUM(D15:D17)</f>
        <v>107630278</v>
      </c>
      <c r="E18" s="158">
        <f>+D18-C18</f>
        <v>9157574</v>
      </c>
      <c r="F18" s="159">
        <f>IF(C18=0,0,E18/C18)</f>
        <v>9.2996065183708163E-2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8158437</v>
      </c>
      <c r="D21" s="157">
        <v>8711626</v>
      </c>
      <c r="E21" s="157">
        <f>+D21-C21</f>
        <v>553189</v>
      </c>
      <c r="F21" s="161">
        <f>IF(C21=0,0,E21/C21)</f>
        <v>6.7805757401816061E-2</v>
      </c>
    </row>
    <row r="22" spans="1:6" ht="15" customHeight="1" x14ac:dyDescent="0.2">
      <c r="A22" s="147">
        <v>2</v>
      </c>
      <c r="B22" s="160" t="s">
        <v>162</v>
      </c>
      <c r="C22" s="157">
        <v>0</v>
      </c>
      <c r="D22" s="157">
        <v>0</v>
      </c>
      <c r="E22" s="157">
        <f>+D22-C22</f>
        <v>0</v>
      </c>
      <c r="F22" s="161">
        <f>IF(C22=0,0,E22/C22)</f>
        <v>0</v>
      </c>
    </row>
    <row r="23" spans="1:6" ht="15" customHeight="1" x14ac:dyDescent="0.2">
      <c r="A23" s="147">
        <v>3</v>
      </c>
      <c r="B23" s="160" t="s">
        <v>163</v>
      </c>
      <c r="C23" s="157">
        <v>18083833</v>
      </c>
      <c r="D23" s="157">
        <v>22576569</v>
      </c>
      <c r="E23" s="157">
        <f>+D23-C23</f>
        <v>4492736</v>
      </c>
      <c r="F23" s="161">
        <f>IF(C23=0,0,E23/C23)</f>
        <v>0.24843936570305641</v>
      </c>
    </row>
    <row r="24" spans="1:6" ht="15.75" customHeight="1" x14ac:dyDescent="0.25">
      <c r="A24" s="147"/>
      <c r="B24" s="162" t="s">
        <v>164</v>
      </c>
      <c r="C24" s="158">
        <f>SUM(C21:C23)</f>
        <v>26242270</v>
      </c>
      <c r="D24" s="158">
        <f>SUM(D21:D23)</f>
        <v>31288195</v>
      </c>
      <c r="E24" s="158">
        <f>+D24-C24</f>
        <v>5045925</v>
      </c>
      <c r="F24" s="159">
        <f>IF(C24=0,0,E24/C24)</f>
        <v>0.19228233685576743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0</v>
      </c>
      <c r="D27" s="157">
        <v>0</v>
      </c>
      <c r="E27" s="157">
        <f>+D27-C27</f>
        <v>0</v>
      </c>
      <c r="F27" s="161">
        <f>IF(C27=0,0,E27/C27)</f>
        <v>0</v>
      </c>
    </row>
    <row r="28" spans="1:6" ht="15" customHeight="1" x14ac:dyDescent="0.2">
      <c r="A28" s="147">
        <v>2</v>
      </c>
      <c r="B28" s="160" t="s">
        <v>167</v>
      </c>
      <c r="C28" s="157">
        <v>9842568</v>
      </c>
      <c r="D28" s="157">
        <v>11600355</v>
      </c>
      <c r="E28" s="157">
        <f>+D28-C28</f>
        <v>1757787</v>
      </c>
      <c r="F28" s="161">
        <f>IF(C28=0,0,E28/C28)</f>
        <v>0.17859028253602108</v>
      </c>
    </row>
    <row r="29" spans="1:6" ht="15" customHeight="1" x14ac:dyDescent="0.2">
      <c r="A29" s="147">
        <v>3</v>
      </c>
      <c r="B29" s="160" t="s">
        <v>168</v>
      </c>
      <c r="C29" s="157">
        <v>0</v>
      </c>
      <c r="D29" s="157">
        <v>0</v>
      </c>
      <c r="E29" s="157">
        <f>+D29-C29</f>
        <v>0</v>
      </c>
      <c r="F29" s="161">
        <f>IF(C29=0,0,E29/C29)</f>
        <v>0</v>
      </c>
    </row>
    <row r="30" spans="1:6" ht="15.75" customHeight="1" x14ac:dyDescent="0.25">
      <c r="A30" s="147"/>
      <c r="B30" s="162" t="s">
        <v>169</v>
      </c>
      <c r="C30" s="158">
        <f>SUM(C27:C29)</f>
        <v>9842568</v>
      </c>
      <c r="D30" s="158">
        <f>SUM(D27:D29)</f>
        <v>11600355</v>
      </c>
      <c r="E30" s="158">
        <f>+D30-C30</f>
        <v>1757787</v>
      </c>
      <c r="F30" s="159">
        <f>IF(C30=0,0,E30/C30)</f>
        <v>0.17859028253602108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10593929</v>
      </c>
      <c r="D33" s="157">
        <v>11311205</v>
      </c>
      <c r="E33" s="157">
        <f>+D33-C33</f>
        <v>717276</v>
      </c>
      <c r="F33" s="161">
        <f>IF(C33=0,0,E33/C33)</f>
        <v>6.7706325009352059E-2</v>
      </c>
    </row>
    <row r="34" spans="1:6" ht="15" customHeight="1" x14ac:dyDescent="0.2">
      <c r="A34" s="147">
        <v>2</v>
      </c>
      <c r="B34" s="160" t="s">
        <v>173</v>
      </c>
      <c r="C34" s="157">
        <v>6033215</v>
      </c>
      <c r="D34" s="157">
        <v>6459491</v>
      </c>
      <c r="E34" s="157">
        <f>+D34-C34</f>
        <v>426276</v>
      </c>
      <c r="F34" s="161">
        <f>IF(C34=0,0,E34/C34)</f>
        <v>7.0654866435225658E-2</v>
      </c>
    </row>
    <row r="35" spans="1:6" ht="15.75" customHeight="1" x14ac:dyDescent="0.25">
      <c r="A35" s="147"/>
      <c r="B35" s="162" t="s">
        <v>174</v>
      </c>
      <c r="C35" s="158">
        <f>SUM(C33:C34)</f>
        <v>16627144</v>
      </c>
      <c r="D35" s="158">
        <f>SUM(D33:D34)</f>
        <v>17770696</v>
      </c>
      <c r="E35" s="158">
        <f>+D35-C35</f>
        <v>1143552</v>
      </c>
      <c r="F35" s="159">
        <f>IF(C35=0,0,E35/C35)</f>
        <v>6.8776213160841093E-2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4681798</v>
      </c>
      <c r="D38" s="157">
        <v>4723283</v>
      </c>
      <c r="E38" s="157">
        <f>+D38-C38</f>
        <v>41485</v>
      </c>
      <c r="F38" s="161">
        <f>IF(C38=0,0,E38/C38)</f>
        <v>8.8609119829603927E-3</v>
      </c>
    </row>
    <row r="39" spans="1:6" ht="15" customHeight="1" x14ac:dyDescent="0.2">
      <c r="A39" s="147">
        <v>2</v>
      </c>
      <c r="B39" s="160" t="s">
        <v>178</v>
      </c>
      <c r="C39" s="157">
        <v>5346505</v>
      </c>
      <c r="D39" s="157">
        <v>6698458</v>
      </c>
      <c r="E39" s="157">
        <f>+D39-C39</f>
        <v>1351953</v>
      </c>
      <c r="F39" s="161">
        <f>IF(C39=0,0,E39/C39)</f>
        <v>0.25286668580689631</v>
      </c>
    </row>
    <row r="40" spans="1:6" ht="15" customHeight="1" x14ac:dyDescent="0.2">
      <c r="A40" s="147">
        <v>3</v>
      </c>
      <c r="B40" s="160" t="s">
        <v>179</v>
      </c>
      <c r="C40" s="157">
        <v>379973</v>
      </c>
      <c r="D40" s="157">
        <v>380099</v>
      </c>
      <c r="E40" s="157">
        <f>+D40-C40</f>
        <v>126</v>
      </c>
      <c r="F40" s="161">
        <f>IF(C40=0,0,E40/C40)</f>
        <v>3.3160250859929523E-4</v>
      </c>
    </row>
    <row r="41" spans="1:6" ht="15.75" customHeight="1" x14ac:dyDescent="0.25">
      <c r="A41" s="147"/>
      <c r="B41" s="162" t="s">
        <v>180</v>
      </c>
      <c r="C41" s="158">
        <f>SUM(C38:C40)</f>
        <v>10408276</v>
      </c>
      <c r="D41" s="158">
        <f>SUM(D38:D40)</f>
        <v>11801840</v>
      </c>
      <c r="E41" s="158">
        <f>+D41-C41</f>
        <v>1393564</v>
      </c>
      <c r="F41" s="159">
        <f>IF(C41=0,0,E41/C41)</f>
        <v>0.13388999292486095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4548780</v>
      </c>
      <c r="D44" s="157">
        <v>0</v>
      </c>
      <c r="E44" s="157">
        <f>+D44-C44</f>
        <v>-4548780</v>
      </c>
      <c r="F44" s="161">
        <f>IF(C44=0,0,E44/C44)</f>
        <v>-1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910866</v>
      </c>
      <c r="D47" s="157">
        <v>1294274</v>
      </c>
      <c r="E47" s="157">
        <f>+D47-C47</f>
        <v>383408</v>
      </c>
      <c r="F47" s="161">
        <f>IF(C47=0,0,E47/C47)</f>
        <v>0.42092689813869438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5072074</v>
      </c>
      <c r="D50" s="157">
        <v>870596</v>
      </c>
      <c r="E50" s="157">
        <f>+D50-C50</f>
        <v>-4201478</v>
      </c>
      <c r="F50" s="161">
        <f>IF(C50=0,0,E50/C50)</f>
        <v>-0.82835502794320426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135788</v>
      </c>
      <c r="D53" s="157">
        <v>146604</v>
      </c>
      <c r="E53" s="157">
        <f t="shared" ref="E53:E59" si="0">+D53-C53</f>
        <v>10816</v>
      </c>
      <c r="F53" s="161">
        <f t="shared" ref="F53:F59" si="1">IF(C53=0,0,E53/C53)</f>
        <v>7.965357763572628E-2</v>
      </c>
    </row>
    <row r="54" spans="1:6" ht="15" customHeight="1" x14ac:dyDescent="0.2">
      <c r="A54" s="147">
        <v>2</v>
      </c>
      <c r="B54" s="160" t="s">
        <v>189</v>
      </c>
      <c r="C54" s="157">
        <v>577148</v>
      </c>
      <c r="D54" s="157">
        <v>584708</v>
      </c>
      <c r="E54" s="157">
        <f t="shared" si="0"/>
        <v>7560</v>
      </c>
      <c r="F54" s="161">
        <f t="shared" si="1"/>
        <v>1.30988931781796E-2</v>
      </c>
    </row>
    <row r="55" spans="1:6" ht="15" customHeight="1" x14ac:dyDescent="0.2">
      <c r="A55" s="147">
        <v>3</v>
      </c>
      <c r="B55" s="160" t="s">
        <v>190</v>
      </c>
      <c r="C55" s="157">
        <v>0</v>
      </c>
      <c r="D55" s="157">
        <v>0</v>
      </c>
      <c r="E55" s="157">
        <f t="shared" si="0"/>
        <v>0</v>
      </c>
      <c r="F55" s="161">
        <f t="shared" si="1"/>
        <v>0</v>
      </c>
    </row>
    <row r="56" spans="1:6" ht="15" customHeight="1" x14ac:dyDescent="0.2">
      <c r="A56" s="147">
        <v>4</v>
      </c>
      <c r="B56" s="160" t="s">
        <v>191</v>
      </c>
      <c r="C56" s="157">
        <v>1704838</v>
      </c>
      <c r="D56" s="157">
        <v>1549906</v>
      </c>
      <c r="E56" s="157">
        <f t="shared" si="0"/>
        <v>-154932</v>
      </c>
      <c r="F56" s="161">
        <f t="shared" si="1"/>
        <v>-9.087784293874257E-2</v>
      </c>
    </row>
    <row r="57" spans="1:6" ht="15" customHeight="1" x14ac:dyDescent="0.2">
      <c r="A57" s="147">
        <v>5</v>
      </c>
      <c r="B57" s="160" t="s">
        <v>192</v>
      </c>
      <c r="C57" s="157">
        <v>262323</v>
      </c>
      <c r="D57" s="157">
        <v>284059</v>
      </c>
      <c r="E57" s="157">
        <f t="shared" si="0"/>
        <v>21736</v>
      </c>
      <c r="F57" s="161">
        <f t="shared" si="1"/>
        <v>8.2859680622743723E-2</v>
      </c>
    </row>
    <row r="58" spans="1:6" ht="15" customHeight="1" x14ac:dyDescent="0.2">
      <c r="A58" s="147">
        <v>6</v>
      </c>
      <c r="B58" s="160" t="s">
        <v>193</v>
      </c>
      <c r="C58" s="157">
        <v>43286</v>
      </c>
      <c r="D58" s="157">
        <v>42515</v>
      </c>
      <c r="E58" s="157">
        <f t="shared" si="0"/>
        <v>-771</v>
      </c>
      <c r="F58" s="161">
        <f t="shared" si="1"/>
        <v>-1.7811763618721988E-2</v>
      </c>
    </row>
    <row r="59" spans="1:6" ht="15.75" customHeight="1" x14ac:dyDescent="0.25">
      <c r="A59" s="147"/>
      <c r="B59" s="162" t="s">
        <v>194</v>
      </c>
      <c r="C59" s="158">
        <f>SUM(C53:C58)</f>
        <v>2723383</v>
      </c>
      <c r="D59" s="158">
        <f>SUM(D53:D58)</f>
        <v>2607792</v>
      </c>
      <c r="E59" s="158">
        <f t="shared" si="0"/>
        <v>-115591</v>
      </c>
      <c r="F59" s="159">
        <f t="shared" si="1"/>
        <v>-4.2443901573888068E-2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340809</v>
      </c>
      <c r="D62" s="157">
        <v>308923</v>
      </c>
      <c r="E62" s="157">
        <f t="shared" ref="E62:E90" si="2">+D62-C62</f>
        <v>-31886</v>
      </c>
      <c r="F62" s="161">
        <f t="shared" ref="F62:F90" si="3">IF(C62=0,0,E62/C62)</f>
        <v>-9.3559735805099048E-2</v>
      </c>
    </row>
    <row r="63" spans="1:6" ht="15" customHeight="1" x14ac:dyDescent="0.2">
      <c r="A63" s="147">
        <v>2</v>
      </c>
      <c r="B63" s="160" t="s">
        <v>198</v>
      </c>
      <c r="C63" s="157">
        <v>549741</v>
      </c>
      <c r="D63" s="157">
        <v>825362</v>
      </c>
      <c r="E63" s="157">
        <f t="shared" si="2"/>
        <v>275621</v>
      </c>
      <c r="F63" s="161">
        <f t="shared" si="3"/>
        <v>0.50136518833414279</v>
      </c>
    </row>
    <row r="64" spans="1:6" ht="15" customHeight="1" x14ac:dyDescent="0.2">
      <c r="A64" s="147">
        <v>3</v>
      </c>
      <c r="B64" s="160" t="s">
        <v>199</v>
      </c>
      <c r="C64" s="157">
        <v>2943500</v>
      </c>
      <c r="D64" s="157">
        <v>4804853</v>
      </c>
      <c r="E64" s="157">
        <f t="shared" si="2"/>
        <v>1861353</v>
      </c>
      <c r="F64" s="161">
        <f t="shared" si="3"/>
        <v>0.63236045524036011</v>
      </c>
    </row>
    <row r="65" spans="1:6" ht="15" customHeight="1" x14ac:dyDescent="0.2">
      <c r="A65" s="147">
        <v>4</v>
      </c>
      <c r="B65" s="160" t="s">
        <v>200</v>
      </c>
      <c r="C65" s="157">
        <v>854188</v>
      </c>
      <c r="D65" s="157">
        <v>950559</v>
      </c>
      <c r="E65" s="157">
        <f t="shared" si="2"/>
        <v>96371</v>
      </c>
      <c r="F65" s="161">
        <f t="shared" si="3"/>
        <v>0.11282176757341475</v>
      </c>
    </row>
    <row r="66" spans="1:6" ht="15" customHeight="1" x14ac:dyDescent="0.2">
      <c r="A66" s="147">
        <v>5</v>
      </c>
      <c r="B66" s="160" t="s">
        <v>201</v>
      </c>
      <c r="C66" s="157">
        <v>581695</v>
      </c>
      <c r="D66" s="157">
        <v>628079</v>
      </c>
      <c r="E66" s="157">
        <f t="shared" si="2"/>
        <v>46384</v>
      </c>
      <c r="F66" s="161">
        <f t="shared" si="3"/>
        <v>7.973938232235106E-2</v>
      </c>
    </row>
    <row r="67" spans="1:6" ht="15" customHeight="1" x14ac:dyDescent="0.2">
      <c r="A67" s="147">
        <v>6</v>
      </c>
      <c r="B67" s="160" t="s">
        <v>202</v>
      </c>
      <c r="C67" s="157">
        <v>7410032</v>
      </c>
      <c r="D67" s="157">
        <v>7908358</v>
      </c>
      <c r="E67" s="157">
        <f t="shared" si="2"/>
        <v>498326</v>
      </c>
      <c r="F67" s="161">
        <f t="shared" si="3"/>
        <v>6.7250181915543689E-2</v>
      </c>
    </row>
    <row r="68" spans="1:6" ht="15" customHeight="1" x14ac:dyDescent="0.2">
      <c r="A68" s="147">
        <v>7</v>
      </c>
      <c r="B68" s="160" t="s">
        <v>203</v>
      </c>
      <c r="C68" s="157">
        <v>2024760</v>
      </c>
      <c r="D68" s="157">
        <v>2317322</v>
      </c>
      <c r="E68" s="157">
        <f t="shared" si="2"/>
        <v>292562</v>
      </c>
      <c r="F68" s="161">
        <f t="shared" si="3"/>
        <v>0.14449218672830361</v>
      </c>
    </row>
    <row r="69" spans="1:6" ht="15" customHeight="1" x14ac:dyDescent="0.2">
      <c r="A69" s="147">
        <v>8</v>
      </c>
      <c r="B69" s="160" t="s">
        <v>204</v>
      </c>
      <c r="C69" s="157">
        <v>330455</v>
      </c>
      <c r="D69" s="157">
        <v>467389</v>
      </c>
      <c r="E69" s="157">
        <f t="shared" si="2"/>
        <v>136934</v>
      </c>
      <c r="F69" s="161">
        <f t="shared" si="3"/>
        <v>0.41438017279205941</v>
      </c>
    </row>
    <row r="70" spans="1:6" ht="15" customHeight="1" x14ac:dyDescent="0.2">
      <c r="A70" s="147">
        <v>9</v>
      </c>
      <c r="B70" s="160" t="s">
        <v>205</v>
      </c>
      <c r="C70" s="157">
        <v>294675</v>
      </c>
      <c r="D70" s="157">
        <v>222349</v>
      </c>
      <c r="E70" s="157">
        <f t="shared" si="2"/>
        <v>-72326</v>
      </c>
      <c r="F70" s="161">
        <f t="shared" si="3"/>
        <v>-0.24544328497497242</v>
      </c>
    </row>
    <row r="71" spans="1:6" ht="15" customHeight="1" x14ac:dyDescent="0.2">
      <c r="A71" s="147">
        <v>10</v>
      </c>
      <c r="B71" s="160" t="s">
        <v>206</v>
      </c>
      <c r="C71" s="157">
        <v>659564</v>
      </c>
      <c r="D71" s="157">
        <v>564441</v>
      </c>
      <c r="E71" s="157">
        <f t="shared" si="2"/>
        <v>-95123</v>
      </c>
      <c r="F71" s="161">
        <f t="shared" si="3"/>
        <v>-0.1442210308628124</v>
      </c>
    </row>
    <row r="72" spans="1:6" ht="15" customHeight="1" x14ac:dyDescent="0.2">
      <c r="A72" s="147">
        <v>11</v>
      </c>
      <c r="B72" s="160" t="s">
        <v>207</v>
      </c>
      <c r="C72" s="157">
        <v>73298</v>
      </c>
      <c r="D72" s="157">
        <v>52739</v>
      </c>
      <c r="E72" s="157">
        <f t="shared" si="2"/>
        <v>-20559</v>
      </c>
      <c r="F72" s="161">
        <f t="shared" si="3"/>
        <v>-0.28048514284155091</v>
      </c>
    </row>
    <row r="73" spans="1:6" ht="15" customHeight="1" x14ac:dyDescent="0.2">
      <c r="A73" s="147">
        <v>12</v>
      </c>
      <c r="B73" s="160" t="s">
        <v>208</v>
      </c>
      <c r="C73" s="157">
        <v>2960646</v>
      </c>
      <c r="D73" s="157">
        <v>2786930</v>
      </c>
      <c r="E73" s="157">
        <f t="shared" si="2"/>
        <v>-173716</v>
      </c>
      <c r="F73" s="161">
        <f t="shared" si="3"/>
        <v>-5.8675032408467609E-2</v>
      </c>
    </row>
    <row r="74" spans="1:6" ht="15" customHeight="1" x14ac:dyDescent="0.2">
      <c r="A74" s="147">
        <v>13</v>
      </c>
      <c r="B74" s="160" t="s">
        <v>209</v>
      </c>
      <c r="C74" s="157">
        <v>83590</v>
      </c>
      <c r="D74" s="157">
        <v>111647</v>
      </c>
      <c r="E74" s="157">
        <f t="shared" si="2"/>
        <v>28057</v>
      </c>
      <c r="F74" s="161">
        <f t="shared" si="3"/>
        <v>0.33565019739203256</v>
      </c>
    </row>
    <row r="75" spans="1:6" ht="15" customHeight="1" x14ac:dyDescent="0.2">
      <c r="A75" s="147">
        <v>14</v>
      </c>
      <c r="B75" s="160" t="s">
        <v>210</v>
      </c>
      <c r="C75" s="157">
        <v>121834</v>
      </c>
      <c r="D75" s="157">
        <v>121114</v>
      </c>
      <c r="E75" s="157">
        <f t="shared" si="2"/>
        <v>-720</v>
      </c>
      <c r="F75" s="161">
        <f t="shared" si="3"/>
        <v>-5.9096803847858564E-3</v>
      </c>
    </row>
    <row r="76" spans="1:6" ht="15" customHeight="1" x14ac:dyDescent="0.2">
      <c r="A76" s="147">
        <v>15</v>
      </c>
      <c r="B76" s="160" t="s">
        <v>211</v>
      </c>
      <c r="C76" s="157">
        <v>1053461</v>
      </c>
      <c r="D76" s="157">
        <v>1043566</v>
      </c>
      <c r="E76" s="157">
        <f t="shared" si="2"/>
        <v>-9895</v>
      </c>
      <c r="F76" s="161">
        <f t="shared" si="3"/>
        <v>-9.3928489047055367E-3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0</v>
      </c>
      <c r="D78" s="157">
        <v>0</v>
      </c>
      <c r="E78" s="157">
        <f t="shared" si="2"/>
        <v>0</v>
      </c>
      <c r="F78" s="161">
        <f t="shared" si="3"/>
        <v>0</v>
      </c>
    </row>
    <row r="79" spans="1:6" ht="15" customHeight="1" x14ac:dyDescent="0.2">
      <c r="A79" s="147">
        <v>18</v>
      </c>
      <c r="B79" s="160" t="s">
        <v>214</v>
      </c>
      <c r="C79" s="157">
        <v>0</v>
      </c>
      <c r="D79" s="157">
        <v>0</v>
      </c>
      <c r="E79" s="157">
        <f t="shared" si="2"/>
        <v>0</v>
      </c>
      <c r="F79" s="161">
        <f t="shared" si="3"/>
        <v>0</v>
      </c>
    </row>
    <row r="80" spans="1:6" ht="15" customHeight="1" x14ac:dyDescent="0.2">
      <c r="A80" s="147">
        <v>19</v>
      </c>
      <c r="B80" s="160" t="s">
        <v>215</v>
      </c>
      <c r="C80" s="157">
        <v>0</v>
      </c>
      <c r="D80" s="157">
        <v>0</v>
      </c>
      <c r="E80" s="157">
        <f t="shared" si="2"/>
        <v>0</v>
      </c>
      <c r="F80" s="161">
        <f t="shared" si="3"/>
        <v>0</v>
      </c>
    </row>
    <row r="81" spans="1:6" ht="15" customHeight="1" x14ac:dyDescent="0.2">
      <c r="A81" s="147">
        <v>20</v>
      </c>
      <c r="B81" s="160" t="s">
        <v>216</v>
      </c>
      <c r="C81" s="157">
        <v>0</v>
      </c>
      <c r="D81" s="157">
        <v>0</v>
      </c>
      <c r="E81" s="157">
        <f t="shared" si="2"/>
        <v>0</v>
      </c>
      <c r="F81" s="161">
        <f t="shared" si="3"/>
        <v>0</v>
      </c>
    </row>
    <row r="82" spans="1:6" ht="15" customHeight="1" x14ac:dyDescent="0.2">
      <c r="A82" s="147">
        <v>21</v>
      </c>
      <c r="B82" s="160" t="s">
        <v>217</v>
      </c>
      <c r="C82" s="157">
        <v>0</v>
      </c>
      <c r="D82" s="157">
        <v>0</v>
      </c>
      <c r="E82" s="157">
        <f t="shared" si="2"/>
        <v>0</v>
      </c>
      <c r="F82" s="161">
        <f t="shared" si="3"/>
        <v>0</v>
      </c>
    </row>
    <row r="83" spans="1:6" ht="15" customHeight="1" x14ac:dyDescent="0.2">
      <c r="A83" s="147">
        <v>22</v>
      </c>
      <c r="B83" s="160" t="s">
        <v>218</v>
      </c>
      <c r="C83" s="157">
        <v>0</v>
      </c>
      <c r="D83" s="157">
        <v>0</v>
      </c>
      <c r="E83" s="157">
        <f t="shared" si="2"/>
        <v>0</v>
      </c>
      <c r="F83" s="161">
        <f t="shared" si="3"/>
        <v>0</v>
      </c>
    </row>
    <row r="84" spans="1:6" ht="15" customHeight="1" x14ac:dyDescent="0.2">
      <c r="A84" s="147">
        <v>23</v>
      </c>
      <c r="B84" s="160" t="s">
        <v>219</v>
      </c>
      <c r="C84" s="157">
        <v>0</v>
      </c>
      <c r="D84" s="157">
        <v>0</v>
      </c>
      <c r="E84" s="157">
        <f t="shared" si="2"/>
        <v>0</v>
      </c>
      <c r="F84" s="161">
        <f t="shared" si="3"/>
        <v>0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0</v>
      </c>
      <c r="D86" s="157">
        <v>0</v>
      </c>
      <c r="E86" s="157">
        <f t="shared" si="2"/>
        <v>0</v>
      </c>
      <c r="F86" s="161">
        <f t="shared" si="3"/>
        <v>0</v>
      </c>
    </row>
    <row r="87" spans="1:6" ht="15" customHeight="1" x14ac:dyDescent="0.2">
      <c r="A87" s="147">
        <v>26</v>
      </c>
      <c r="B87" s="160" t="s">
        <v>222</v>
      </c>
      <c r="C87" s="157">
        <v>0</v>
      </c>
      <c r="D87" s="157">
        <v>0</v>
      </c>
      <c r="E87" s="157">
        <f t="shared" si="2"/>
        <v>0</v>
      </c>
      <c r="F87" s="161">
        <f t="shared" si="3"/>
        <v>0</v>
      </c>
    </row>
    <row r="88" spans="1:6" ht="15" customHeight="1" x14ac:dyDescent="0.2">
      <c r="A88" s="147">
        <v>27</v>
      </c>
      <c r="B88" s="160" t="s">
        <v>223</v>
      </c>
      <c r="C88" s="157">
        <v>0</v>
      </c>
      <c r="D88" s="157">
        <v>0</v>
      </c>
      <c r="E88" s="157">
        <f t="shared" si="2"/>
        <v>0</v>
      </c>
      <c r="F88" s="161">
        <f t="shared" si="3"/>
        <v>0</v>
      </c>
    </row>
    <row r="89" spans="1:6" ht="15" customHeight="1" x14ac:dyDescent="0.2">
      <c r="A89" s="147">
        <v>28</v>
      </c>
      <c r="B89" s="160" t="s">
        <v>224</v>
      </c>
      <c r="C89" s="157">
        <v>0</v>
      </c>
      <c r="D89" s="157">
        <v>0</v>
      </c>
      <c r="E89" s="157">
        <f t="shared" si="2"/>
        <v>0</v>
      </c>
      <c r="F89" s="161">
        <f t="shared" si="3"/>
        <v>0</v>
      </c>
    </row>
    <row r="90" spans="1:6" ht="15.75" customHeight="1" x14ac:dyDescent="0.25">
      <c r="A90" s="147"/>
      <c r="B90" s="162" t="s">
        <v>225</v>
      </c>
      <c r="C90" s="158">
        <f>SUM(C62:C89)</f>
        <v>20282248</v>
      </c>
      <c r="D90" s="158">
        <f>SUM(D62:D89)</f>
        <v>23113631</v>
      </c>
      <c r="E90" s="158">
        <f t="shared" si="2"/>
        <v>2831383</v>
      </c>
      <c r="F90" s="159">
        <f t="shared" si="3"/>
        <v>0.13959907205552363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56531732</v>
      </c>
      <c r="D93" s="157">
        <v>59816184</v>
      </c>
      <c r="E93" s="157">
        <f>+D93-C93</f>
        <v>3284452</v>
      </c>
      <c r="F93" s="161">
        <f>IF(C93=0,0,E93/C93)</f>
        <v>5.8099263613575466E-2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251662045</v>
      </c>
      <c r="D95" s="158">
        <f>+D93+D90+D59+D50+D47+D44+D41+D35+D30+D24+D18</f>
        <v>267793841</v>
      </c>
      <c r="E95" s="158">
        <f>+D95-C95</f>
        <v>16131796</v>
      </c>
      <c r="F95" s="159">
        <f>IF(C95=0,0,E95/C95)</f>
        <v>6.4101028822204795E-2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26379685</v>
      </c>
      <c r="D103" s="157">
        <v>24409170</v>
      </c>
      <c r="E103" s="157">
        <f t="shared" ref="E103:E121" si="4">D103-C103</f>
        <v>-1970515</v>
      </c>
      <c r="F103" s="161">
        <f t="shared" ref="F103:F121" si="5">IF(C103=0,0,E103/C103)</f>
        <v>-7.4698200528171582E-2</v>
      </c>
    </row>
    <row r="104" spans="1:6" ht="15" customHeight="1" x14ac:dyDescent="0.2">
      <c r="A104" s="147">
        <v>2</v>
      </c>
      <c r="B104" s="169" t="s">
        <v>234</v>
      </c>
      <c r="C104" s="157">
        <v>2712703</v>
      </c>
      <c r="D104" s="157">
        <v>2349300</v>
      </c>
      <c r="E104" s="157">
        <f t="shared" si="4"/>
        <v>-363403</v>
      </c>
      <c r="F104" s="161">
        <f t="shared" si="5"/>
        <v>-0.13396343057091026</v>
      </c>
    </row>
    <row r="105" spans="1:6" ht="15" customHeight="1" x14ac:dyDescent="0.2">
      <c r="A105" s="147">
        <v>3</v>
      </c>
      <c r="B105" s="169" t="s">
        <v>235</v>
      </c>
      <c r="C105" s="157">
        <v>2538101</v>
      </c>
      <c r="D105" s="157">
        <v>3071206</v>
      </c>
      <c r="E105" s="157">
        <f t="shared" si="4"/>
        <v>533105</v>
      </c>
      <c r="F105" s="161">
        <f t="shared" si="5"/>
        <v>0.21004089277771057</v>
      </c>
    </row>
    <row r="106" spans="1:6" ht="15" customHeight="1" x14ac:dyDescent="0.2">
      <c r="A106" s="147">
        <v>4</v>
      </c>
      <c r="B106" s="169" t="s">
        <v>236</v>
      </c>
      <c r="C106" s="157">
        <v>2157406</v>
      </c>
      <c r="D106" s="157">
        <v>2025762</v>
      </c>
      <c r="E106" s="157">
        <f t="shared" si="4"/>
        <v>-131644</v>
      </c>
      <c r="F106" s="161">
        <f t="shared" si="5"/>
        <v>-6.1019576287448911E-2</v>
      </c>
    </row>
    <row r="107" spans="1:6" ht="15" customHeight="1" x14ac:dyDescent="0.2">
      <c r="A107" s="147">
        <v>5</v>
      </c>
      <c r="B107" s="169" t="s">
        <v>237</v>
      </c>
      <c r="C107" s="157">
        <v>6482618</v>
      </c>
      <c r="D107" s="157">
        <v>6640231</v>
      </c>
      <c r="E107" s="157">
        <f t="shared" si="4"/>
        <v>157613</v>
      </c>
      <c r="F107" s="161">
        <f t="shared" si="5"/>
        <v>2.4313171005911502E-2</v>
      </c>
    </row>
    <row r="108" spans="1:6" ht="15" customHeight="1" x14ac:dyDescent="0.2">
      <c r="A108" s="147">
        <v>6</v>
      </c>
      <c r="B108" s="169" t="s">
        <v>238</v>
      </c>
      <c r="C108" s="157">
        <v>782700</v>
      </c>
      <c r="D108" s="157">
        <v>817414</v>
      </c>
      <c r="E108" s="157">
        <f t="shared" si="4"/>
        <v>34714</v>
      </c>
      <c r="F108" s="161">
        <f t="shared" si="5"/>
        <v>4.4351603424044969E-2</v>
      </c>
    </row>
    <row r="109" spans="1:6" ht="15" customHeight="1" x14ac:dyDescent="0.2">
      <c r="A109" s="147">
        <v>7</v>
      </c>
      <c r="B109" s="169" t="s">
        <v>239</v>
      </c>
      <c r="C109" s="157">
        <v>3707231</v>
      </c>
      <c r="D109" s="157">
        <v>3144580</v>
      </c>
      <c r="E109" s="157">
        <f t="shared" si="4"/>
        <v>-562651</v>
      </c>
      <c r="F109" s="161">
        <f t="shared" si="5"/>
        <v>-0.15177122763593637</v>
      </c>
    </row>
    <row r="110" spans="1:6" ht="15" customHeight="1" x14ac:dyDescent="0.2">
      <c r="A110" s="147">
        <v>8</v>
      </c>
      <c r="B110" s="169" t="s">
        <v>240</v>
      </c>
      <c r="C110" s="157">
        <v>1617765</v>
      </c>
      <c r="D110" s="157">
        <v>1506722</v>
      </c>
      <c r="E110" s="157">
        <f t="shared" si="4"/>
        <v>-111043</v>
      </c>
      <c r="F110" s="161">
        <f t="shared" si="5"/>
        <v>-6.8639759173922052E-2</v>
      </c>
    </row>
    <row r="111" spans="1:6" ht="15" customHeight="1" x14ac:dyDescent="0.2">
      <c r="A111" s="147">
        <v>9</v>
      </c>
      <c r="B111" s="169" t="s">
        <v>241</v>
      </c>
      <c r="C111" s="157">
        <v>653737</v>
      </c>
      <c r="D111" s="157">
        <v>796958</v>
      </c>
      <c r="E111" s="157">
        <f t="shared" si="4"/>
        <v>143221</v>
      </c>
      <c r="F111" s="161">
        <f t="shared" si="5"/>
        <v>0.21908045590199116</v>
      </c>
    </row>
    <row r="112" spans="1:6" ht="15" customHeight="1" x14ac:dyDescent="0.2">
      <c r="A112" s="147">
        <v>10</v>
      </c>
      <c r="B112" s="169" t="s">
        <v>242</v>
      </c>
      <c r="C112" s="157">
        <v>3618787</v>
      </c>
      <c r="D112" s="157">
        <v>3127120</v>
      </c>
      <c r="E112" s="157">
        <f t="shared" si="4"/>
        <v>-491667</v>
      </c>
      <c r="F112" s="161">
        <f t="shared" si="5"/>
        <v>-0.13586513934088965</v>
      </c>
    </row>
    <row r="113" spans="1:6" ht="15" customHeight="1" x14ac:dyDescent="0.2">
      <c r="A113" s="147">
        <v>11</v>
      </c>
      <c r="B113" s="169" t="s">
        <v>243</v>
      </c>
      <c r="C113" s="157">
        <v>3339364</v>
      </c>
      <c r="D113" s="157">
        <v>2794551</v>
      </c>
      <c r="E113" s="157">
        <f t="shared" si="4"/>
        <v>-544813</v>
      </c>
      <c r="F113" s="161">
        <f t="shared" si="5"/>
        <v>-0.16314873131530436</v>
      </c>
    </row>
    <row r="114" spans="1:6" ht="15" customHeight="1" x14ac:dyDescent="0.2">
      <c r="A114" s="147">
        <v>12</v>
      </c>
      <c r="B114" s="169" t="s">
        <v>244</v>
      </c>
      <c r="C114" s="157">
        <v>14558</v>
      </c>
      <c r="D114" s="157">
        <v>6333</v>
      </c>
      <c r="E114" s="157">
        <f t="shared" si="4"/>
        <v>-8225</v>
      </c>
      <c r="F114" s="161">
        <f t="shared" si="5"/>
        <v>-0.56498145349635942</v>
      </c>
    </row>
    <row r="115" spans="1:6" ht="15" customHeight="1" x14ac:dyDescent="0.2">
      <c r="A115" s="147">
        <v>13</v>
      </c>
      <c r="B115" s="169" t="s">
        <v>245</v>
      </c>
      <c r="C115" s="157">
        <v>6874200</v>
      </c>
      <c r="D115" s="157">
        <v>6467858</v>
      </c>
      <c r="E115" s="157">
        <f t="shared" si="4"/>
        <v>-406342</v>
      </c>
      <c r="F115" s="161">
        <f t="shared" si="5"/>
        <v>-5.9111169299700332E-2</v>
      </c>
    </row>
    <row r="116" spans="1:6" ht="15" customHeight="1" x14ac:dyDescent="0.2">
      <c r="A116" s="147">
        <v>14</v>
      </c>
      <c r="B116" s="169" t="s">
        <v>246</v>
      </c>
      <c r="C116" s="157">
        <v>2748547</v>
      </c>
      <c r="D116" s="157">
        <v>2708372</v>
      </c>
      <c r="E116" s="157">
        <f t="shared" si="4"/>
        <v>-40175</v>
      </c>
      <c r="F116" s="161">
        <f t="shared" si="5"/>
        <v>-1.461681390203624E-2</v>
      </c>
    </row>
    <row r="117" spans="1:6" ht="15" customHeight="1" x14ac:dyDescent="0.2">
      <c r="A117" s="147">
        <v>15</v>
      </c>
      <c r="B117" s="169" t="s">
        <v>203</v>
      </c>
      <c r="C117" s="157">
        <v>434361</v>
      </c>
      <c r="D117" s="157">
        <v>502799</v>
      </c>
      <c r="E117" s="157">
        <f t="shared" si="4"/>
        <v>68438</v>
      </c>
      <c r="F117" s="161">
        <f t="shared" si="5"/>
        <v>0.15756018611247327</v>
      </c>
    </row>
    <row r="118" spans="1:6" ht="15" customHeight="1" x14ac:dyDescent="0.2">
      <c r="A118" s="147">
        <v>16</v>
      </c>
      <c r="B118" s="169" t="s">
        <v>247</v>
      </c>
      <c r="C118" s="157">
        <v>792581</v>
      </c>
      <c r="D118" s="157">
        <v>690423</v>
      </c>
      <c r="E118" s="157">
        <f t="shared" si="4"/>
        <v>-102158</v>
      </c>
      <c r="F118" s="161">
        <f t="shared" si="5"/>
        <v>-0.12889281978750436</v>
      </c>
    </row>
    <row r="119" spans="1:6" ht="15" customHeight="1" x14ac:dyDescent="0.2">
      <c r="A119" s="147">
        <v>17</v>
      </c>
      <c r="B119" s="169" t="s">
        <v>248</v>
      </c>
      <c r="C119" s="157">
        <v>8721486</v>
      </c>
      <c r="D119" s="157">
        <v>8965278</v>
      </c>
      <c r="E119" s="157">
        <f t="shared" si="4"/>
        <v>243792</v>
      </c>
      <c r="F119" s="161">
        <f t="shared" si="5"/>
        <v>2.7953034609010437E-2</v>
      </c>
    </row>
    <row r="120" spans="1:6" ht="15" customHeight="1" x14ac:dyDescent="0.2">
      <c r="A120" s="147">
        <v>18</v>
      </c>
      <c r="B120" s="169" t="s">
        <v>249</v>
      </c>
      <c r="C120" s="157">
        <v>2309545</v>
      </c>
      <c r="D120" s="157">
        <v>1771706</v>
      </c>
      <c r="E120" s="157">
        <f t="shared" si="4"/>
        <v>-537839</v>
      </c>
      <c r="F120" s="161">
        <f t="shared" si="5"/>
        <v>-0.23287660556516543</v>
      </c>
    </row>
    <row r="121" spans="1:6" ht="15.75" customHeight="1" x14ac:dyDescent="0.25">
      <c r="A121" s="147"/>
      <c r="B121" s="165" t="s">
        <v>250</v>
      </c>
      <c r="C121" s="158">
        <f>SUM(C103:C120)</f>
        <v>75885375</v>
      </c>
      <c r="D121" s="158">
        <f>SUM(D103:D120)</f>
        <v>71795783</v>
      </c>
      <c r="E121" s="158">
        <f t="shared" si="4"/>
        <v>-4089592</v>
      </c>
      <c r="F121" s="159">
        <f t="shared" si="5"/>
        <v>-5.3891701793659187E-2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4773788</v>
      </c>
      <c r="D124" s="157">
        <v>4364272</v>
      </c>
      <c r="E124" s="157">
        <f t="shared" ref="E124:E130" si="6">D124-C124</f>
        <v>-409516</v>
      </c>
      <c r="F124" s="161">
        <f t="shared" ref="F124:F130" si="7">IF(C124=0,0,E124/C124)</f>
        <v>-8.578428702740884E-2</v>
      </c>
    </row>
    <row r="125" spans="1:6" ht="15" customHeight="1" x14ac:dyDescent="0.2">
      <c r="A125" s="147">
        <v>2</v>
      </c>
      <c r="B125" s="169" t="s">
        <v>253</v>
      </c>
      <c r="C125" s="157">
        <v>10782504</v>
      </c>
      <c r="D125" s="157">
        <v>11709928</v>
      </c>
      <c r="E125" s="157">
        <f t="shared" si="6"/>
        <v>927424</v>
      </c>
      <c r="F125" s="161">
        <f t="shared" si="7"/>
        <v>8.6011931922306731E-2</v>
      </c>
    </row>
    <row r="126" spans="1:6" ht="15" customHeight="1" x14ac:dyDescent="0.2">
      <c r="A126" s="147">
        <v>3</v>
      </c>
      <c r="B126" s="169" t="s">
        <v>254</v>
      </c>
      <c r="C126" s="157">
        <v>1217439</v>
      </c>
      <c r="D126" s="157">
        <v>1587136</v>
      </c>
      <c r="E126" s="157">
        <f t="shared" si="6"/>
        <v>369697</v>
      </c>
      <c r="F126" s="161">
        <f t="shared" si="7"/>
        <v>0.3036677813015683</v>
      </c>
    </row>
    <row r="127" spans="1:6" ht="15" customHeight="1" x14ac:dyDescent="0.2">
      <c r="A127" s="147">
        <v>4</v>
      </c>
      <c r="B127" s="169" t="s">
        <v>255</v>
      </c>
      <c r="C127" s="157">
        <v>2171272</v>
      </c>
      <c r="D127" s="157">
        <v>2206022</v>
      </c>
      <c r="E127" s="157">
        <f t="shared" si="6"/>
        <v>34750</v>
      </c>
      <c r="F127" s="161">
        <f t="shared" si="7"/>
        <v>1.6004443478292909E-2</v>
      </c>
    </row>
    <row r="128" spans="1:6" ht="15" customHeight="1" x14ac:dyDescent="0.2">
      <c r="A128" s="147">
        <v>5</v>
      </c>
      <c r="B128" s="169" t="s">
        <v>256</v>
      </c>
      <c r="C128" s="157">
        <v>2420239</v>
      </c>
      <c r="D128" s="157">
        <v>2169316</v>
      </c>
      <c r="E128" s="157">
        <f t="shared" si="6"/>
        <v>-250923</v>
      </c>
      <c r="F128" s="161">
        <f t="shared" si="7"/>
        <v>-0.10367695091269911</v>
      </c>
    </row>
    <row r="129" spans="1:6" ht="15" customHeight="1" x14ac:dyDescent="0.2">
      <c r="A129" s="147">
        <v>6</v>
      </c>
      <c r="B129" s="169" t="s">
        <v>257</v>
      </c>
      <c r="C129" s="157">
        <v>0</v>
      </c>
      <c r="D129" s="157">
        <v>0</v>
      </c>
      <c r="E129" s="157">
        <f t="shared" si="6"/>
        <v>0</v>
      </c>
      <c r="F129" s="161">
        <f t="shared" si="7"/>
        <v>0</v>
      </c>
    </row>
    <row r="130" spans="1:6" ht="15.75" customHeight="1" x14ac:dyDescent="0.25">
      <c r="A130" s="147"/>
      <c r="B130" s="165" t="s">
        <v>258</v>
      </c>
      <c r="C130" s="158">
        <f>SUM(C124:C129)</f>
        <v>21365242</v>
      </c>
      <c r="D130" s="158">
        <f>SUM(D124:D129)</f>
        <v>22036674</v>
      </c>
      <c r="E130" s="158">
        <f t="shared" si="6"/>
        <v>671432</v>
      </c>
      <c r="F130" s="159">
        <f t="shared" si="7"/>
        <v>3.1426369989162775E-2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10830642</v>
      </c>
      <c r="D133" s="157">
        <v>10822247</v>
      </c>
      <c r="E133" s="157">
        <f t="shared" ref="E133:E167" si="8">D133-C133</f>
        <v>-8395</v>
      </c>
      <c r="F133" s="161">
        <f t="shared" ref="F133:F167" si="9">IF(C133=0,0,E133/C133)</f>
        <v>-7.7511563949764011E-4</v>
      </c>
    </row>
    <row r="134" spans="1:6" ht="15" customHeight="1" x14ac:dyDescent="0.2">
      <c r="A134" s="147">
        <v>2</v>
      </c>
      <c r="B134" s="169" t="s">
        <v>261</v>
      </c>
      <c r="C134" s="157">
        <v>0</v>
      </c>
      <c r="D134" s="157">
        <v>0</v>
      </c>
      <c r="E134" s="157">
        <f t="shared" si="8"/>
        <v>0</v>
      </c>
      <c r="F134" s="161">
        <f t="shared" si="9"/>
        <v>0</v>
      </c>
    </row>
    <row r="135" spans="1:6" ht="15" customHeight="1" x14ac:dyDescent="0.2">
      <c r="A135" s="147">
        <v>3</v>
      </c>
      <c r="B135" s="169" t="s">
        <v>262</v>
      </c>
      <c r="C135" s="157">
        <v>1041115</v>
      </c>
      <c r="D135" s="157">
        <v>875479</v>
      </c>
      <c r="E135" s="157">
        <f t="shared" si="8"/>
        <v>-165636</v>
      </c>
      <c r="F135" s="161">
        <f t="shared" si="9"/>
        <v>-0.15909481661487923</v>
      </c>
    </row>
    <row r="136" spans="1:6" ht="15" customHeight="1" x14ac:dyDescent="0.2">
      <c r="A136" s="147">
        <v>4</v>
      </c>
      <c r="B136" s="169" t="s">
        <v>263</v>
      </c>
      <c r="C136" s="157">
        <v>0</v>
      </c>
      <c r="D136" s="157">
        <v>0</v>
      </c>
      <c r="E136" s="157">
        <f t="shared" si="8"/>
        <v>0</v>
      </c>
      <c r="F136" s="161">
        <f t="shared" si="9"/>
        <v>0</v>
      </c>
    </row>
    <row r="137" spans="1:6" ht="15" customHeight="1" x14ac:dyDescent="0.2">
      <c r="A137" s="147">
        <v>5</v>
      </c>
      <c r="B137" s="169" t="s">
        <v>264</v>
      </c>
      <c r="C137" s="157">
        <v>4379406</v>
      </c>
      <c r="D137" s="157">
        <v>4065901</v>
      </c>
      <c r="E137" s="157">
        <f t="shared" si="8"/>
        <v>-313505</v>
      </c>
      <c r="F137" s="161">
        <f t="shared" si="9"/>
        <v>-7.1586192282697705E-2</v>
      </c>
    </row>
    <row r="138" spans="1:6" ht="15" customHeight="1" x14ac:dyDescent="0.2">
      <c r="A138" s="147">
        <v>6</v>
      </c>
      <c r="B138" s="169" t="s">
        <v>265</v>
      </c>
      <c r="C138" s="157">
        <v>874138</v>
      </c>
      <c r="D138" s="157">
        <v>732544</v>
      </c>
      <c r="E138" s="157">
        <f t="shared" si="8"/>
        <v>-141594</v>
      </c>
      <c r="F138" s="161">
        <f t="shared" si="9"/>
        <v>-0.16198128899555905</v>
      </c>
    </row>
    <row r="139" spans="1:6" ht="15" customHeight="1" x14ac:dyDescent="0.2">
      <c r="A139" s="147">
        <v>7</v>
      </c>
      <c r="B139" s="169" t="s">
        <v>266</v>
      </c>
      <c r="C139" s="157">
        <v>0</v>
      </c>
      <c r="D139" s="157">
        <v>0</v>
      </c>
      <c r="E139" s="157">
        <f t="shared" si="8"/>
        <v>0</v>
      </c>
      <c r="F139" s="161">
        <f t="shared" si="9"/>
        <v>0</v>
      </c>
    </row>
    <row r="140" spans="1:6" ht="15" customHeight="1" x14ac:dyDescent="0.2">
      <c r="A140" s="147">
        <v>8</v>
      </c>
      <c r="B140" s="169" t="s">
        <v>267</v>
      </c>
      <c r="C140" s="157">
        <v>0</v>
      </c>
      <c r="D140" s="157">
        <v>0</v>
      </c>
      <c r="E140" s="157">
        <f t="shared" si="8"/>
        <v>0</v>
      </c>
      <c r="F140" s="161">
        <f t="shared" si="9"/>
        <v>0</v>
      </c>
    </row>
    <row r="141" spans="1:6" ht="15" customHeight="1" x14ac:dyDescent="0.2">
      <c r="A141" s="147">
        <v>9</v>
      </c>
      <c r="B141" s="169" t="s">
        <v>268</v>
      </c>
      <c r="C141" s="157">
        <v>818629</v>
      </c>
      <c r="D141" s="157">
        <v>740329</v>
      </c>
      <c r="E141" s="157">
        <f t="shared" si="8"/>
        <v>-78300</v>
      </c>
      <c r="F141" s="161">
        <f t="shared" si="9"/>
        <v>-9.5647723205505797E-2</v>
      </c>
    </row>
    <row r="142" spans="1:6" ht="15" customHeight="1" x14ac:dyDescent="0.2">
      <c r="A142" s="147">
        <v>10</v>
      </c>
      <c r="B142" s="169" t="s">
        <v>269</v>
      </c>
      <c r="C142" s="157">
        <v>4850344</v>
      </c>
      <c r="D142" s="157">
        <v>5443189</v>
      </c>
      <c r="E142" s="157">
        <f t="shared" si="8"/>
        <v>592845</v>
      </c>
      <c r="F142" s="161">
        <f t="shared" si="9"/>
        <v>0.12222741314842824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476360</v>
      </c>
      <c r="D144" s="157">
        <v>587058</v>
      </c>
      <c r="E144" s="157">
        <f t="shared" si="8"/>
        <v>110698</v>
      </c>
      <c r="F144" s="161">
        <f t="shared" si="9"/>
        <v>0.23238307162650096</v>
      </c>
    </row>
    <row r="145" spans="1:6" ht="15" customHeight="1" x14ac:dyDescent="0.2">
      <c r="A145" s="147">
        <v>13</v>
      </c>
      <c r="B145" s="169" t="s">
        <v>272</v>
      </c>
      <c r="C145" s="157">
        <v>0</v>
      </c>
      <c r="D145" s="157">
        <v>0</v>
      </c>
      <c r="E145" s="157">
        <f t="shared" si="8"/>
        <v>0</v>
      </c>
      <c r="F145" s="161">
        <f t="shared" si="9"/>
        <v>0</v>
      </c>
    </row>
    <row r="146" spans="1:6" ht="15" customHeight="1" x14ac:dyDescent="0.2">
      <c r="A146" s="147">
        <v>14</v>
      </c>
      <c r="B146" s="169" t="s">
        <v>273</v>
      </c>
      <c r="C146" s="157">
        <v>537052</v>
      </c>
      <c r="D146" s="157">
        <v>478511</v>
      </c>
      <c r="E146" s="157">
        <f t="shared" si="8"/>
        <v>-58541</v>
      </c>
      <c r="F146" s="161">
        <f t="shared" si="9"/>
        <v>-0.10900434222384425</v>
      </c>
    </row>
    <row r="147" spans="1:6" ht="15" customHeight="1" x14ac:dyDescent="0.2">
      <c r="A147" s="147">
        <v>15</v>
      </c>
      <c r="B147" s="169" t="s">
        <v>274</v>
      </c>
      <c r="C147" s="157">
        <v>1739174</v>
      </c>
      <c r="D147" s="157">
        <v>1343449</v>
      </c>
      <c r="E147" s="157">
        <f t="shared" si="8"/>
        <v>-395725</v>
      </c>
      <c r="F147" s="161">
        <f t="shared" si="9"/>
        <v>-0.22753617521881078</v>
      </c>
    </row>
    <row r="148" spans="1:6" ht="15" customHeight="1" x14ac:dyDescent="0.2">
      <c r="A148" s="147">
        <v>16</v>
      </c>
      <c r="B148" s="169" t="s">
        <v>275</v>
      </c>
      <c r="C148" s="157">
        <v>1560649</v>
      </c>
      <c r="D148" s="157">
        <v>1313075</v>
      </c>
      <c r="E148" s="157">
        <f t="shared" si="8"/>
        <v>-247574</v>
      </c>
      <c r="F148" s="161">
        <f t="shared" si="9"/>
        <v>-0.15863528570485741</v>
      </c>
    </row>
    <row r="149" spans="1:6" ht="15" customHeight="1" x14ac:dyDescent="0.2">
      <c r="A149" s="147">
        <v>17</v>
      </c>
      <c r="B149" s="169" t="s">
        <v>276</v>
      </c>
      <c r="C149" s="157">
        <v>1665588</v>
      </c>
      <c r="D149" s="157">
        <v>1361301</v>
      </c>
      <c r="E149" s="157">
        <f t="shared" si="8"/>
        <v>-304287</v>
      </c>
      <c r="F149" s="161">
        <f t="shared" si="9"/>
        <v>-0.18269043725098885</v>
      </c>
    </row>
    <row r="150" spans="1:6" ht="15" customHeight="1" x14ac:dyDescent="0.2">
      <c r="A150" s="147">
        <v>18</v>
      </c>
      <c r="B150" s="169" t="s">
        <v>277</v>
      </c>
      <c r="C150" s="157">
        <v>3986278</v>
      </c>
      <c r="D150" s="157">
        <v>3435678</v>
      </c>
      <c r="E150" s="157">
        <f t="shared" si="8"/>
        <v>-550600</v>
      </c>
      <c r="F150" s="161">
        <f t="shared" si="9"/>
        <v>-0.13812383381189169</v>
      </c>
    </row>
    <row r="151" spans="1:6" ht="15" customHeight="1" x14ac:dyDescent="0.2">
      <c r="A151" s="147">
        <v>19</v>
      </c>
      <c r="B151" s="169" t="s">
        <v>278</v>
      </c>
      <c r="C151" s="157">
        <v>629571</v>
      </c>
      <c r="D151" s="157">
        <v>512681</v>
      </c>
      <c r="E151" s="157">
        <f t="shared" si="8"/>
        <v>-116890</v>
      </c>
      <c r="F151" s="161">
        <f t="shared" si="9"/>
        <v>-0.18566611232092964</v>
      </c>
    </row>
    <row r="152" spans="1:6" ht="15" customHeight="1" x14ac:dyDescent="0.2">
      <c r="A152" s="147">
        <v>20</v>
      </c>
      <c r="B152" s="169" t="s">
        <v>279</v>
      </c>
      <c r="C152" s="157">
        <v>0</v>
      </c>
      <c r="D152" s="157">
        <v>0</v>
      </c>
      <c r="E152" s="157">
        <f t="shared" si="8"/>
        <v>0</v>
      </c>
      <c r="F152" s="161">
        <f t="shared" si="9"/>
        <v>0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1225139</v>
      </c>
      <c r="D154" s="157">
        <v>1697581</v>
      </c>
      <c r="E154" s="157">
        <f t="shared" si="8"/>
        <v>472442</v>
      </c>
      <c r="F154" s="161">
        <f t="shared" si="9"/>
        <v>0.38562318234910486</v>
      </c>
    </row>
    <row r="155" spans="1:6" ht="15" customHeight="1" x14ac:dyDescent="0.2">
      <c r="A155" s="147">
        <v>23</v>
      </c>
      <c r="B155" s="169" t="s">
        <v>282</v>
      </c>
      <c r="C155" s="157">
        <v>0</v>
      </c>
      <c r="D155" s="157">
        <v>0</v>
      </c>
      <c r="E155" s="157">
        <f t="shared" si="8"/>
        <v>0</v>
      </c>
      <c r="F155" s="161">
        <f t="shared" si="9"/>
        <v>0</v>
      </c>
    </row>
    <row r="156" spans="1:6" ht="15" customHeight="1" x14ac:dyDescent="0.2">
      <c r="A156" s="147">
        <v>24</v>
      </c>
      <c r="B156" s="169" t="s">
        <v>283</v>
      </c>
      <c r="C156" s="157">
        <v>9515239</v>
      </c>
      <c r="D156" s="157">
        <v>7969205</v>
      </c>
      <c r="E156" s="157">
        <f t="shared" si="8"/>
        <v>-1546034</v>
      </c>
      <c r="F156" s="161">
        <f t="shared" si="9"/>
        <v>-0.16247978637215524</v>
      </c>
    </row>
    <row r="157" spans="1:6" ht="15" customHeight="1" x14ac:dyDescent="0.2">
      <c r="A157" s="147">
        <v>25</v>
      </c>
      <c r="B157" s="169" t="s">
        <v>284</v>
      </c>
      <c r="C157" s="157">
        <v>832880</v>
      </c>
      <c r="D157" s="157">
        <v>696901</v>
      </c>
      <c r="E157" s="157">
        <f t="shared" si="8"/>
        <v>-135979</v>
      </c>
      <c r="F157" s="161">
        <f t="shared" si="9"/>
        <v>-0.16326361540678128</v>
      </c>
    </row>
    <row r="158" spans="1:6" ht="15" customHeight="1" x14ac:dyDescent="0.2">
      <c r="A158" s="147">
        <v>26</v>
      </c>
      <c r="B158" s="169" t="s">
        <v>285</v>
      </c>
      <c r="C158" s="157">
        <v>0</v>
      </c>
      <c r="D158" s="157">
        <v>0</v>
      </c>
      <c r="E158" s="157">
        <f t="shared" si="8"/>
        <v>0</v>
      </c>
      <c r="F158" s="161">
        <f t="shared" si="9"/>
        <v>0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256292</v>
      </c>
      <c r="D160" s="157">
        <v>265549</v>
      </c>
      <c r="E160" s="157">
        <f t="shared" si="8"/>
        <v>9257</v>
      </c>
      <c r="F160" s="161">
        <f t="shared" si="9"/>
        <v>3.611895806345887E-2</v>
      </c>
    </row>
    <row r="161" spans="1:6" ht="15" customHeight="1" x14ac:dyDescent="0.2">
      <c r="A161" s="147">
        <v>29</v>
      </c>
      <c r="B161" s="169" t="s">
        <v>288</v>
      </c>
      <c r="C161" s="157">
        <v>257193</v>
      </c>
      <c r="D161" s="157">
        <v>285172</v>
      </c>
      <c r="E161" s="157">
        <f t="shared" si="8"/>
        <v>27979</v>
      </c>
      <c r="F161" s="161">
        <f t="shared" si="9"/>
        <v>0.10878600895047688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543767</v>
      </c>
      <c r="D163" s="157">
        <v>628217</v>
      </c>
      <c r="E163" s="157">
        <f t="shared" si="8"/>
        <v>84450</v>
      </c>
      <c r="F163" s="161">
        <f t="shared" si="9"/>
        <v>0.15530548929964488</v>
      </c>
    </row>
    <row r="164" spans="1:6" ht="15" customHeight="1" x14ac:dyDescent="0.2">
      <c r="A164" s="147">
        <v>32</v>
      </c>
      <c r="B164" s="169" t="s">
        <v>291</v>
      </c>
      <c r="C164" s="157">
        <v>3621085</v>
      </c>
      <c r="D164" s="157">
        <v>3012586</v>
      </c>
      <c r="E164" s="157">
        <f t="shared" si="8"/>
        <v>-608499</v>
      </c>
      <c r="F164" s="161">
        <f t="shared" si="9"/>
        <v>-0.16804327984568163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2330332</v>
      </c>
      <c r="D166" s="157">
        <v>2265369</v>
      </c>
      <c r="E166" s="157">
        <f t="shared" si="8"/>
        <v>-64963</v>
      </c>
      <c r="F166" s="161">
        <f t="shared" si="9"/>
        <v>-2.787714368596406E-2</v>
      </c>
    </row>
    <row r="167" spans="1:6" ht="15.75" customHeight="1" x14ac:dyDescent="0.25">
      <c r="A167" s="147"/>
      <c r="B167" s="165" t="s">
        <v>294</v>
      </c>
      <c r="C167" s="158">
        <f>SUM(C133:C166)</f>
        <v>51970873</v>
      </c>
      <c r="D167" s="158">
        <f>SUM(D133:D166)</f>
        <v>48532022</v>
      </c>
      <c r="E167" s="158">
        <f t="shared" si="8"/>
        <v>-3438851</v>
      </c>
      <c r="F167" s="159">
        <f t="shared" si="9"/>
        <v>-6.6168813442868277E-2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0</v>
      </c>
      <c r="D170" s="157">
        <v>0</v>
      </c>
      <c r="E170" s="157">
        <f t="shared" ref="E170:E183" si="10">D170-C170</f>
        <v>0</v>
      </c>
      <c r="F170" s="161">
        <f t="shared" ref="F170:F183" si="11">IF(C170=0,0,E170/C170)</f>
        <v>0</v>
      </c>
    </row>
    <row r="171" spans="1:6" ht="15" customHeight="1" x14ac:dyDescent="0.2">
      <c r="A171" s="147">
        <v>2</v>
      </c>
      <c r="B171" s="169" t="s">
        <v>297</v>
      </c>
      <c r="C171" s="157">
        <v>4356017</v>
      </c>
      <c r="D171" s="157">
        <v>5803919</v>
      </c>
      <c r="E171" s="157">
        <f t="shared" si="10"/>
        <v>1447902</v>
      </c>
      <c r="F171" s="161">
        <f t="shared" si="11"/>
        <v>0.33239126477238268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0</v>
      </c>
      <c r="D173" s="157">
        <v>0</v>
      </c>
      <c r="E173" s="157">
        <f t="shared" si="10"/>
        <v>0</v>
      </c>
      <c r="F173" s="161">
        <f t="shared" si="11"/>
        <v>0</v>
      </c>
    </row>
    <row r="174" spans="1:6" ht="15" customHeight="1" x14ac:dyDescent="0.2">
      <c r="A174" s="147">
        <v>5</v>
      </c>
      <c r="B174" s="169" t="s">
        <v>300</v>
      </c>
      <c r="C174" s="157">
        <v>19511587</v>
      </c>
      <c r="D174" s="157">
        <v>15199975</v>
      </c>
      <c r="E174" s="157">
        <f t="shared" si="10"/>
        <v>-4311612</v>
      </c>
      <c r="F174" s="161">
        <f t="shared" si="11"/>
        <v>-0.22097700202448933</v>
      </c>
    </row>
    <row r="175" spans="1:6" ht="15" customHeight="1" x14ac:dyDescent="0.2">
      <c r="A175" s="147">
        <v>6</v>
      </c>
      <c r="B175" s="169" t="s">
        <v>301</v>
      </c>
      <c r="C175" s="157">
        <v>0</v>
      </c>
      <c r="D175" s="157">
        <v>0</v>
      </c>
      <c r="E175" s="157">
        <f t="shared" si="10"/>
        <v>0</v>
      </c>
      <c r="F175" s="161">
        <f t="shared" si="11"/>
        <v>0</v>
      </c>
    </row>
    <row r="176" spans="1:6" ht="15" customHeight="1" x14ac:dyDescent="0.2">
      <c r="A176" s="147">
        <v>7</v>
      </c>
      <c r="B176" s="169" t="s">
        <v>302</v>
      </c>
      <c r="C176" s="157">
        <v>0</v>
      </c>
      <c r="D176" s="157">
        <v>0</v>
      </c>
      <c r="E176" s="157">
        <f t="shared" si="10"/>
        <v>0</v>
      </c>
      <c r="F176" s="161">
        <f t="shared" si="11"/>
        <v>0</v>
      </c>
    </row>
    <row r="177" spans="1:6" ht="15" customHeight="1" x14ac:dyDescent="0.2">
      <c r="A177" s="147">
        <v>8</v>
      </c>
      <c r="B177" s="169" t="s">
        <v>303</v>
      </c>
      <c r="C177" s="157">
        <v>28825005</v>
      </c>
      <c r="D177" s="157">
        <v>28622619</v>
      </c>
      <c r="E177" s="157">
        <f t="shared" si="10"/>
        <v>-202386</v>
      </c>
      <c r="F177" s="161">
        <f t="shared" si="11"/>
        <v>-7.0211956598099463E-3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4216414</v>
      </c>
      <c r="D179" s="157">
        <v>3306835</v>
      </c>
      <c r="E179" s="157">
        <f t="shared" si="10"/>
        <v>-909579</v>
      </c>
      <c r="F179" s="161">
        <f t="shared" si="11"/>
        <v>-0.21572336113104643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582787</v>
      </c>
      <c r="D181" s="157">
        <v>755279</v>
      </c>
      <c r="E181" s="157">
        <f t="shared" si="10"/>
        <v>172492</v>
      </c>
      <c r="F181" s="161">
        <f t="shared" si="11"/>
        <v>0.29597777575683742</v>
      </c>
    </row>
    <row r="182" spans="1:6" ht="15" customHeight="1" x14ac:dyDescent="0.2">
      <c r="A182" s="147">
        <v>13</v>
      </c>
      <c r="B182" s="169" t="s">
        <v>308</v>
      </c>
      <c r="C182" s="157">
        <v>0</v>
      </c>
      <c r="D182" s="157">
        <v>0</v>
      </c>
      <c r="E182" s="157">
        <f t="shared" si="10"/>
        <v>0</v>
      </c>
      <c r="F182" s="161">
        <f t="shared" si="11"/>
        <v>0</v>
      </c>
    </row>
    <row r="183" spans="1:6" ht="15.75" customHeight="1" x14ac:dyDescent="0.25">
      <c r="A183" s="147"/>
      <c r="B183" s="165" t="s">
        <v>309</v>
      </c>
      <c r="C183" s="158">
        <f>SUM(C170:C182)</f>
        <v>57491810</v>
      </c>
      <c r="D183" s="158">
        <f>SUM(D170:D182)</f>
        <v>53688627</v>
      </c>
      <c r="E183" s="158">
        <f t="shared" si="10"/>
        <v>-3803183</v>
      </c>
      <c r="F183" s="159">
        <f t="shared" si="11"/>
        <v>-6.6151735351522245E-2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44948745</v>
      </c>
      <c r="D186" s="157">
        <v>71740735</v>
      </c>
      <c r="E186" s="157">
        <f>D186-C186</f>
        <v>26791990</v>
      </c>
      <c r="F186" s="161">
        <f>IF(C186=0,0,E186/C186)</f>
        <v>0.59605646386790112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251662045</v>
      </c>
      <c r="D188" s="158">
        <f>+D186+D183+D167+D130+D121</f>
        <v>267793841</v>
      </c>
      <c r="E188" s="158">
        <f>D188-C188</f>
        <v>16131796</v>
      </c>
      <c r="F188" s="159">
        <f>IF(C188=0,0,E188/C188)</f>
        <v>6.4101028822204795E-2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FILING&amp;RCT CHILDREN`S MEDICAL CENTER</oddHeader>
    <oddFooter>&amp;LREPORT 100&amp;CPAGE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202447507</v>
      </c>
      <c r="D11" s="183">
        <v>231197635</v>
      </c>
      <c r="E11" s="76">
        <v>239314874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15994983</v>
      </c>
      <c r="D12" s="185">
        <v>19775990</v>
      </c>
      <c r="E12" s="185">
        <v>18007225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218442490</v>
      </c>
      <c r="D13" s="76">
        <f>+D11+D12</f>
        <v>250973625</v>
      </c>
      <c r="E13" s="76">
        <f>+E11+E12</f>
        <v>257322099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212457955</v>
      </c>
      <c r="D14" s="185">
        <v>251662045</v>
      </c>
      <c r="E14" s="185">
        <v>267793841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5984535</v>
      </c>
      <c r="D15" s="76">
        <f>+D13-D14</f>
        <v>-688420</v>
      </c>
      <c r="E15" s="76">
        <f>+E13-E14</f>
        <v>-10471742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9798919</v>
      </c>
      <c r="D16" s="185">
        <v>19597315</v>
      </c>
      <c r="E16" s="185">
        <v>10804821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15783454</v>
      </c>
      <c r="D17" s="76">
        <f>D15+D16</f>
        <v>18908895</v>
      </c>
      <c r="E17" s="76">
        <f>E15+E16</f>
        <v>333079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2.622019828137321E-2</v>
      </c>
      <c r="D20" s="189">
        <f>IF(+D27=0,0,+D24/+D27)</f>
        <v>-2.5443234960857214E-3</v>
      </c>
      <c r="E20" s="189">
        <f>IF(+E27=0,0,+E24/+E27)</f>
        <v>-3.9055168350869057E-2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4.2932257748198532E-2</v>
      </c>
      <c r="D21" s="189">
        <f>IF(D27=0,0,+D26/D27)</f>
        <v>7.2429489286617396E-2</v>
      </c>
      <c r="E21" s="189">
        <f>IF(E27=0,0,+E26/E27)</f>
        <v>4.0297412136013795E-2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6.9152456029571735E-2</v>
      </c>
      <c r="D22" s="189">
        <f>IF(D27=0,0,+D28/D27)</f>
        <v>6.9885165790531681E-2</v>
      </c>
      <c r="E22" s="189">
        <f>IF(E27=0,0,+E28/E27)</f>
        <v>1.2422437851447366E-3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5984535</v>
      </c>
      <c r="D24" s="76">
        <f>+D15</f>
        <v>-688420</v>
      </c>
      <c r="E24" s="76">
        <f>+E15</f>
        <v>-10471742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218442490</v>
      </c>
      <c r="D25" s="76">
        <f>+D13</f>
        <v>250973625</v>
      </c>
      <c r="E25" s="76">
        <f>+E13</f>
        <v>257322099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9798919</v>
      </c>
      <c r="D26" s="76">
        <f>+D16</f>
        <v>19597315</v>
      </c>
      <c r="E26" s="76">
        <f>+E16</f>
        <v>10804821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228241409</v>
      </c>
      <c r="D27" s="76">
        <f>+D25+D26</f>
        <v>270570940</v>
      </c>
      <c r="E27" s="76">
        <f>+E25+E26</f>
        <v>268126920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15783454</v>
      </c>
      <c r="D28" s="76">
        <f>+D17</f>
        <v>18908895</v>
      </c>
      <c r="E28" s="76">
        <f>+E17</f>
        <v>333079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82917999</v>
      </c>
      <c r="D31" s="76">
        <v>96684590</v>
      </c>
      <c r="E31" s="76">
        <v>101387989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187010417</v>
      </c>
      <c r="D32" s="76">
        <v>209337925</v>
      </c>
      <c r="E32" s="76">
        <v>219132129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2788429</v>
      </c>
      <c r="D33" s="76">
        <f>+D32-C32</f>
        <v>22327508</v>
      </c>
      <c r="E33" s="76">
        <f>+E32-D32</f>
        <v>9794204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1.0150999999999999</v>
      </c>
      <c r="D34" s="193">
        <f>IF(C32=0,0,+D33/C32)</f>
        <v>0.11939178767779551</v>
      </c>
      <c r="E34" s="193">
        <f>IF(D32=0,0,+E33/D32)</f>
        <v>4.6786572476057553E-2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0.46009041779762938</v>
      </c>
      <c r="D38" s="195">
        <f>IF((D40+D41)=0,0,+D39/(D40+D41))</f>
        <v>0.46916185292638896</v>
      </c>
      <c r="E38" s="195">
        <f>IF((E40+E41)=0,0,+E39/(E40+E41))</f>
        <v>0.44380825548213915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212457955</v>
      </c>
      <c r="D39" s="76">
        <v>251662045</v>
      </c>
      <c r="E39" s="196">
        <v>267793841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434869570</v>
      </c>
      <c r="D40" s="76">
        <v>506581501</v>
      </c>
      <c r="E40" s="196">
        <v>574813439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26904783</v>
      </c>
      <c r="D41" s="76">
        <v>29826230</v>
      </c>
      <c r="E41" s="196">
        <v>28586425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1.2747143331219815</v>
      </c>
      <c r="D43" s="197">
        <f>IF(D38=0,0,IF((D46-D47)=0,0,((+D44-D45)/(D46-D47)/D38)))</f>
        <v>1.2086500332939123</v>
      </c>
      <c r="E43" s="197">
        <f>IF(E38=0,0,IF((E46-E47)=0,0,((+E44-E45)/(E46-E47)/E38)))</f>
        <v>1.2597059656344642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118024554</v>
      </c>
      <c r="D44" s="76">
        <v>131440212</v>
      </c>
      <c r="E44" s="196">
        <v>150223027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586310</v>
      </c>
      <c r="D45" s="76">
        <v>1403315</v>
      </c>
      <c r="E45" s="196">
        <v>826408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203476464</v>
      </c>
      <c r="D46" s="76">
        <v>233914960</v>
      </c>
      <c r="E46" s="196">
        <v>271599289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3235240</v>
      </c>
      <c r="D47" s="76">
        <v>4594219</v>
      </c>
      <c r="E47" s="76">
        <v>4374830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15.708614854587903</v>
      </c>
      <c r="D49" s="198">
        <f>IF(D38=0,0,IF(D51=0,0,(D50/D51)/D38))</f>
        <v>12.659093212977266</v>
      </c>
      <c r="E49" s="198">
        <f>IF(E38=0,0,IF(E51=0,0,(E50/E51)/E38))</f>
        <v>6.0250785482837559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2989383</v>
      </c>
      <c r="D50" s="199">
        <v>2951503</v>
      </c>
      <c r="E50" s="199">
        <v>2791378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413619</v>
      </c>
      <c r="D51" s="199">
        <v>496956</v>
      </c>
      <c r="E51" s="199">
        <v>1043904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0.71347363241041273</v>
      </c>
      <c r="D53" s="198">
        <f>IF(D38=0,0,IF(D55=0,0,(D54/D55)/D38))</f>
        <v>0.67299718552429844</v>
      </c>
      <c r="E53" s="198">
        <f>IF(E38=0,0,IF(E55=0,0,(E54/E55)/E38))</f>
        <v>0.58178162307099135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74894014</v>
      </c>
      <c r="D54" s="199">
        <v>84346091</v>
      </c>
      <c r="E54" s="199">
        <v>76613744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228152899</v>
      </c>
      <c r="D55" s="199">
        <v>267133909</v>
      </c>
      <c r="E55" s="199">
        <v>296723068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1255628.1583073323</v>
      </c>
      <c r="D57" s="88">
        <f>+D60*D38</f>
        <v>2467230.2288167058</v>
      </c>
      <c r="E57" s="88">
        <f>+E60*E38</f>
        <v>2652568.7146545909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1581301</v>
      </c>
      <c r="D58" s="199">
        <v>710025</v>
      </c>
      <c r="E58" s="199">
        <v>1431441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1147789</v>
      </c>
      <c r="D59" s="199">
        <v>4548779</v>
      </c>
      <c r="E59" s="199">
        <v>4545394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2729090</v>
      </c>
      <c r="D60" s="76">
        <v>5258804</v>
      </c>
      <c r="E60" s="201">
        <v>5976835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5.9100077392128351E-3</v>
      </c>
      <c r="D62" s="202">
        <f>IF(D63=0,0,+D57/D63)</f>
        <v>9.8037438614023246E-3</v>
      </c>
      <c r="E62" s="202">
        <f>IF(E63=0,0,+E57/E63)</f>
        <v>9.9052640820615091E-3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212457955</v>
      </c>
      <c r="D63" s="199">
        <v>251662045</v>
      </c>
      <c r="E63" s="199">
        <v>267793841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0.95865442688089719</v>
      </c>
      <c r="D67" s="203">
        <f>IF(D69=0,0,D68/D69)</f>
        <v>1.3253415354854907</v>
      </c>
      <c r="E67" s="203">
        <f>IF(E69=0,0,E68/E69)</f>
        <v>0.9408811421665495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35880724</v>
      </c>
      <c r="D68" s="204">
        <v>60993234</v>
      </c>
      <c r="E68" s="204">
        <v>58654314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37428215</v>
      </c>
      <c r="D69" s="204">
        <v>46020767</v>
      </c>
      <c r="E69" s="204">
        <v>62339770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6.2718574639968141</v>
      </c>
      <c r="D71" s="203">
        <f>IF((D77/365)=0,0,+D74/(D77/365))</f>
        <v>0.73034715988209076</v>
      </c>
      <c r="E71" s="203">
        <f>IF((E77/365)=0,0,+E74/(E77/365))</f>
        <v>2.540924237706943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3472044</v>
      </c>
      <c r="D72" s="183">
        <v>482737</v>
      </c>
      <c r="E72" s="183">
        <v>1782072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0</v>
      </c>
      <c r="D73" s="206">
        <v>0</v>
      </c>
      <c r="E73" s="206">
        <v>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3472044</v>
      </c>
      <c r="D74" s="204">
        <f>+D72+D73</f>
        <v>482737</v>
      </c>
      <c r="E74" s="204">
        <f>+E72+E73</f>
        <v>1782072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212457955</v>
      </c>
      <c r="D75" s="204">
        <f>+D14</f>
        <v>251662045</v>
      </c>
      <c r="E75" s="204">
        <f>+E14</f>
        <v>267793841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10397231</v>
      </c>
      <c r="D76" s="204">
        <v>10408276</v>
      </c>
      <c r="E76" s="204">
        <v>11801840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202060724</v>
      </c>
      <c r="D77" s="204">
        <f>+D75-D76</f>
        <v>241253769</v>
      </c>
      <c r="E77" s="204">
        <f>+E75-E76</f>
        <v>255992001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39.432375796062537</v>
      </c>
      <c r="D79" s="203">
        <f>IF((D84/365)=0,0,+D83/(D84/365))</f>
        <v>49.489411710461489</v>
      </c>
      <c r="E79" s="203">
        <f>IF((E84/365)=0,0,+E83/(E84/365))</f>
        <v>26.895524513031312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23133138</v>
      </c>
      <c r="D80" s="212">
        <v>29412780</v>
      </c>
      <c r="E80" s="212">
        <v>27453944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4899895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1261943</v>
      </c>
      <c r="D82" s="212">
        <v>2965182</v>
      </c>
      <c r="E82" s="212">
        <v>9819700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21871195</v>
      </c>
      <c r="D83" s="212">
        <f>+D80+D81-D82</f>
        <v>31347493</v>
      </c>
      <c r="E83" s="212">
        <f>+E80+E81-E82</f>
        <v>17634244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202447507</v>
      </c>
      <c r="D84" s="204">
        <f>+D11</f>
        <v>231197635</v>
      </c>
      <c r="E84" s="204">
        <f>+E11</f>
        <v>239314874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67.609866007408755</v>
      </c>
      <c r="D86" s="203">
        <f>IF((D90/365)=0,0,+D87/(D90/365))</f>
        <v>69.626186669025671</v>
      </c>
      <c r="E86" s="203">
        <f>IF((E90/365)=0,0,+E87/(E90/365))</f>
        <v>88.885652524744316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37428215</v>
      </c>
      <c r="D87" s="76">
        <f>+D69</f>
        <v>46020767</v>
      </c>
      <c r="E87" s="76">
        <f>+E69</f>
        <v>62339770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212457955</v>
      </c>
      <c r="D88" s="76">
        <f t="shared" si="0"/>
        <v>251662045</v>
      </c>
      <c r="E88" s="76">
        <f t="shared" si="0"/>
        <v>267793841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10397231</v>
      </c>
      <c r="D89" s="201">
        <f t="shared" si="0"/>
        <v>10408276</v>
      </c>
      <c r="E89" s="201">
        <f t="shared" si="0"/>
        <v>11801840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202060724</v>
      </c>
      <c r="D90" s="76">
        <f>+D88-D89</f>
        <v>241253769</v>
      </c>
      <c r="E90" s="76">
        <f>+E88-E89</f>
        <v>255992001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61.688815247322047</v>
      </c>
      <c r="D94" s="214">
        <f>IF(D96=0,0,(D95/D96)*100)</f>
        <v>58.112678641557835</v>
      </c>
      <c r="E94" s="214">
        <f>IF(E96=0,0,(E95/E96)*100)</f>
        <v>58.174859861089566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187010417</v>
      </c>
      <c r="D95" s="76">
        <f>+D32</f>
        <v>209337925</v>
      </c>
      <c r="E95" s="76">
        <f>+E32</f>
        <v>219132129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303151254</v>
      </c>
      <c r="D96" s="76">
        <v>360227630</v>
      </c>
      <c r="E96" s="76">
        <v>376678396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32.806152177993958</v>
      </c>
      <c r="D98" s="214">
        <f>IF(D104=0,0,(D101/D104)*100)</f>
        <v>28.752311991825319</v>
      </c>
      <c r="E98" s="214">
        <f>IF(E104=0,0,(E101/E104)*100)</f>
        <v>9.6670900431598028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15783454</v>
      </c>
      <c r="D99" s="76">
        <f>+D28</f>
        <v>18908895</v>
      </c>
      <c r="E99" s="76">
        <f>+E28</f>
        <v>333079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10397231</v>
      </c>
      <c r="D100" s="201">
        <f>+D76</f>
        <v>10408276</v>
      </c>
      <c r="E100" s="201">
        <f>+E76</f>
        <v>11801840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26180685</v>
      </c>
      <c r="D101" s="76">
        <f>+D99+D100</f>
        <v>29317171</v>
      </c>
      <c r="E101" s="76">
        <f>+E99+E100</f>
        <v>12134919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37428215</v>
      </c>
      <c r="D102" s="204">
        <f>+D69</f>
        <v>46020767</v>
      </c>
      <c r="E102" s="204">
        <f>+E69</f>
        <v>62339770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42375978</v>
      </c>
      <c r="D103" s="216">
        <v>55943802</v>
      </c>
      <c r="E103" s="216">
        <v>63188377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79804193</v>
      </c>
      <c r="D104" s="204">
        <f>+D102+D103</f>
        <v>101964569</v>
      </c>
      <c r="E104" s="204">
        <f>+E102+E103</f>
        <v>125528147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18.473623076032911</v>
      </c>
      <c r="D106" s="214">
        <f>IF(D109=0,0,(D107/D109)*100)</f>
        <v>21.088449111310258</v>
      </c>
      <c r="E106" s="214">
        <f>IF(E109=0,0,(E107/E109)*100)</f>
        <v>22.38178795273199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42375978</v>
      </c>
      <c r="D107" s="204">
        <f>+D103</f>
        <v>55943802</v>
      </c>
      <c r="E107" s="204">
        <f>+E103</f>
        <v>63188377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187010417</v>
      </c>
      <c r="D108" s="204">
        <f>+D32</f>
        <v>209337925</v>
      </c>
      <c r="E108" s="204">
        <f>+E32</f>
        <v>219132129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229386395</v>
      </c>
      <c r="D109" s="204">
        <f>+D107+D108</f>
        <v>265281727</v>
      </c>
      <c r="E109" s="204">
        <f>+E107+E108</f>
        <v>282320506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0.6448830917969105</v>
      </c>
      <c r="D111" s="214">
        <f>IF((+D113+D115)=0,0,((+D112+D113+D114)/(+D113+D115)))</f>
        <v>5.5551774473450575</v>
      </c>
      <c r="E111" s="214">
        <f>IF((+E113+E115)=0,0,((+E112+E113+E114)/(+E113+E115)))</f>
        <v>2.3321863311775086</v>
      </c>
    </row>
    <row r="112" spans="1:6" ht="24" customHeight="1" x14ac:dyDescent="0.2">
      <c r="A112" s="85">
        <v>16</v>
      </c>
      <c r="B112" s="75" t="s">
        <v>373</v>
      </c>
      <c r="C112" s="218">
        <f>+C17</f>
        <v>15783454</v>
      </c>
      <c r="D112" s="76">
        <f>+D17</f>
        <v>18908895</v>
      </c>
      <c r="E112" s="76">
        <f>+E17</f>
        <v>333079</v>
      </c>
    </row>
    <row r="113" spans="1:8" ht="24" customHeight="1" x14ac:dyDescent="0.2">
      <c r="A113" s="85">
        <v>17</v>
      </c>
      <c r="B113" s="75" t="s">
        <v>88</v>
      </c>
      <c r="C113" s="218">
        <v>1187248</v>
      </c>
      <c r="D113" s="76">
        <v>910866</v>
      </c>
      <c r="E113" s="76">
        <v>1294274</v>
      </c>
    </row>
    <row r="114" spans="1:8" ht="24" customHeight="1" x14ac:dyDescent="0.2">
      <c r="A114" s="85">
        <v>18</v>
      </c>
      <c r="B114" s="75" t="s">
        <v>374</v>
      </c>
      <c r="C114" s="218">
        <v>10397231</v>
      </c>
      <c r="D114" s="76">
        <v>10408276</v>
      </c>
      <c r="E114" s="76">
        <v>11801840</v>
      </c>
    </row>
    <row r="115" spans="1:8" ht="24" customHeight="1" x14ac:dyDescent="0.2">
      <c r="A115" s="85">
        <v>19</v>
      </c>
      <c r="B115" s="75" t="s">
        <v>104</v>
      </c>
      <c r="C115" s="218">
        <v>41251348</v>
      </c>
      <c r="D115" s="76">
        <v>4530551</v>
      </c>
      <c r="E115" s="76">
        <v>4463925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8.1130248043926319</v>
      </c>
      <c r="D119" s="214">
        <f>IF(+D121=0,0,(+D120)/(+D121))</f>
        <v>8.991193834598544</v>
      </c>
      <c r="E119" s="214">
        <f>IF(+E121=0,0,(+E120)/(+E121))</f>
        <v>8.8284777627895306</v>
      </c>
    </row>
    <row r="120" spans="1:8" ht="24" customHeight="1" x14ac:dyDescent="0.2">
      <c r="A120" s="85">
        <v>21</v>
      </c>
      <c r="B120" s="75" t="s">
        <v>378</v>
      </c>
      <c r="C120" s="218">
        <v>84352993</v>
      </c>
      <c r="D120" s="218">
        <v>93582827</v>
      </c>
      <c r="E120" s="218">
        <v>104192282</v>
      </c>
    </row>
    <row r="121" spans="1:8" ht="24" customHeight="1" x14ac:dyDescent="0.2">
      <c r="A121" s="85">
        <v>22</v>
      </c>
      <c r="B121" s="75" t="s">
        <v>374</v>
      </c>
      <c r="C121" s="218">
        <v>10397231</v>
      </c>
      <c r="D121" s="218">
        <v>10408276</v>
      </c>
      <c r="E121" s="218">
        <v>11801840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37834</v>
      </c>
      <c r="D124" s="218">
        <v>44449</v>
      </c>
      <c r="E124" s="218">
        <v>46107</v>
      </c>
    </row>
    <row r="125" spans="1:8" ht="24" customHeight="1" x14ac:dyDescent="0.2">
      <c r="A125" s="85">
        <v>2</v>
      </c>
      <c r="B125" s="75" t="s">
        <v>381</v>
      </c>
      <c r="C125" s="218">
        <v>6203</v>
      </c>
      <c r="D125" s="218">
        <v>6642</v>
      </c>
      <c r="E125" s="218">
        <v>6422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6.0993067870385298</v>
      </c>
      <c r="D126" s="219">
        <f>IF(D125=0,0,D124/D125)</f>
        <v>6.692110809996989</v>
      </c>
      <c r="E126" s="219">
        <f>IF(E125=0,0,E124/E125)</f>
        <v>7.1795390843973843</v>
      </c>
    </row>
    <row r="127" spans="1:8" ht="24" customHeight="1" x14ac:dyDescent="0.2">
      <c r="A127" s="85">
        <v>4</v>
      </c>
      <c r="B127" s="75" t="s">
        <v>383</v>
      </c>
      <c r="C127" s="218">
        <v>182</v>
      </c>
      <c r="D127" s="218">
        <v>182</v>
      </c>
      <c r="E127" s="218">
        <v>182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187</v>
      </c>
      <c r="E128" s="218">
        <v>187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187</v>
      </c>
      <c r="D129" s="218">
        <v>187</v>
      </c>
      <c r="E129" s="218">
        <v>187</v>
      </c>
    </row>
    <row r="130" spans="1:7" ht="24" customHeight="1" x14ac:dyDescent="0.2">
      <c r="A130" s="85">
        <v>7</v>
      </c>
      <c r="B130" s="75" t="s">
        <v>386</v>
      </c>
      <c r="C130" s="193">
        <v>0.56950000000000001</v>
      </c>
      <c r="D130" s="193">
        <v>0.66910000000000003</v>
      </c>
      <c r="E130" s="193">
        <v>0.69399999999999995</v>
      </c>
    </row>
    <row r="131" spans="1:7" ht="24" customHeight="1" x14ac:dyDescent="0.2">
      <c r="A131" s="85">
        <v>8</v>
      </c>
      <c r="B131" s="75" t="s">
        <v>387</v>
      </c>
      <c r="C131" s="193">
        <v>0.55430000000000001</v>
      </c>
      <c r="D131" s="193">
        <v>0.6512</v>
      </c>
      <c r="E131" s="193">
        <v>0.67549999999999999</v>
      </c>
    </row>
    <row r="132" spans="1:7" ht="24" customHeight="1" x14ac:dyDescent="0.2">
      <c r="A132" s="85">
        <v>9</v>
      </c>
      <c r="B132" s="75" t="s">
        <v>388</v>
      </c>
      <c r="C132" s="219">
        <v>1229.2</v>
      </c>
      <c r="D132" s="219">
        <v>1331.9</v>
      </c>
      <c r="E132" s="219">
        <v>1429.7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0.46046271759139185</v>
      </c>
      <c r="D135" s="227">
        <f>IF(D149=0,0,D143/D149)</f>
        <v>0.45268281717219672</v>
      </c>
      <c r="E135" s="227">
        <f>IF(E149=0,0,E143/E149)</f>
        <v>0.46488902462838905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9.5113346284496293E-4</v>
      </c>
      <c r="D136" s="227">
        <f>IF(D149=0,0,D144/D149)</f>
        <v>9.8099910679525578E-4</v>
      </c>
      <c r="E136" s="227">
        <f>IF(E149=0,0,E144/E149)</f>
        <v>1.8160744498529374E-3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0.52464673258236949</v>
      </c>
      <c r="D137" s="227">
        <f>IF(D149=0,0,D145/D149)</f>
        <v>0.52732661668985814</v>
      </c>
      <c r="E137" s="227">
        <f>IF(E149=0,0,E145/E149)</f>
        <v>0.51620760383787756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0</v>
      </c>
      <c r="D138" s="227">
        <f>IF(D149=0,0,D146/D149)</f>
        <v>0</v>
      </c>
      <c r="E138" s="227">
        <f>IF(E149=0,0,E146/E149)</f>
        <v>0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7.4395640053637234E-3</v>
      </c>
      <c r="D139" s="227">
        <f>IF(D149=0,0,D147/D149)</f>
        <v>9.0690619198113987E-3</v>
      </c>
      <c r="E139" s="227">
        <f>IF(E149=0,0,E147/E149)</f>
        <v>7.6108693763508196E-3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6.4998523580300184E-3</v>
      </c>
      <c r="D140" s="227">
        <f>IF(D149=0,0,D148/D149)</f>
        <v>9.9405051113384425E-3</v>
      </c>
      <c r="E140" s="227">
        <f>IF(E149=0,0,E148/E149)</f>
        <v>9.4764277075296433E-3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1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200241224</v>
      </c>
      <c r="D143" s="229">
        <f>+D46-D147</f>
        <v>229320741</v>
      </c>
      <c r="E143" s="229">
        <f>+E46-E147</f>
        <v>267224459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413619</v>
      </c>
      <c r="D144" s="229">
        <f>+D51</f>
        <v>496956</v>
      </c>
      <c r="E144" s="229">
        <f>+E51</f>
        <v>1043904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228152899</v>
      </c>
      <c r="D145" s="229">
        <f>+D55</f>
        <v>267133909</v>
      </c>
      <c r="E145" s="229">
        <f>+E55</f>
        <v>296723068</v>
      </c>
    </row>
    <row r="146" spans="1:7" ht="20.100000000000001" customHeight="1" x14ac:dyDescent="0.2">
      <c r="A146" s="226">
        <v>11</v>
      </c>
      <c r="B146" s="224" t="s">
        <v>400</v>
      </c>
      <c r="C146" s="228">
        <v>0</v>
      </c>
      <c r="D146" s="229">
        <v>0</v>
      </c>
      <c r="E146" s="229">
        <v>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3235240</v>
      </c>
      <c r="D147" s="229">
        <f>+D47</f>
        <v>4594219</v>
      </c>
      <c r="E147" s="229">
        <f>+E47</f>
        <v>4374830</v>
      </c>
    </row>
    <row r="148" spans="1:7" ht="20.100000000000001" customHeight="1" x14ac:dyDescent="0.2">
      <c r="A148" s="226">
        <v>13</v>
      </c>
      <c r="B148" s="224" t="s">
        <v>402</v>
      </c>
      <c r="C148" s="230">
        <v>2826588</v>
      </c>
      <c r="D148" s="229">
        <v>5035676</v>
      </c>
      <c r="E148" s="229">
        <v>5447178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434869570</v>
      </c>
      <c r="D149" s="229">
        <f>SUM(D143:D148)</f>
        <v>506581501</v>
      </c>
      <c r="E149" s="229">
        <f>SUM(E143:E148)</f>
        <v>574813439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0.59536381480769407</v>
      </c>
      <c r="D152" s="227">
        <f>IF(D166=0,0,D160/D166)</f>
        <v>0.58839223555114073</v>
      </c>
      <c r="E152" s="227">
        <f>IF(E166=0,0,E160/E166)</f>
        <v>0.64335790663032533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1.5154947878829567E-2</v>
      </c>
      <c r="D153" s="227">
        <f>IF(D166=0,0,D161/D166)</f>
        <v>1.3354989918022255E-2</v>
      </c>
      <c r="E153" s="227">
        <f>IF(E166=0,0,E161/E166)</f>
        <v>1.2020721209855119E-2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0.37968198742226467</v>
      </c>
      <c r="D154" s="227">
        <f>IF(D166=0,0,D162/D166)</f>
        <v>0.38165002540386633</v>
      </c>
      <c r="E154" s="227">
        <f>IF(E166=0,0,E162/E166)</f>
        <v>0.32992753309197476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0</v>
      </c>
      <c r="D155" s="227">
        <f>IF(D166=0,0,D163/D166)</f>
        <v>0</v>
      </c>
      <c r="E155" s="227">
        <f>IF(E166=0,0,E163/E166)</f>
        <v>0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2.9723516494328641E-3</v>
      </c>
      <c r="D156" s="227">
        <f>IF(D166=0,0,D164/D166)</f>
        <v>6.3497335685613063E-3</v>
      </c>
      <c r="E156" s="227">
        <f>IF(E166=0,0,E164/E166)</f>
        <v>3.558822980475575E-3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6.8268982417787919E-3</v>
      </c>
      <c r="D157" s="227">
        <f>IF(D166=0,0,D165/D166)</f>
        <v>1.0253015558409434E-2</v>
      </c>
      <c r="E157" s="227">
        <f>IF(E166=0,0,E165/E166)</f>
        <v>1.1135016087369189E-2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1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117438244</v>
      </c>
      <c r="D160" s="229">
        <f>+D44-D164</f>
        <v>130036897</v>
      </c>
      <c r="E160" s="229">
        <f>+E44-E164</f>
        <v>149396619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2989383</v>
      </c>
      <c r="D161" s="229">
        <f>+D50</f>
        <v>2951503</v>
      </c>
      <c r="E161" s="229">
        <f>+E50</f>
        <v>2791378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74894014</v>
      </c>
      <c r="D162" s="229">
        <f>+D54</f>
        <v>84346091</v>
      </c>
      <c r="E162" s="229">
        <f>+E54</f>
        <v>76613744</v>
      </c>
    </row>
    <row r="163" spans="1:6" ht="20.100000000000001" customHeight="1" x14ac:dyDescent="0.2">
      <c r="A163" s="226">
        <v>11</v>
      </c>
      <c r="B163" s="224" t="s">
        <v>415</v>
      </c>
      <c r="C163" s="228">
        <v>0</v>
      </c>
      <c r="D163" s="229">
        <v>0</v>
      </c>
      <c r="E163" s="229">
        <v>0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586310</v>
      </c>
      <c r="D164" s="229">
        <f>+D45</f>
        <v>1403315</v>
      </c>
      <c r="E164" s="229">
        <f>+E45</f>
        <v>826408</v>
      </c>
    </row>
    <row r="165" spans="1:6" ht="20.100000000000001" customHeight="1" x14ac:dyDescent="0.2">
      <c r="A165" s="226">
        <v>13</v>
      </c>
      <c r="B165" s="224" t="s">
        <v>417</v>
      </c>
      <c r="C165" s="230">
        <v>1346637</v>
      </c>
      <c r="D165" s="229">
        <v>2265955</v>
      </c>
      <c r="E165" s="229">
        <v>2585705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197254588</v>
      </c>
      <c r="D166" s="229">
        <f>SUM(D160:D165)</f>
        <v>221003761</v>
      </c>
      <c r="E166" s="229">
        <f>SUM(E160:E165)</f>
        <v>232213854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2960</v>
      </c>
      <c r="D169" s="218">
        <v>3194</v>
      </c>
      <c r="E169" s="218">
        <v>2975</v>
      </c>
    </row>
    <row r="170" spans="1:6" ht="20.100000000000001" customHeight="1" x14ac:dyDescent="0.2">
      <c r="A170" s="226">
        <v>2</v>
      </c>
      <c r="B170" s="224" t="s">
        <v>420</v>
      </c>
      <c r="C170" s="218">
        <v>14</v>
      </c>
      <c r="D170" s="218">
        <v>3</v>
      </c>
      <c r="E170" s="218">
        <v>20</v>
      </c>
    </row>
    <row r="171" spans="1:6" ht="20.100000000000001" customHeight="1" x14ac:dyDescent="0.2">
      <c r="A171" s="226">
        <v>3</v>
      </c>
      <c r="B171" s="224" t="s">
        <v>421</v>
      </c>
      <c r="C171" s="218">
        <v>3177</v>
      </c>
      <c r="D171" s="218">
        <v>3392</v>
      </c>
      <c r="E171" s="218">
        <v>3357</v>
      </c>
    </row>
    <row r="172" spans="1:6" ht="20.100000000000001" customHeight="1" x14ac:dyDescent="0.2">
      <c r="A172" s="226">
        <v>4</v>
      </c>
      <c r="B172" s="224" t="s">
        <v>422</v>
      </c>
      <c r="C172" s="218">
        <v>3177</v>
      </c>
      <c r="D172" s="218">
        <v>3392</v>
      </c>
      <c r="E172" s="218">
        <v>3357</v>
      </c>
    </row>
    <row r="173" spans="1:6" ht="20.100000000000001" customHeight="1" x14ac:dyDescent="0.2">
      <c r="A173" s="226">
        <v>5</v>
      </c>
      <c r="B173" s="224" t="s">
        <v>423</v>
      </c>
      <c r="C173" s="218">
        <v>0</v>
      </c>
      <c r="D173" s="218">
        <v>0</v>
      </c>
      <c r="E173" s="218">
        <v>0</v>
      </c>
    </row>
    <row r="174" spans="1:6" ht="20.100000000000001" customHeight="1" x14ac:dyDescent="0.2">
      <c r="A174" s="226">
        <v>6</v>
      </c>
      <c r="B174" s="224" t="s">
        <v>424</v>
      </c>
      <c r="C174" s="218">
        <v>52</v>
      </c>
      <c r="D174" s="218">
        <v>53</v>
      </c>
      <c r="E174" s="218">
        <v>70</v>
      </c>
    </row>
    <row r="175" spans="1:6" ht="20.100000000000001" customHeight="1" x14ac:dyDescent="0.2">
      <c r="A175" s="226">
        <v>7</v>
      </c>
      <c r="B175" s="224" t="s">
        <v>425</v>
      </c>
      <c r="C175" s="218">
        <v>50</v>
      </c>
      <c r="D175" s="218">
        <v>72</v>
      </c>
      <c r="E175" s="218">
        <v>47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6203</v>
      </c>
      <c r="D176" s="218">
        <f>+D169+D170+D171+D174</f>
        <v>6642</v>
      </c>
      <c r="E176" s="218">
        <f>+E169+E170+E171+E174</f>
        <v>6422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1.3854</v>
      </c>
      <c r="D179" s="231">
        <v>1.5525</v>
      </c>
      <c r="E179" s="231">
        <v>1.6778</v>
      </c>
    </row>
    <row r="180" spans="1:6" ht="20.100000000000001" customHeight="1" x14ac:dyDescent="0.2">
      <c r="A180" s="226">
        <v>2</v>
      </c>
      <c r="B180" s="224" t="s">
        <v>420</v>
      </c>
      <c r="C180" s="231">
        <v>0.92900000000000005</v>
      </c>
      <c r="D180" s="231">
        <v>2.5541</v>
      </c>
      <c r="E180" s="231">
        <v>1.7544999999999999</v>
      </c>
    </row>
    <row r="181" spans="1:6" ht="20.100000000000001" customHeight="1" x14ac:dyDescent="0.2">
      <c r="A181" s="226">
        <v>3</v>
      </c>
      <c r="B181" s="224" t="s">
        <v>421</v>
      </c>
      <c r="C181" s="231">
        <v>1.3424</v>
      </c>
      <c r="D181" s="231">
        <v>1.5658000000000001</v>
      </c>
      <c r="E181" s="231">
        <v>1.5775999999999999</v>
      </c>
    </row>
    <row r="182" spans="1:6" ht="20.100000000000001" customHeight="1" x14ac:dyDescent="0.2">
      <c r="A182" s="226">
        <v>4</v>
      </c>
      <c r="B182" s="224" t="s">
        <v>422</v>
      </c>
      <c r="C182" s="231">
        <v>1.3424</v>
      </c>
      <c r="D182" s="231">
        <v>1.5658000000000001</v>
      </c>
      <c r="E182" s="231">
        <v>1.5775999999999999</v>
      </c>
    </row>
    <row r="183" spans="1:6" ht="20.100000000000001" customHeight="1" x14ac:dyDescent="0.2">
      <c r="A183" s="226">
        <v>5</v>
      </c>
      <c r="B183" s="224" t="s">
        <v>423</v>
      </c>
      <c r="C183" s="231">
        <v>0</v>
      </c>
      <c r="D183" s="231">
        <v>0</v>
      </c>
      <c r="E183" s="231">
        <v>0</v>
      </c>
    </row>
    <row r="184" spans="1:6" ht="20.100000000000001" customHeight="1" x14ac:dyDescent="0.2">
      <c r="A184" s="226">
        <v>6</v>
      </c>
      <c r="B184" s="224" t="s">
        <v>424</v>
      </c>
      <c r="C184" s="231">
        <v>1.3774999999999999</v>
      </c>
      <c r="D184" s="231">
        <v>1.8080000000000001</v>
      </c>
      <c r="E184" s="231">
        <v>1.4213</v>
      </c>
    </row>
    <row r="185" spans="1:6" ht="20.100000000000001" customHeight="1" x14ac:dyDescent="0.2">
      <c r="A185" s="226">
        <v>7</v>
      </c>
      <c r="B185" s="224" t="s">
        <v>425</v>
      </c>
      <c r="C185" s="231">
        <v>1.0356000000000001</v>
      </c>
      <c r="D185" s="231">
        <v>0.94810000000000005</v>
      </c>
      <c r="E185" s="231">
        <v>1.2221</v>
      </c>
    </row>
    <row r="186" spans="1:6" ht="20.100000000000001" customHeight="1" x14ac:dyDescent="0.2">
      <c r="A186" s="226">
        <v>8</v>
      </c>
      <c r="B186" s="224" t="s">
        <v>429</v>
      </c>
      <c r="C186" s="231">
        <v>1.3622799999999999</v>
      </c>
      <c r="D186" s="231">
        <v>1.5617829999999999</v>
      </c>
      <c r="E186" s="231">
        <v>1.622865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3376</v>
      </c>
      <c r="D189" s="218">
        <v>3365</v>
      </c>
      <c r="E189" s="218">
        <v>3299</v>
      </c>
    </row>
    <row r="190" spans="1:6" ht="20.100000000000001" customHeight="1" x14ac:dyDescent="0.2">
      <c r="A190" s="226">
        <v>2</v>
      </c>
      <c r="B190" s="224" t="s">
        <v>433</v>
      </c>
      <c r="C190" s="218">
        <v>50112</v>
      </c>
      <c r="D190" s="218">
        <v>52613</v>
      </c>
      <c r="E190" s="218">
        <v>52341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53488</v>
      </c>
      <c r="D191" s="218">
        <f>+D190+D189</f>
        <v>55978</v>
      </c>
      <c r="E191" s="218">
        <f>+E190+E189</f>
        <v>55640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FILING&amp;RCT CHILDREN`S MEDICAL CENTER</oddHeader>
    <oddFooter>&amp;LREPORT 100&amp;CPAGE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sqref="A1:F1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2</v>
      </c>
      <c r="B4" s="787"/>
      <c r="C4" s="787"/>
      <c r="D4" s="787"/>
      <c r="E4" s="787"/>
      <c r="F4" s="787"/>
    </row>
    <row r="5" spans="1:7" ht="20.25" customHeight="1" x14ac:dyDescent="0.3">
      <c r="A5" s="787" t="s">
        <v>435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88"/>
      <c r="D9" s="789"/>
      <c r="E9" s="789"/>
      <c r="F9" s="790"/>
      <c r="G9" s="245"/>
    </row>
    <row r="10" spans="1:7" ht="20.25" customHeight="1" x14ac:dyDescent="0.3">
      <c r="A10" s="791" t="s">
        <v>12</v>
      </c>
      <c r="B10" s="793" t="s">
        <v>114</v>
      </c>
      <c r="C10" s="795"/>
      <c r="D10" s="796"/>
      <c r="E10" s="796"/>
      <c r="F10" s="797"/>
    </row>
    <row r="11" spans="1:7" ht="20.25" customHeight="1" x14ac:dyDescent="0.3">
      <c r="A11" s="792"/>
      <c r="B11" s="794"/>
      <c r="C11" s="798"/>
      <c r="D11" s="799"/>
      <c r="E11" s="799"/>
      <c r="F11" s="800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0</v>
      </c>
      <c r="D40" s="258">
        <v>0</v>
      </c>
      <c r="E40" s="258">
        <f t="shared" ref="E40:E50" si="4">D40-C40</f>
        <v>0</v>
      </c>
      <c r="F40" s="259">
        <f t="shared" ref="F40:F50" si="5">IF(C40=0,0,E40/C40)</f>
        <v>0</v>
      </c>
    </row>
    <row r="41" spans="1:6" ht="20.25" customHeight="1" x14ac:dyDescent="0.3">
      <c r="A41" s="256">
        <v>2</v>
      </c>
      <c r="B41" s="257" t="s">
        <v>442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3</v>
      </c>
      <c r="B42" s="257" t="s">
        <v>443</v>
      </c>
      <c r="C42" s="258">
        <v>0</v>
      </c>
      <c r="D42" s="258">
        <v>0</v>
      </c>
      <c r="E42" s="258">
        <f t="shared" si="4"/>
        <v>0</v>
      </c>
      <c r="F42" s="259">
        <f t="shared" si="5"/>
        <v>0</v>
      </c>
    </row>
    <row r="43" spans="1:6" ht="20.25" customHeight="1" x14ac:dyDescent="0.3">
      <c r="A43" s="256">
        <v>4</v>
      </c>
      <c r="B43" s="257" t="s">
        <v>444</v>
      </c>
      <c r="C43" s="258">
        <v>0</v>
      </c>
      <c r="D43" s="258">
        <v>0</v>
      </c>
      <c r="E43" s="258">
        <f t="shared" si="4"/>
        <v>0</v>
      </c>
      <c r="F43" s="259">
        <f t="shared" si="5"/>
        <v>0</v>
      </c>
    </row>
    <row r="44" spans="1:6" ht="20.25" customHeight="1" x14ac:dyDescent="0.3">
      <c r="A44" s="256">
        <v>5</v>
      </c>
      <c r="B44" s="257" t="s">
        <v>381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6</v>
      </c>
      <c r="B45" s="257" t="s">
        <v>380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7</v>
      </c>
      <c r="B46" s="257" t="s">
        <v>445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ht="20.25" customHeight="1" x14ac:dyDescent="0.3">
      <c r="A47" s="256">
        <v>8</v>
      </c>
      <c r="B47" s="257" t="s">
        <v>446</v>
      </c>
      <c r="C47" s="260">
        <v>0</v>
      </c>
      <c r="D47" s="260">
        <v>0</v>
      </c>
      <c r="E47" s="260">
        <f t="shared" si="4"/>
        <v>0</v>
      </c>
      <c r="F47" s="259">
        <f t="shared" si="5"/>
        <v>0</v>
      </c>
    </row>
    <row r="48" spans="1:6" ht="20.25" customHeight="1" x14ac:dyDescent="0.3">
      <c r="A48" s="256">
        <v>9</v>
      </c>
      <c r="B48" s="257" t="s">
        <v>447</v>
      </c>
      <c r="C48" s="260">
        <v>0</v>
      </c>
      <c r="D48" s="260">
        <v>0</v>
      </c>
      <c r="E48" s="260">
        <f t="shared" si="4"/>
        <v>0</v>
      </c>
      <c r="F48" s="259">
        <f t="shared" si="5"/>
        <v>0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0</v>
      </c>
      <c r="D49" s="263">
        <f>+D40+D42</f>
        <v>0</v>
      </c>
      <c r="E49" s="263">
        <f t="shared" si="4"/>
        <v>0</v>
      </c>
      <c r="F49" s="264">
        <f t="shared" si="5"/>
        <v>0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0</v>
      </c>
      <c r="D50" s="263">
        <f>+D41+D43</f>
        <v>0</v>
      </c>
      <c r="E50" s="263">
        <f t="shared" si="4"/>
        <v>0</v>
      </c>
      <c r="F50" s="264">
        <f t="shared" si="5"/>
        <v>0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0</v>
      </c>
      <c r="D66" s="258">
        <v>0</v>
      </c>
      <c r="E66" s="258">
        <f t="shared" ref="E66:E76" si="8">D66-C66</f>
        <v>0</v>
      </c>
      <c r="F66" s="259">
        <f t="shared" ref="F66:F76" si="9">IF(C66=0,0,E66/C66)</f>
        <v>0</v>
      </c>
    </row>
    <row r="67" spans="1:6" ht="20.25" customHeight="1" x14ac:dyDescent="0.3">
      <c r="A67" s="256">
        <v>2</v>
      </c>
      <c r="B67" s="257" t="s">
        <v>442</v>
      </c>
      <c r="C67" s="258">
        <v>0</v>
      </c>
      <c r="D67" s="258">
        <v>0</v>
      </c>
      <c r="E67" s="258">
        <f t="shared" si="8"/>
        <v>0</v>
      </c>
      <c r="F67" s="259">
        <f t="shared" si="9"/>
        <v>0</v>
      </c>
    </row>
    <row r="68" spans="1:6" ht="20.25" customHeight="1" x14ac:dyDescent="0.3">
      <c r="A68" s="256">
        <v>3</v>
      </c>
      <c r="B68" s="257" t="s">
        <v>443</v>
      </c>
      <c r="C68" s="258">
        <v>0</v>
      </c>
      <c r="D68" s="258">
        <v>0</v>
      </c>
      <c r="E68" s="258">
        <f t="shared" si="8"/>
        <v>0</v>
      </c>
      <c r="F68" s="259">
        <f t="shared" si="9"/>
        <v>0</v>
      </c>
    </row>
    <row r="69" spans="1:6" ht="20.25" customHeight="1" x14ac:dyDescent="0.3">
      <c r="A69" s="256">
        <v>4</v>
      </c>
      <c r="B69" s="257" t="s">
        <v>444</v>
      </c>
      <c r="C69" s="258">
        <v>0</v>
      </c>
      <c r="D69" s="258">
        <v>0</v>
      </c>
      <c r="E69" s="258">
        <f t="shared" si="8"/>
        <v>0</v>
      </c>
      <c r="F69" s="259">
        <f t="shared" si="9"/>
        <v>0</v>
      </c>
    </row>
    <row r="70" spans="1:6" ht="20.25" customHeight="1" x14ac:dyDescent="0.3">
      <c r="A70" s="256">
        <v>5</v>
      </c>
      <c r="B70" s="257" t="s">
        <v>381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ht="20.25" customHeight="1" x14ac:dyDescent="0.3">
      <c r="A71" s="256">
        <v>6</v>
      </c>
      <c r="B71" s="257" t="s">
        <v>380</v>
      </c>
      <c r="C71" s="260">
        <v>0</v>
      </c>
      <c r="D71" s="260">
        <v>0</v>
      </c>
      <c r="E71" s="260">
        <f t="shared" si="8"/>
        <v>0</v>
      </c>
      <c r="F71" s="259">
        <f t="shared" si="9"/>
        <v>0</v>
      </c>
    </row>
    <row r="72" spans="1:6" ht="20.25" customHeight="1" x14ac:dyDescent="0.3">
      <c r="A72" s="256">
        <v>7</v>
      </c>
      <c r="B72" s="257" t="s">
        <v>445</v>
      </c>
      <c r="C72" s="260">
        <v>0</v>
      </c>
      <c r="D72" s="260">
        <v>0</v>
      </c>
      <c r="E72" s="260">
        <f t="shared" si="8"/>
        <v>0</v>
      </c>
      <c r="F72" s="259">
        <f t="shared" si="9"/>
        <v>0</v>
      </c>
    </row>
    <row r="73" spans="1:6" ht="20.25" customHeight="1" x14ac:dyDescent="0.3">
      <c r="A73" s="256">
        <v>8</v>
      </c>
      <c r="B73" s="257" t="s">
        <v>446</v>
      </c>
      <c r="C73" s="260">
        <v>0</v>
      </c>
      <c r="D73" s="260">
        <v>0</v>
      </c>
      <c r="E73" s="260">
        <f t="shared" si="8"/>
        <v>0</v>
      </c>
      <c r="F73" s="259">
        <f t="shared" si="9"/>
        <v>0</v>
      </c>
    </row>
    <row r="74" spans="1:6" ht="20.25" customHeight="1" x14ac:dyDescent="0.3">
      <c r="A74" s="256">
        <v>9</v>
      </c>
      <c r="B74" s="257" t="s">
        <v>447</v>
      </c>
      <c r="C74" s="260">
        <v>0</v>
      </c>
      <c r="D74" s="260">
        <v>0</v>
      </c>
      <c r="E74" s="260">
        <f t="shared" si="8"/>
        <v>0</v>
      </c>
      <c r="F74" s="259">
        <f t="shared" si="9"/>
        <v>0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0</v>
      </c>
      <c r="D75" s="263">
        <f>+D66+D68</f>
        <v>0</v>
      </c>
      <c r="E75" s="263">
        <f t="shared" si="8"/>
        <v>0</v>
      </c>
      <c r="F75" s="264">
        <f t="shared" si="9"/>
        <v>0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0</v>
      </c>
      <c r="D76" s="263">
        <f>+D67+D69</f>
        <v>0</v>
      </c>
      <c r="E76" s="263">
        <f t="shared" si="8"/>
        <v>0</v>
      </c>
      <c r="F76" s="264">
        <f t="shared" si="9"/>
        <v>0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0</v>
      </c>
      <c r="D92" s="258">
        <v>0</v>
      </c>
      <c r="E92" s="258">
        <f t="shared" ref="E92:E102" si="12">D92-C92</f>
        <v>0</v>
      </c>
      <c r="F92" s="259">
        <f t="shared" ref="F92:F102" si="13">IF(C92=0,0,E92/C92)</f>
        <v>0</v>
      </c>
    </row>
    <row r="93" spans="1:6" ht="20.25" customHeight="1" x14ac:dyDescent="0.3">
      <c r="A93" s="256">
        <v>2</v>
      </c>
      <c r="B93" s="257" t="s">
        <v>442</v>
      </c>
      <c r="C93" s="258">
        <v>0</v>
      </c>
      <c r="D93" s="258">
        <v>0</v>
      </c>
      <c r="E93" s="258">
        <f t="shared" si="12"/>
        <v>0</v>
      </c>
      <c r="F93" s="259">
        <f t="shared" si="13"/>
        <v>0</v>
      </c>
    </row>
    <row r="94" spans="1:6" ht="20.25" customHeight="1" x14ac:dyDescent="0.3">
      <c r="A94" s="256">
        <v>3</v>
      </c>
      <c r="B94" s="257" t="s">
        <v>443</v>
      </c>
      <c r="C94" s="258">
        <v>0</v>
      </c>
      <c r="D94" s="258">
        <v>0</v>
      </c>
      <c r="E94" s="258">
        <f t="shared" si="12"/>
        <v>0</v>
      </c>
      <c r="F94" s="259">
        <f t="shared" si="13"/>
        <v>0</v>
      </c>
    </row>
    <row r="95" spans="1:6" ht="20.25" customHeight="1" x14ac:dyDescent="0.3">
      <c r="A95" s="256">
        <v>4</v>
      </c>
      <c r="B95" s="257" t="s">
        <v>444</v>
      </c>
      <c r="C95" s="258">
        <v>0</v>
      </c>
      <c r="D95" s="258">
        <v>0</v>
      </c>
      <c r="E95" s="258">
        <f t="shared" si="12"/>
        <v>0</v>
      </c>
      <c r="F95" s="259">
        <f t="shared" si="13"/>
        <v>0</v>
      </c>
    </row>
    <row r="96" spans="1:6" ht="20.25" customHeight="1" x14ac:dyDescent="0.3">
      <c r="A96" s="256">
        <v>5</v>
      </c>
      <c r="B96" s="257" t="s">
        <v>381</v>
      </c>
      <c r="C96" s="260">
        <v>0</v>
      </c>
      <c r="D96" s="260">
        <v>0</v>
      </c>
      <c r="E96" s="260">
        <f t="shared" si="12"/>
        <v>0</v>
      </c>
      <c r="F96" s="259">
        <f t="shared" si="13"/>
        <v>0</v>
      </c>
    </row>
    <row r="97" spans="1:6" ht="20.25" customHeight="1" x14ac:dyDescent="0.3">
      <c r="A97" s="256">
        <v>6</v>
      </c>
      <c r="B97" s="257" t="s">
        <v>380</v>
      </c>
      <c r="C97" s="260">
        <v>0</v>
      </c>
      <c r="D97" s="260">
        <v>0</v>
      </c>
      <c r="E97" s="260">
        <f t="shared" si="12"/>
        <v>0</v>
      </c>
      <c r="F97" s="259">
        <f t="shared" si="13"/>
        <v>0</v>
      </c>
    </row>
    <row r="98" spans="1:6" ht="20.25" customHeight="1" x14ac:dyDescent="0.3">
      <c r="A98" s="256">
        <v>7</v>
      </c>
      <c r="B98" s="257" t="s">
        <v>445</v>
      </c>
      <c r="C98" s="260">
        <v>0</v>
      </c>
      <c r="D98" s="260">
        <v>0</v>
      </c>
      <c r="E98" s="260">
        <f t="shared" si="12"/>
        <v>0</v>
      </c>
      <c r="F98" s="259">
        <f t="shared" si="13"/>
        <v>0</v>
      </c>
    </row>
    <row r="99" spans="1:6" ht="20.25" customHeight="1" x14ac:dyDescent="0.3">
      <c r="A99" s="256">
        <v>8</v>
      </c>
      <c r="B99" s="257" t="s">
        <v>446</v>
      </c>
      <c r="C99" s="260">
        <v>0</v>
      </c>
      <c r="D99" s="260">
        <v>0</v>
      </c>
      <c r="E99" s="260">
        <f t="shared" si="12"/>
        <v>0</v>
      </c>
      <c r="F99" s="259">
        <f t="shared" si="13"/>
        <v>0</v>
      </c>
    </row>
    <row r="100" spans="1:6" ht="20.25" customHeight="1" x14ac:dyDescent="0.3">
      <c r="A100" s="256">
        <v>9</v>
      </c>
      <c r="B100" s="257" t="s">
        <v>447</v>
      </c>
      <c r="C100" s="260">
        <v>0</v>
      </c>
      <c r="D100" s="260">
        <v>0</v>
      </c>
      <c r="E100" s="260">
        <f t="shared" si="12"/>
        <v>0</v>
      </c>
      <c r="F100" s="259">
        <f t="shared" si="13"/>
        <v>0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0</v>
      </c>
      <c r="D101" s="263">
        <f>+D92+D94</f>
        <v>0</v>
      </c>
      <c r="E101" s="263">
        <f t="shared" si="12"/>
        <v>0</v>
      </c>
      <c r="F101" s="264">
        <f t="shared" si="13"/>
        <v>0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0</v>
      </c>
      <c r="D102" s="263">
        <f>+D93+D95</f>
        <v>0</v>
      </c>
      <c r="E102" s="263">
        <f t="shared" si="12"/>
        <v>0</v>
      </c>
      <c r="F102" s="264">
        <f t="shared" si="13"/>
        <v>0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0</v>
      </c>
      <c r="D105" s="258">
        <v>0</v>
      </c>
      <c r="E105" s="258">
        <f t="shared" ref="E105:E115" si="14">D105-C105</f>
        <v>0</v>
      </c>
      <c r="F105" s="259">
        <f t="shared" ref="F105:F115" si="15">IF(C105=0,0,E105/C105)</f>
        <v>0</v>
      </c>
    </row>
    <row r="106" spans="1:6" ht="20.25" customHeight="1" x14ac:dyDescent="0.3">
      <c r="A106" s="256">
        <v>2</v>
      </c>
      <c r="B106" s="257" t="s">
        <v>442</v>
      </c>
      <c r="C106" s="258">
        <v>0</v>
      </c>
      <c r="D106" s="258">
        <v>0</v>
      </c>
      <c r="E106" s="258">
        <f t="shared" si="14"/>
        <v>0</v>
      </c>
      <c r="F106" s="259">
        <f t="shared" si="15"/>
        <v>0</v>
      </c>
    </row>
    <row r="107" spans="1:6" ht="20.25" customHeight="1" x14ac:dyDescent="0.3">
      <c r="A107" s="256">
        <v>3</v>
      </c>
      <c r="B107" s="257" t="s">
        <v>443</v>
      </c>
      <c r="C107" s="258">
        <v>0</v>
      </c>
      <c r="D107" s="258">
        <v>0</v>
      </c>
      <c r="E107" s="258">
        <f t="shared" si="14"/>
        <v>0</v>
      </c>
      <c r="F107" s="259">
        <f t="shared" si="15"/>
        <v>0</v>
      </c>
    </row>
    <row r="108" spans="1:6" ht="20.25" customHeight="1" x14ac:dyDescent="0.3">
      <c r="A108" s="256">
        <v>4</v>
      </c>
      <c r="B108" s="257" t="s">
        <v>444</v>
      </c>
      <c r="C108" s="258">
        <v>0</v>
      </c>
      <c r="D108" s="258">
        <v>0</v>
      </c>
      <c r="E108" s="258">
        <f t="shared" si="14"/>
        <v>0</v>
      </c>
      <c r="F108" s="259">
        <f t="shared" si="15"/>
        <v>0</v>
      </c>
    </row>
    <row r="109" spans="1:6" ht="20.25" customHeight="1" x14ac:dyDescent="0.3">
      <c r="A109" s="256">
        <v>5</v>
      </c>
      <c r="B109" s="257" t="s">
        <v>381</v>
      </c>
      <c r="C109" s="260">
        <v>0</v>
      </c>
      <c r="D109" s="260">
        <v>0</v>
      </c>
      <c r="E109" s="260">
        <f t="shared" si="14"/>
        <v>0</v>
      </c>
      <c r="F109" s="259">
        <f t="shared" si="15"/>
        <v>0</v>
      </c>
    </row>
    <row r="110" spans="1:6" ht="20.25" customHeight="1" x14ac:dyDescent="0.3">
      <c r="A110" s="256">
        <v>6</v>
      </c>
      <c r="B110" s="257" t="s">
        <v>380</v>
      </c>
      <c r="C110" s="260">
        <v>0</v>
      </c>
      <c r="D110" s="260">
        <v>0</v>
      </c>
      <c r="E110" s="260">
        <f t="shared" si="14"/>
        <v>0</v>
      </c>
      <c r="F110" s="259">
        <f t="shared" si="15"/>
        <v>0</v>
      </c>
    </row>
    <row r="111" spans="1:6" ht="20.25" customHeight="1" x14ac:dyDescent="0.3">
      <c r="A111" s="256">
        <v>7</v>
      </c>
      <c r="B111" s="257" t="s">
        <v>445</v>
      </c>
      <c r="C111" s="260">
        <v>0</v>
      </c>
      <c r="D111" s="260">
        <v>0</v>
      </c>
      <c r="E111" s="260">
        <f t="shared" si="14"/>
        <v>0</v>
      </c>
      <c r="F111" s="259">
        <f t="shared" si="15"/>
        <v>0</v>
      </c>
    </row>
    <row r="112" spans="1:6" ht="20.25" customHeight="1" x14ac:dyDescent="0.3">
      <c r="A112" s="256">
        <v>8</v>
      </c>
      <c r="B112" s="257" t="s">
        <v>446</v>
      </c>
      <c r="C112" s="260">
        <v>0</v>
      </c>
      <c r="D112" s="260">
        <v>0</v>
      </c>
      <c r="E112" s="260">
        <f t="shared" si="14"/>
        <v>0</v>
      </c>
      <c r="F112" s="259">
        <f t="shared" si="15"/>
        <v>0</v>
      </c>
    </row>
    <row r="113" spans="1:6" ht="20.25" customHeight="1" x14ac:dyDescent="0.3">
      <c r="A113" s="256">
        <v>9</v>
      </c>
      <c r="B113" s="257" t="s">
        <v>447</v>
      </c>
      <c r="C113" s="260">
        <v>0</v>
      </c>
      <c r="D113" s="260">
        <v>0</v>
      </c>
      <c r="E113" s="260">
        <f t="shared" si="14"/>
        <v>0</v>
      </c>
      <c r="F113" s="259">
        <f t="shared" si="15"/>
        <v>0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0</v>
      </c>
      <c r="D114" s="263">
        <f>+D105+D107</f>
        <v>0</v>
      </c>
      <c r="E114" s="263">
        <f t="shared" si="14"/>
        <v>0</v>
      </c>
      <c r="F114" s="264">
        <f t="shared" si="15"/>
        <v>0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0</v>
      </c>
      <c r="D115" s="263">
        <f>+D106+D108</f>
        <v>0</v>
      </c>
      <c r="E115" s="263">
        <f t="shared" si="14"/>
        <v>0</v>
      </c>
      <c r="F115" s="264">
        <f t="shared" si="15"/>
        <v>0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0</v>
      </c>
      <c r="D118" s="258">
        <v>0</v>
      </c>
      <c r="E118" s="258">
        <f t="shared" ref="E118:E128" si="16">D118-C118</f>
        <v>0</v>
      </c>
      <c r="F118" s="259">
        <f t="shared" ref="F118:F128" si="17">IF(C118=0,0,E118/C118)</f>
        <v>0</v>
      </c>
    </row>
    <row r="119" spans="1:6" ht="20.25" customHeight="1" x14ac:dyDescent="0.3">
      <c r="A119" s="256">
        <v>2</v>
      </c>
      <c r="B119" s="257" t="s">
        <v>442</v>
      </c>
      <c r="C119" s="258">
        <v>0</v>
      </c>
      <c r="D119" s="258">
        <v>0</v>
      </c>
      <c r="E119" s="258">
        <f t="shared" si="16"/>
        <v>0</v>
      </c>
      <c r="F119" s="259">
        <f t="shared" si="17"/>
        <v>0</v>
      </c>
    </row>
    <row r="120" spans="1:6" ht="20.25" customHeight="1" x14ac:dyDescent="0.3">
      <c r="A120" s="256">
        <v>3</v>
      </c>
      <c r="B120" s="257" t="s">
        <v>443</v>
      </c>
      <c r="C120" s="258">
        <v>0</v>
      </c>
      <c r="D120" s="258">
        <v>0</v>
      </c>
      <c r="E120" s="258">
        <f t="shared" si="16"/>
        <v>0</v>
      </c>
      <c r="F120" s="259">
        <f t="shared" si="17"/>
        <v>0</v>
      </c>
    </row>
    <row r="121" spans="1:6" ht="20.25" customHeight="1" x14ac:dyDescent="0.3">
      <c r="A121" s="256">
        <v>4</v>
      </c>
      <c r="B121" s="257" t="s">
        <v>444</v>
      </c>
      <c r="C121" s="258">
        <v>0</v>
      </c>
      <c r="D121" s="258">
        <v>0</v>
      </c>
      <c r="E121" s="258">
        <f t="shared" si="16"/>
        <v>0</v>
      </c>
      <c r="F121" s="259">
        <f t="shared" si="17"/>
        <v>0</v>
      </c>
    </row>
    <row r="122" spans="1:6" ht="20.25" customHeight="1" x14ac:dyDescent="0.3">
      <c r="A122" s="256">
        <v>5</v>
      </c>
      <c r="B122" s="257" t="s">
        <v>381</v>
      </c>
      <c r="C122" s="260">
        <v>0</v>
      </c>
      <c r="D122" s="260">
        <v>0</v>
      </c>
      <c r="E122" s="260">
        <f t="shared" si="16"/>
        <v>0</v>
      </c>
      <c r="F122" s="259">
        <f t="shared" si="17"/>
        <v>0</v>
      </c>
    </row>
    <row r="123" spans="1:6" ht="20.25" customHeight="1" x14ac:dyDescent="0.3">
      <c r="A123" s="256">
        <v>6</v>
      </c>
      <c r="B123" s="257" t="s">
        <v>380</v>
      </c>
      <c r="C123" s="260">
        <v>0</v>
      </c>
      <c r="D123" s="260">
        <v>0</v>
      </c>
      <c r="E123" s="260">
        <f t="shared" si="16"/>
        <v>0</v>
      </c>
      <c r="F123" s="259">
        <f t="shared" si="17"/>
        <v>0</v>
      </c>
    </row>
    <row r="124" spans="1:6" ht="20.25" customHeight="1" x14ac:dyDescent="0.3">
      <c r="A124" s="256">
        <v>7</v>
      </c>
      <c r="B124" s="257" t="s">
        <v>445</v>
      </c>
      <c r="C124" s="260">
        <v>0</v>
      </c>
      <c r="D124" s="260">
        <v>0</v>
      </c>
      <c r="E124" s="260">
        <f t="shared" si="16"/>
        <v>0</v>
      </c>
      <c r="F124" s="259">
        <f t="shared" si="17"/>
        <v>0</v>
      </c>
    </row>
    <row r="125" spans="1:6" ht="20.25" customHeight="1" x14ac:dyDescent="0.3">
      <c r="A125" s="256">
        <v>8</v>
      </c>
      <c r="B125" s="257" t="s">
        <v>446</v>
      </c>
      <c r="C125" s="260">
        <v>0</v>
      </c>
      <c r="D125" s="260">
        <v>0</v>
      </c>
      <c r="E125" s="260">
        <f t="shared" si="16"/>
        <v>0</v>
      </c>
      <c r="F125" s="259">
        <f t="shared" si="17"/>
        <v>0</v>
      </c>
    </row>
    <row r="126" spans="1:6" ht="20.25" customHeight="1" x14ac:dyDescent="0.3">
      <c r="A126" s="256">
        <v>9</v>
      </c>
      <c r="B126" s="257" t="s">
        <v>447</v>
      </c>
      <c r="C126" s="260">
        <v>0</v>
      </c>
      <c r="D126" s="260">
        <v>0</v>
      </c>
      <c r="E126" s="260">
        <f t="shared" si="16"/>
        <v>0</v>
      </c>
      <c r="F126" s="259">
        <f t="shared" si="17"/>
        <v>0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0</v>
      </c>
      <c r="D127" s="263">
        <f>+D118+D120</f>
        <v>0</v>
      </c>
      <c r="E127" s="263">
        <f t="shared" si="16"/>
        <v>0</v>
      </c>
      <c r="F127" s="264">
        <f t="shared" si="17"/>
        <v>0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0</v>
      </c>
      <c r="D128" s="263">
        <f>+D119+D121</f>
        <v>0</v>
      </c>
      <c r="E128" s="263">
        <f t="shared" si="16"/>
        <v>0</v>
      </c>
      <c r="F128" s="264">
        <f t="shared" si="17"/>
        <v>0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0</v>
      </c>
      <c r="D131" s="258">
        <v>0</v>
      </c>
      <c r="E131" s="258">
        <f t="shared" ref="E131:E141" si="18">D131-C131</f>
        <v>0</v>
      </c>
      <c r="F131" s="259">
        <f t="shared" ref="F131:F141" si="19">IF(C131=0,0,E131/C131)</f>
        <v>0</v>
      </c>
    </row>
    <row r="132" spans="1:6" ht="20.25" customHeight="1" x14ac:dyDescent="0.3">
      <c r="A132" s="256">
        <v>2</v>
      </c>
      <c r="B132" s="257" t="s">
        <v>442</v>
      </c>
      <c r="C132" s="258">
        <v>0</v>
      </c>
      <c r="D132" s="258">
        <v>0</v>
      </c>
      <c r="E132" s="258">
        <f t="shared" si="18"/>
        <v>0</v>
      </c>
      <c r="F132" s="259">
        <f t="shared" si="19"/>
        <v>0</v>
      </c>
    </row>
    <row r="133" spans="1:6" ht="20.25" customHeight="1" x14ac:dyDescent="0.3">
      <c r="A133" s="256">
        <v>3</v>
      </c>
      <c r="B133" s="257" t="s">
        <v>443</v>
      </c>
      <c r="C133" s="258">
        <v>0</v>
      </c>
      <c r="D133" s="258">
        <v>0</v>
      </c>
      <c r="E133" s="258">
        <f t="shared" si="18"/>
        <v>0</v>
      </c>
      <c r="F133" s="259">
        <f t="shared" si="19"/>
        <v>0</v>
      </c>
    </row>
    <row r="134" spans="1:6" ht="20.25" customHeight="1" x14ac:dyDescent="0.3">
      <c r="A134" s="256">
        <v>4</v>
      </c>
      <c r="B134" s="257" t="s">
        <v>444</v>
      </c>
      <c r="C134" s="258">
        <v>0</v>
      </c>
      <c r="D134" s="258">
        <v>0</v>
      </c>
      <c r="E134" s="258">
        <f t="shared" si="18"/>
        <v>0</v>
      </c>
      <c r="F134" s="259">
        <f t="shared" si="19"/>
        <v>0</v>
      </c>
    </row>
    <row r="135" spans="1:6" ht="20.25" customHeight="1" x14ac:dyDescent="0.3">
      <c r="A135" s="256">
        <v>5</v>
      </c>
      <c r="B135" s="257" t="s">
        <v>381</v>
      </c>
      <c r="C135" s="260">
        <v>0</v>
      </c>
      <c r="D135" s="260">
        <v>0</v>
      </c>
      <c r="E135" s="260">
        <f t="shared" si="18"/>
        <v>0</v>
      </c>
      <c r="F135" s="259">
        <f t="shared" si="19"/>
        <v>0</v>
      </c>
    </row>
    <row r="136" spans="1:6" ht="20.25" customHeight="1" x14ac:dyDescent="0.3">
      <c r="A136" s="256">
        <v>6</v>
      </c>
      <c r="B136" s="257" t="s">
        <v>380</v>
      </c>
      <c r="C136" s="260">
        <v>0</v>
      </c>
      <c r="D136" s="260">
        <v>0</v>
      </c>
      <c r="E136" s="260">
        <f t="shared" si="18"/>
        <v>0</v>
      </c>
      <c r="F136" s="259">
        <f t="shared" si="19"/>
        <v>0</v>
      </c>
    </row>
    <row r="137" spans="1:6" ht="20.25" customHeight="1" x14ac:dyDescent="0.3">
      <c r="A137" s="256">
        <v>7</v>
      </c>
      <c r="B137" s="257" t="s">
        <v>445</v>
      </c>
      <c r="C137" s="260">
        <v>0</v>
      </c>
      <c r="D137" s="260">
        <v>0</v>
      </c>
      <c r="E137" s="260">
        <f t="shared" si="18"/>
        <v>0</v>
      </c>
      <c r="F137" s="259">
        <f t="shared" si="19"/>
        <v>0</v>
      </c>
    </row>
    <row r="138" spans="1:6" ht="20.25" customHeight="1" x14ac:dyDescent="0.3">
      <c r="A138" s="256">
        <v>8</v>
      </c>
      <c r="B138" s="257" t="s">
        <v>446</v>
      </c>
      <c r="C138" s="260">
        <v>0</v>
      </c>
      <c r="D138" s="260">
        <v>0</v>
      </c>
      <c r="E138" s="260">
        <f t="shared" si="18"/>
        <v>0</v>
      </c>
      <c r="F138" s="259">
        <f t="shared" si="19"/>
        <v>0</v>
      </c>
    </row>
    <row r="139" spans="1:6" ht="20.25" customHeight="1" x14ac:dyDescent="0.3">
      <c r="A139" s="256">
        <v>9</v>
      </c>
      <c r="B139" s="257" t="s">
        <v>447</v>
      </c>
      <c r="C139" s="260">
        <v>0</v>
      </c>
      <c r="D139" s="260">
        <v>0</v>
      </c>
      <c r="E139" s="260">
        <f t="shared" si="18"/>
        <v>0</v>
      </c>
      <c r="F139" s="259">
        <f t="shared" si="19"/>
        <v>0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0</v>
      </c>
      <c r="D140" s="263">
        <f>+D131+D133</f>
        <v>0</v>
      </c>
      <c r="E140" s="263">
        <f t="shared" si="18"/>
        <v>0</v>
      </c>
      <c r="F140" s="264">
        <f t="shared" si="19"/>
        <v>0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0</v>
      </c>
      <c r="D141" s="263">
        <f>+D132+D134</f>
        <v>0</v>
      </c>
      <c r="E141" s="263">
        <f t="shared" si="18"/>
        <v>0</v>
      </c>
      <c r="F141" s="264">
        <f t="shared" si="19"/>
        <v>0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0</v>
      </c>
      <c r="D183" s="258">
        <v>0</v>
      </c>
      <c r="E183" s="258">
        <f t="shared" ref="E183:E193" si="26">D183-C183</f>
        <v>0</v>
      </c>
      <c r="F183" s="259">
        <f t="shared" ref="F183:F193" si="27">IF(C183=0,0,E183/C183)</f>
        <v>0</v>
      </c>
    </row>
    <row r="184" spans="1:6" ht="20.25" customHeight="1" x14ac:dyDescent="0.3">
      <c r="A184" s="256">
        <v>2</v>
      </c>
      <c r="B184" s="257" t="s">
        <v>442</v>
      </c>
      <c r="C184" s="258">
        <v>0</v>
      </c>
      <c r="D184" s="258">
        <v>0</v>
      </c>
      <c r="E184" s="258">
        <f t="shared" si="26"/>
        <v>0</v>
      </c>
      <c r="F184" s="259">
        <f t="shared" si="27"/>
        <v>0</v>
      </c>
    </row>
    <row r="185" spans="1:6" ht="20.25" customHeight="1" x14ac:dyDescent="0.3">
      <c r="A185" s="256">
        <v>3</v>
      </c>
      <c r="B185" s="257" t="s">
        <v>443</v>
      </c>
      <c r="C185" s="258">
        <v>0</v>
      </c>
      <c r="D185" s="258">
        <v>0</v>
      </c>
      <c r="E185" s="258">
        <f t="shared" si="26"/>
        <v>0</v>
      </c>
      <c r="F185" s="259">
        <f t="shared" si="27"/>
        <v>0</v>
      </c>
    </row>
    <row r="186" spans="1:6" ht="20.25" customHeight="1" x14ac:dyDescent="0.3">
      <c r="A186" s="256">
        <v>4</v>
      </c>
      <c r="B186" s="257" t="s">
        <v>444</v>
      </c>
      <c r="C186" s="258">
        <v>0</v>
      </c>
      <c r="D186" s="258">
        <v>0</v>
      </c>
      <c r="E186" s="258">
        <f t="shared" si="26"/>
        <v>0</v>
      </c>
      <c r="F186" s="259">
        <f t="shared" si="27"/>
        <v>0</v>
      </c>
    </row>
    <row r="187" spans="1:6" ht="20.25" customHeight="1" x14ac:dyDescent="0.3">
      <c r="A187" s="256">
        <v>5</v>
      </c>
      <c r="B187" s="257" t="s">
        <v>381</v>
      </c>
      <c r="C187" s="260">
        <v>0</v>
      </c>
      <c r="D187" s="260">
        <v>0</v>
      </c>
      <c r="E187" s="260">
        <f t="shared" si="26"/>
        <v>0</v>
      </c>
      <c r="F187" s="259">
        <f t="shared" si="27"/>
        <v>0</v>
      </c>
    </row>
    <row r="188" spans="1:6" ht="20.25" customHeight="1" x14ac:dyDescent="0.3">
      <c r="A188" s="256">
        <v>6</v>
      </c>
      <c r="B188" s="257" t="s">
        <v>380</v>
      </c>
      <c r="C188" s="260">
        <v>0</v>
      </c>
      <c r="D188" s="260">
        <v>0</v>
      </c>
      <c r="E188" s="260">
        <f t="shared" si="26"/>
        <v>0</v>
      </c>
      <c r="F188" s="259">
        <f t="shared" si="27"/>
        <v>0</v>
      </c>
    </row>
    <row r="189" spans="1:6" ht="20.25" customHeight="1" x14ac:dyDescent="0.3">
      <c r="A189" s="256">
        <v>7</v>
      </c>
      <c r="B189" s="257" t="s">
        <v>445</v>
      </c>
      <c r="C189" s="260">
        <v>0</v>
      </c>
      <c r="D189" s="260">
        <v>0</v>
      </c>
      <c r="E189" s="260">
        <f t="shared" si="26"/>
        <v>0</v>
      </c>
      <c r="F189" s="259">
        <f t="shared" si="27"/>
        <v>0</v>
      </c>
    </row>
    <row r="190" spans="1:6" ht="20.25" customHeight="1" x14ac:dyDescent="0.3">
      <c r="A190" s="256">
        <v>8</v>
      </c>
      <c r="B190" s="257" t="s">
        <v>446</v>
      </c>
      <c r="C190" s="260">
        <v>0</v>
      </c>
      <c r="D190" s="260">
        <v>0</v>
      </c>
      <c r="E190" s="260">
        <f t="shared" si="26"/>
        <v>0</v>
      </c>
      <c r="F190" s="259">
        <f t="shared" si="27"/>
        <v>0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0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0</v>
      </c>
      <c r="D192" s="263">
        <f>+D183+D185</f>
        <v>0</v>
      </c>
      <c r="E192" s="263">
        <f t="shared" si="26"/>
        <v>0</v>
      </c>
      <c r="F192" s="264">
        <f t="shared" si="27"/>
        <v>0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0</v>
      </c>
      <c r="D193" s="263">
        <f>+D184+D186</f>
        <v>0</v>
      </c>
      <c r="E193" s="263">
        <f t="shared" si="26"/>
        <v>0</v>
      </c>
      <c r="F193" s="264">
        <f t="shared" si="27"/>
        <v>0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801" t="s">
        <v>44</v>
      </c>
      <c r="B195" s="802" t="s">
        <v>464</v>
      </c>
      <c r="C195" s="804"/>
      <c r="D195" s="805"/>
      <c r="E195" s="805"/>
      <c r="F195" s="806"/>
      <c r="G195" s="786"/>
      <c r="H195" s="786"/>
      <c r="I195" s="786"/>
    </row>
    <row r="196" spans="1:9" ht="20.25" customHeight="1" x14ac:dyDescent="0.3">
      <c r="A196" s="792"/>
      <c r="B196" s="803"/>
      <c r="C196" s="798"/>
      <c r="D196" s="799"/>
      <c r="E196" s="799"/>
      <c r="F196" s="800"/>
      <c r="G196" s="786"/>
      <c r="H196" s="786"/>
      <c r="I196" s="78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0</v>
      </c>
      <c r="D198" s="263">
        <f t="shared" si="28"/>
        <v>0</v>
      </c>
      <c r="E198" s="263">
        <f t="shared" ref="E198:E208" si="29">D198-C198</f>
        <v>0</v>
      </c>
      <c r="F198" s="273">
        <f t="shared" ref="F198:F208" si="30">IF(C198=0,0,E198/C198)</f>
        <v>0</v>
      </c>
    </row>
    <row r="199" spans="1:9" ht="20.25" customHeight="1" x14ac:dyDescent="0.3">
      <c r="A199" s="271"/>
      <c r="B199" s="272" t="s">
        <v>466</v>
      </c>
      <c r="C199" s="263">
        <f t="shared" si="28"/>
        <v>0</v>
      </c>
      <c r="D199" s="263">
        <f t="shared" si="28"/>
        <v>0</v>
      </c>
      <c r="E199" s="263">
        <f t="shared" si="29"/>
        <v>0</v>
      </c>
      <c r="F199" s="273">
        <f t="shared" si="30"/>
        <v>0</v>
      </c>
    </row>
    <row r="200" spans="1:9" ht="20.25" customHeight="1" x14ac:dyDescent="0.3">
      <c r="A200" s="271"/>
      <c r="B200" s="272" t="s">
        <v>467</v>
      </c>
      <c r="C200" s="263">
        <f t="shared" si="28"/>
        <v>0</v>
      </c>
      <c r="D200" s="263">
        <f t="shared" si="28"/>
        <v>0</v>
      </c>
      <c r="E200" s="263">
        <f t="shared" si="29"/>
        <v>0</v>
      </c>
      <c r="F200" s="273">
        <f t="shared" si="30"/>
        <v>0</v>
      </c>
    </row>
    <row r="201" spans="1:9" ht="20.25" customHeight="1" x14ac:dyDescent="0.3">
      <c r="A201" s="271"/>
      <c r="B201" s="272" t="s">
        <v>468</v>
      </c>
      <c r="C201" s="263">
        <f t="shared" si="28"/>
        <v>0</v>
      </c>
      <c r="D201" s="263">
        <f t="shared" si="28"/>
        <v>0</v>
      </c>
      <c r="E201" s="263">
        <f t="shared" si="29"/>
        <v>0</v>
      </c>
      <c r="F201" s="273">
        <f t="shared" si="30"/>
        <v>0</v>
      </c>
    </row>
    <row r="202" spans="1:9" ht="20.25" customHeight="1" x14ac:dyDescent="0.3">
      <c r="A202" s="271"/>
      <c r="B202" s="272" t="s">
        <v>138</v>
      </c>
      <c r="C202" s="274">
        <f t="shared" si="28"/>
        <v>0</v>
      </c>
      <c r="D202" s="274">
        <f t="shared" si="28"/>
        <v>0</v>
      </c>
      <c r="E202" s="274">
        <f t="shared" si="29"/>
        <v>0</v>
      </c>
      <c r="F202" s="273">
        <f t="shared" si="30"/>
        <v>0</v>
      </c>
    </row>
    <row r="203" spans="1:9" ht="20.25" customHeight="1" x14ac:dyDescent="0.3">
      <c r="A203" s="271"/>
      <c r="B203" s="272" t="s">
        <v>140</v>
      </c>
      <c r="C203" s="274">
        <f t="shared" si="28"/>
        <v>0</v>
      </c>
      <c r="D203" s="274">
        <f t="shared" si="28"/>
        <v>0</v>
      </c>
      <c r="E203" s="274">
        <f t="shared" si="29"/>
        <v>0</v>
      </c>
      <c r="F203" s="273">
        <f t="shared" si="30"/>
        <v>0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0</v>
      </c>
      <c r="D204" s="274">
        <f t="shared" si="28"/>
        <v>0</v>
      </c>
      <c r="E204" s="274">
        <f t="shared" si="29"/>
        <v>0</v>
      </c>
      <c r="F204" s="273">
        <f t="shared" si="30"/>
        <v>0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0</v>
      </c>
      <c r="D205" s="274">
        <f t="shared" si="28"/>
        <v>0</v>
      </c>
      <c r="E205" s="274">
        <f t="shared" si="29"/>
        <v>0</v>
      </c>
      <c r="F205" s="273">
        <f t="shared" si="30"/>
        <v>0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0</v>
      </c>
      <c r="D206" s="274">
        <f t="shared" si="28"/>
        <v>0</v>
      </c>
      <c r="E206" s="274">
        <f t="shared" si="29"/>
        <v>0</v>
      </c>
      <c r="F206" s="273">
        <f t="shared" si="30"/>
        <v>0</v>
      </c>
    </row>
    <row r="207" spans="1:9" ht="20.25" customHeight="1" x14ac:dyDescent="0.3">
      <c r="A207" s="271"/>
      <c r="B207" s="262" t="s">
        <v>471</v>
      </c>
      <c r="C207" s="263">
        <f>+C198+C200</f>
        <v>0</v>
      </c>
      <c r="D207" s="263">
        <f>+D198+D200</f>
        <v>0</v>
      </c>
      <c r="E207" s="263">
        <f t="shared" si="29"/>
        <v>0</v>
      </c>
      <c r="F207" s="273">
        <f t="shared" si="30"/>
        <v>0</v>
      </c>
    </row>
    <row r="208" spans="1:9" ht="20.25" customHeight="1" x14ac:dyDescent="0.3">
      <c r="A208" s="271"/>
      <c r="B208" s="262" t="s">
        <v>472</v>
      </c>
      <c r="C208" s="263">
        <f>+C199+C201</f>
        <v>0</v>
      </c>
      <c r="D208" s="263">
        <f>+D199+D201</f>
        <v>0</v>
      </c>
      <c r="E208" s="263">
        <f t="shared" si="29"/>
        <v>0</v>
      </c>
      <c r="F208" s="273">
        <f t="shared" si="30"/>
        <v>0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rintOptions gridLines="1"/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FILING&amp;RCT CHILDREN`S MEDICAL CENTER</oddHeader>
    <oddFooter>&amp;LREPORT 100&amp;CPAGE &amp;P of &amp;N&amp;R&amp;D, 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sqref="A1:F1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314</v>
      </c>
      <c r="B4" s="787"/>
      <c r="C4" s="787"/>
      <c r="D4" s="787"/>
      <c r="E4" s="787"/>
      <c r="F4" s="787"/>
    </row>
    <row r="5" spans="1:7" ht="20.25" customHeight="1" x14ac:dyDescent="0.3">
      <c r="A5" s="787" t="s">
        <v>473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801" t="s">
        <v>12</v>
      </c>
      <c r="B10" s="802" t="s">
        <v>116</v>
      </c>
      <c r="C10" s="804"/>
      <c r="D10" s="805"/>
      <c r="E10" s="805"/>
      <c r="F10" s="806"/>
    </row>
    <row r="11" spans="1:7" ht="20.25" customHeight="1" x14ac:dyDescent="0.3">
      <c r="A11" s="792"/>
      <c r="B11" s="803"/>
      <c r="C11" s="798"/>
      <c r="D11" s="799"/>
      <c r="E11" s="799"/>
      <c r="F11" s="800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20165430</v>
      </c>
      <c r="D26" s="258">
        <v>0</v>
      </c>
      <c r="E26" s="258">
        <f t="shared" ref="E26:E36" si="2">D26-C26</f>
        <v>-20165430</v>
      </c>
      <c r="F26" s="259">
        <f t="shared" ref="F26:F36" si="3">IF(C26=0,0,E26/C26)</f>
        <v>-1</v>
      </c>
    </row>
    <row r="27" spans="1:6" ht="20.25" customHeight="1" x14ac:dyDescent="0.3">
      <c r="A27" s="256">
        <v>2</v>
      </c>
      <c r="B27" s="257" t="s">
        <v>442</v>
      </c>
      <c r="C27" s="258">
        <v>7780056</v>
      </c>
      <c r="D27" s="258">
        <v>0</v>
      </c>
      <c r="E27" s="258">
        <f t="shared" si="2"/>
        <v>-7780056</v>
      </c>
      <c r="F27" s="259">
        <f t="shared" si="3"/>
        <v>-1</v>
      </c>
    </row>
    <row r="28" spans="1:6" ht="20.25" customHeight="1" x14ac:dyDescent="0.3">
      <c r="A28" s="256">
        <v>3</v>
      </c>
      <c r="B28" s="257" t="s">
        <v>443</v>
      </c>
      <c r="C28" s="258">
        <v>14907241</v>
      </c>
      <c r="D28" s="258">
        <v>0</v>
      </c>
      <c r="E28" s="258">
        <f t="shared" si="2"/>
        <v>-14907241</v>
      </c>
      <c r="F28" s="259">
        <f t="shared" si="3"/>
        <v>-1</v>
      </c>
    </row>
    <row r="29" spans="1:6" ht="20.25" customHeight="1" x14ac:dyDescent="0.3">
      <c r="A29" s="256">
        <v>4</v>
      </c>
      <c r="B29" s="257" t="s">
        <v>444</v>
      </c>
      <c r="C29" s="258">
        <v>4379762</v>
      </c>
      <c r="D29" s="258">
        <v>0</v>
      </c>
      <c r="E29" s="258">
        <f t="shared" si="2"/>
        <v>-4379762</v>
      </c>
      <c r="F29" s="259">
        <f t="shared" si="3"/>
        <v>-1</v>
      </c>
    </row>
    <row r="30" spans="1:6" ht="20.25" customHeight="1" x14ac:dyDescent="0.3">
      <c r="A30" s="256">
        <v>5</v>
      </c>
      <c r="B30" s="257" t="s">
        <v>381</v>
      </c>
      <c r="C30" s="260">
        <v>469</v>
      </c>
      <c r="D30" s="260">
        <v>0</v>
      </c>
      <c r="E30" s="260">
        <f t="shared" si="2"/>
        <v>-469</v>
      </c>
      <c r="F30" s="259">
        <f t="shared" si="3"/>
        <v>-1</v>
      </c>
    </row>
    <row r="31" spans="1:6" ht="20.25" customHeight="1" x14ac:dyDescent="0.3">
      <c r="A31" s="256">
        <v>6</v>
      </c>
      <c r="B31" s="257" t="s">
        <v>380</v>
      </c>
      <c r="C31" s="260">
        <v>2938</v>
      </c>
      <c r="D31" s="260">
        <v>0</v>
      </c>
      <c r="E31" s="260">
        <f t="shared" si="2"/>
        <v>-2938</v>
      </c>
      <c r="F31" s="259">
        <f t="shared" si="3"/>
        <v>-1</v>
      </c>
    </row>
    <row r="32" spans="1:6" ht="20.25" customHeight="1" x14ac:dyDescent="0.3">
      <c r="A32" s="256">
        <v>7</v>
      </c>
      <c r="B32" s="257" t="s">
        <v>445</v>
      </c>
      <c r="C32" s="260">
        <v>7064</v>
      </c>
      <c r="D32" s="260">
        <v>0</v>
      </c>
      <c r="E32" s="260">
        <f t="shared" si="2"/>
        <v>-7064</v>
      </c>
      <c r="F32" s="259">
        <f t="shared" si="3"/>
        <v>-1</v>
      </c>
    </row>
    <row r="33" spans="1:6" ht="20.25" customHeight="1" x14ac:dyDescent="0.3">
      <c r="A33" s="256">
        <v>8</v>
      </c>
      <c r="B33" s="257" t="s">
        <v>446</v>
      </c>
      <c r="C33" s="260">
        <v>4539</v>
      </c>
      <c r="D33" s="260">
        <v>0</v>
      </c>
      <c r="E33" s="260">
        <f t="shared" si="2"/>
        <v>-4539</v>
      </c>
      <c r="F33" s="259">
        <f t="shared" si="3"/>
        <v>-1</v>
      </c>
    </row>
    <row r="34" spans="1:6" ht="20.25" customHeight="1" x14ac:dyDescent="0.3">
      <c r="A34" s="256">
        <v>9</v>
      </c>
      <c r="B34" s="257" t="s">
        <v>447</v>
      </c>
      <c r="C34" s="260">
        <v>254</v>
      </c>
      <c r="D34" s="260">
        <v>0</v>
      </c>
      <c r="E34" s="260">
        <f t="shared" si="2"/>
        <v>-254</v>
      </c>
      <c r="F34" s="259">
        <f t="shared" si="3"/>
        <v>-1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35072671</v>
      </c>
      <c r="D35" s="263">
        <f>+D26+D28</f>
        <v>0</v>
      </c>
      <c r="E35" s="263">
        <f t="shared" si="2"/>
        <v>-35072671</v>
      </c>
      <c r="F35" s="264">
        <f t="shared" si="3"/>
        <v>-1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12159818</v>
      </c>
      <c r="D36" s="263">
        <f>+D27+D29</f>
        <v>0</v>
      </c>
      <c r="E36" s="263">
        <f t="shared" si="2"/>
        <v>-12159818</v>
      </c>
      <c r="F36" s="264">
        <f t="shared" si="3"/>
        <v>-1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3570449</v>
      </c>
      <c r="D86" s="258">
        <v>0</v>
      </c>
      <c r="E86" s="258">
        <f t="shared" ref="E86:E96" si="12">D86-C86</f>
        <v>-3570449</v>
      </c>
      <c r="F86" s="259">
        <f t="shared" ref="F86:F96" si="13">IF(C86=0,0,E86/C86)</f>
        <v>-1</v>
      </c>
    </row>
    <row r="87" spans="1:6" ht="20.25" customHeight="1" x14ac:dyDescent="0.3">
      <c r="A87" s="256">
        <v>2</v>
      </c>
      <c r="B87" s="257" t="s">
        <v>442</v>
      </c>
      <c r="C87" s="258">
        <v>994245</v>
      </c>
      <c r="D87" s="258">
        <v>0</v>
      </c>
      <c r="E87" s="258">
        <f t="shared" si="12"/>
        <v>-994245</v>
      </c>
      <c r="F87" s="259">
        <f t="shared" si="13"/>
        <v>-1</v>
      </c>
    </row>
    <row r="88" spans="1:6" ht="20.25" customHeight="1" x14ac:dyDescent="0.3">
      <c r="A88" s="256">
        <v>3</v>
      </c>
      <c r="B88" s="257" t="s">
        <v>443</v>
      </c>
      <c r="C88" s="258">
        <v>3237736</v>
      </c>
      <c r="D88" s="258">
        <v>0</v>
      </c>
      <c r="E88" s="258">
        <f t="shared" si="12"/>
        <v>-3237736</v>
      </c>
      <c r="F88" s="259">
        <f t="shared" si="13"/>
        <v>-1</v>
      </c>
    </row>
    <row r="89" spans="1:6" ht="20.25" customHeight="1" x14ac:dyDescent="0.3">
      <c r="A89" s="256">
        <v>4</v>
      </c>
      <c r="B89" s="257" t="s">
        <v>444</v>
      </c>
      <c r="C89" s="258">
        <v>1108081</v>
      </c>
      <c r="D89" s="258">
        <v>0</v>
      </c>
      <c r="E89" s="258">
        <f t="shared" si="12"/>
        <v>-1108081</v>
      </c>
      <c r="F89" s="259">
        <f t="shared" si="13"/>
        <v>-1</v>
      </c>
    </row>
    <row r="90" spans="1:6" ht="20.25" customHeight="1" x14ac:dyDescent="0.3">
      <c r="A90" s="256">
        <v>5</v>
      </c>
      <c r="B90" s="257" t="s">
        <v>381</v>
      </c>
      <c r="C90" s="260">
        <v>107</v>
      </c>
      <c r="D90" s="260">
        <v>0</v>
      </c>
      <c r="E90" s="260">
        <f t="shared" si="12"/>
        <v>-107</v>
      </c>
      <c r="F90" s="259">
        <f t="shared" si="13"/>
        <v>-1</v>
      </c>
    </row>
    <row r="91" spans="1:6" ht="20.25" customHeight="1" x14ac:dyDescent="0.3">
      <c r="A91" s="256">
        <v>6</v>
      </c>
      <c r="B91" s="257" t="s">
        <v>380</v>
      </c>
      <c r="C91" s="260">
        <v>517</v>
      </c>
      <c r="D91" s="260">
        <v>0</v>
      </c>
      <c r="E91" s="260">
        <f t="shared" si="12"/>
        <v>-517</v>
      </c>
      <c r="F91" s="259">
        <f t="shared" si="13"/>
        <v>-1</v>
      </c>
    </row>
    <row r="92" spans="1:6" ht="20.25" customHeight="1" x14ac:dyDescent="0.3">
      <c r="A92" s="256">
        <v>7</v>
      </c>
      <c r="B92" s="257" t="s">
        <v>445</v>
      </c>
      <c r="C92" s="260">
        <v>1254</v>
      </c>
      <c r="D92" s="260">
        <v>0</v>
      </c>
      <c r="E92" s="260">
        <f t="shared" si="12"/>
        <v>-1254</v>
      </c>
      <c r="F92" s="259">
        <f t="shared" si="13"/>
        <v>-1</v>
      </c>
    </row>
    <row r="93" spans="1:6" ht="20.25" customHeight="1" x14ac:dyDescent="0.3">
      <c r="A93" s="256">
        <v>8</v>
      </c>
      <c r="B93" s="257" t="s">
        <v>446</v>
      </c>
      <c r="C93" s="260">
        <v>1291</v>
      </c>
      <c r="D93" s="260">
        <v>0</v>
      </c>
      <c r="E93" s="260">
        <f t="shared" si="12"/>
        <v>-1291</v>
      </c>
      <c r="F93" s="259">
        <f t="shared" si="13"/>
        <v>-1</v>
      </c>
    </row>
    <row r="94" spans="1:6" ht="20.25" customHeight="1" x14ac:dyDescent="0.3">
      <c r="A94" s="256">
        <v>9</v>
      </c>
      <c r="B94" s="257" t="s">
        <v>447</v>
      </c>
      <c r="C94" s="260">
        <v>61</v>
      </c>
      <c r="D94" s="260">
        <v>0</v>
      </c>
      <c r="E94" s="260">
        <f t="shared" si="12"/>
        <v>-61</v>
      </c>
      <c r="F94" s="259">
        <f t="shared" si="13"/>
        <v>-1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6808185</v>
      </c>
      <c r="D95" s="263">
        <f>+D86+D88</f>
        <v>0</v>
      </c>
      <c r="E95" s="263">
        <f t="shared" si="12"/>
        <v>-6808185</v>
      </c>
      <c r="F95" s="264">
        <f t="shared" si="13"/>
        <v>-1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2102326</v>
      </c>
      <c r="D96" s="263">
        <f>+D87+D89</f>
        <v>0</v>
      </c>
      <c r="E96" s="263">
        <f t="shared" si="12"/>
        <v>-2102326</v>
      </c>
      <c r="F96" s="264">
        <f t="shared" si="13"/>
        <v>-1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6592058</v>
      </c>
      <c r="D98" s="258">
        <v>0</v>
      </c>
      <c r="E98" s="258">
        <f t="shared" ref="E98:E108" si="14">D98-C98</f>
        <v>-6592058</v>
      </c>
      <c r="F98" s="259">
        <f t="shared" ref="F98:F108" si="15">IF(C98=0,0,E98/C98)</f>
        <v>-1</v>
      </c>
    </row>
    <row r="99" spans="1:7" ht="20.25" customHeight="1" x14ac:dyDescent="0.3">
      <c r="A99" s="256">
        <v>2</v>
      </c>
      <c r="B99" s="257" t="s">
        <v>442</v>
      </c>
      <c r="C99" s="258">
        <v>2471573</v>
      </c>
      <c r="D99" s="258">
        <v>0</v>
      </c>
      <c r="E99" s="258">
        <f t="shared" si="14"/>
        <v>-2471573</v>
      </c>
      <c r="F99" s="259">
        <f t="shared" si="15"/>
        <v>-1</v>
      </c>
    </row>
    <row r="100" spans="1:7" ht="20.25" customHeight="1" x14ac:dyDescent="0.3">
      <c r="A100" s="256">
        <v>3</v>
      </c>
      <c r="B100" s="257" t="s">
        <v>443</v>
      </c>
      <c r="C100" s="258">
        <v>5455912</v>
      </c>
      <c r="D100" s="258">
        <v>0</v>
      </c>
      <c r="E100" s="258">
        <f t="shared" si="14"/>
        <v>-5455912</v>
      </c>
      <c r="F100" s="259">
        <f t="shared" si="15"/>
        <v>-1</v>
      </c>
    </row>
    <row r="101" spans="1:7" ht="20.25" customHeight="1" x14ac:dyDescent="0.3">
      <c r="A101" s="256">
        <v>4</v>
      </c>
      <c r="B101" s="257" t="s">
        <v>444</v>
      </c>
      <c r="C101" s="258">
        <v>1849814</v>
      </c>
      <c r="D101" s="258">
        <v>0</v>
      </c>
      <c r="E101" s="258">
        <f t="shared" si="14"/>
        <v>-1849814</v>
      </c>
      <c r="F101" s="259">
        <f t="shared" si="15"/>
        <v>-1</v>
      </c>
    </row>
    <row r="102" spans="1:7" ht="20.25" customHeight="1" x14ac:dyDescent="0.3">
      <c r="A102" s="256">
        <v>5</v>
      </c>
      <c r="B102" s="257" t="s">
        <v>381</v>
      </c>
      <c r="C102" s="260">
        <v>174</v>
      </c>
      <c r="D102" s="260">
        <v>0</v>
      </c>
      <c r="E102" s="260">
        <f t="shared" si="14"/>
        <v>-174</v>
      </c>
      <c r="F102" s="259">
        <f t="shared" si="15"/>
        <v>-1</v>
      </c>
    </row>
    <row r="103" spans="1:7" ht="20.25" customHeight="1" x14ac:dyDescent="0.3">
      <c r="A103" s="256">
        <v>6</v>
      </c>
      <c r="B103" s="257" t="s">
        <v>380</v>
      </c>
      <c r="C103" s="260">
        <v>938</v>
      </c>
      <c r="D103" s="260">
        <v>0</v>
      </c>
      <c r="E103" s="260">
        <f t="shared" si="14"/>
        <v>-938</v>
      </c>
      <c r="F103" s="259">
        <f t="shared" si="15"/>
        <v>-1</v>
      </c>
    </row>
    <row r="104" spans="1:7" ht="20.25" customHeight="1" x14ac:dyDescent="0.3">
      <c r="A104" s="256">
        <v>7</v>
      </c>
      <c r="B104" s="257" t="s">
        <v>445</v>
      </c>
      <c r="C104" s="260">
        <v>2552</v>
      </c>
      <c r="D104" s="260">
        <v>0</v>
      </c>
      <c r="E104" s="260">
        <f t="shared" si="14"/>
        <v>-2552</v>
      </c>
      <c r="F104" s="259">
        <f t="shared" si="15"/>
        <v>-1</v>
      </c>
    </row>
    <row r="105" spans="1:7" ht="20.25" customHeight="1" x14ac:dyDescent="0.3">
      <c r="A105" s="256">
        <v>8</v>
      </c>
      <c r="B105" s="257" t="s">
        <v>446</v>
      </c>
      <c r="C105" s="260">
        <v>1994</v>
      </c>
      <c r="D105" s="260">
        <v>0</v>
      </c>
      <c r="E105" s="260">
        <f t="shared" si="14"/>
        <v>-1994</v>
      </c>
      <c r="F105" s="259">
        <f t="shared" si="15"/>
        <v>-1</v>
      </c>
    </row>
    <row r="106" spans="1:7" ht="20.25" customHeight="1" x14ac:dyDescent="0.3">
      <c r="A106" s="256">
        <v>9</v>
      </c>
      <c r="B106" s="257" t="s">
        <v>447</v>
      </c>
      <c r="C106" s="260">
        <v>96</v>
      </c>
      <c r="D106" s="260">
        <v>0</v>
      </c>
      <c r="E106" s="260">
        <f t="shared" si="14"/>
        <v>-96</v>
      </c>
      <c r="F106" s="259">
        <f t="shared" si="15"/>
        <v>-1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12047970</v>
      </c>
      <c r="D107" s="263">
        <f>+D98+D100</f>
        <v>0</v>
      </c>
      <c r="E107" s="263">
        <f t="shared" si="14"/>
        <v>-12047970</v>
      </c>
      <c r="F107" s="264">
        <f t="shared" si="15"/>
        <v>-1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4321387</v>
      </c>
      <c r="D108" s="263">
        <f>+D99+D101</f>
        <v>0</v>
      </c>
      <c r="E108" s="263">
        <f t="shared" si="14"/>
        <v>-4321387</v>
      </c>
      <c r="F108" s="264">
        <f t="shared" si="15"/>
        <v>-1</v>
      </c>
    </row>
    <row r="109" spans="1:7" s="265" customFormat="1" ht="20.25" customHeight="1" x14ac:dyDescent="0.3">
      <c r="A109" s="801" t="s">
        <v>44</v>
      </c>
      <c r="B109" s="802" t="s">
        <v>490</v>
      </c>
      <c r="C109" s="804"/>
      <c r="D109" s="805"/>
      <c r="E109" s="805"/>
      <c r="F109" s="806"/>
      <c r="G109" s="245"/>
    </row>
    <row r="110" spans="1:7" ht="20.25" customHeight="1" x14ac:dyDescent="0.3">
      <c r="A110" s="792"/>
      <c r="B110" s="803"/>
      <c r="C110" s="798"/>
      <c r="D110" s="799"/>
      <c r="E110" s="799"/>
      <c r="F110" s="800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30327937</v>
      </c>
      <c r="D112" s="263">
        <f t="shared" si="16"/>
        <v>0</v>
      </c>
      <c r="E112" s="263">
        <f t="shared" ref="E112:E122" si="17">D112-C112</f>
        <v>-30327937</v>
      </c>
      <c r="F112" s="264">
        <f t="shared" ref="F112:F122" si="18">IF(C112=0,0,E112/C112)</f>
        <v>-1</v>
      </c>
    </row>
    <row r="113" spans="1:6" ht="20.25" customHeight="1" x14ac:dyDescent="0.3">
      <c r="A113" s="271"/>
      <c r="B113" s="286" t="s">
        <v>492</v>
      </c>
      <c r="C113" s="263">
        <f t="shared" si="16"/>
        <v>11245874</v>
      </c>
      <c r="D113" s="263">
        <f t="shared" si="16"/>
        <v>0</v>
      </c>
      <c r="E113" s="263">
        <f t="shared" si="17"/>
        <v>-11245874</v>
      </c>
      <c r="F113" s="264">
        <f t="shared" si="18"/>
        <v>-1</v>
      </c>
    </row>
    <row r="114" spans="1:6" ht="20.25" customHeight="1" x14ac:dyDescent="0.3">
      <c r="A114" s="271"/>
      <c r="B114" s="286" t="s">
        <v>493</v>
      </c>
      <c r="C114" s="263">
        <f t="shared" si="16"/>
        <v>23600889</v>
      </c>
      <c r="D114" s="263">
        <f t="shared" si="16"/>
        <v>0</v>
      </c>
      <c r="E114" s="263">
        <f t="shared" si="17"/>
        <v>-23600889</v>
      </c>
      <c r="F114" s="264">
        <f t="shared" si="18"/>
        <v>-1</v>
      </c>
    </row>
    <row r="115" spans="1:6" ht="20.25" customHeight="1" x14ac:dyDescent="0.3">
      <c r="A115" s="271"/>
      <c r="B115" s="286" t="s">
        <v>494</v>
      </c>
      <c r="C115" s="263">
        <f t="shared" si="16"/>
        <v>7337657</v>
      </c>
      <c r="D115" s="263">
        <f t="shared" si="16"/>
        <v>0</v>
      </c>
      <c r="E115" s="263">
        <f t="shared" si="17"/>
        <v>-7337657</v>
      </c>
      <c r="F115" s="264">
        <f t="shared" si="18"/>
        <v>-1</v>
      </c>
    </row>
    <row r="116" spans="1:6" ht="20.25" customHeight="1" x14ac:dyDescent="0.3">
      <c r="A116" s="271"/>
      <c r="B116" s="286" t="s">
        <v>495</v>
      </c>
      <c r="C116" s="287">
        <f t="shared" si="16"/>
        <v>750</v>
      </c>
      <c r="D116" s="287">
        <f t="shared" si="16"/>
        <v>0</v>
      </c>
      <c r="E116" s="287">
        <f t="shared" si="17"/>
        <v>-750</v>
      </c>
      <c r="F116" s="264">
        <f t="shared" si="18"/>
        <v>-1</v>
      </c>
    </row>
    <row r="117" spans="1:6" ht="20.25" customHeight="1" x14ac:dyDescent="0.3">
      <c r="A117" s="271"/>
      <c r="B117" s="286" t="s">
        <v>496</v>
      </c>
      <c r="C117" s="287">
        <f t="shared" si="16"/>
        <v>4393</v>
      </c>
      <c r="D117" s="287">
        <f t="shared" si="16"/>
        <v>0</v>
      </c>
      <c r="E117" s="287">
        <f t="shared" si="17"/>
        <v>-4393</v>
      </c>
      <c r="F117" s="264">
        <f t="shared" si="18"/>
        <v>-1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10870</v>
      </c>
      <c r="D118" s="287">
        <f t="shared" si="16"/>
        <v>0</v>
      </c>
      <c r="E118" s="287">
        <f t="shared" si="17"/>
        <v>-10870</v>
      </c>
      <c r="F118" s="264">
        <f t="shared" si="18"/>
        <v>-1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7824</v>
      </c>
      <c r="D119" s="287">
        <f t="shared" si="16"/>
        <v>0</v>
      </c>
      <c r="E119" s="287">
        <f t="shared" si="17"/>
        <v>-7824</v>
      </c>
      <c r="F119" s="264">
        <f t="shared" si="18"/>
        <v>-1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411</v>
      </c>
      <c r="D120" s="287">
        <f t="shared" si="16"/>
        <v>0</v>
      </c>
      <c r="E120" s="287">
        <f t="shared" si="17"/>
        <v>-411</v>
      </c>
      <c r="F120" s="264">
        <f t="shared" si="18"/>
        <v>-1</v>
      </c>
    </row>
    <row r="121" spans="1:6" ht="20.25" customHeight="1" x14ac:dyDescent="0.3">
      <c r="A121" s="271"/>
      <c r="B121" s="284" t="s">
        <v>448</v>
      </c>
      <c r="C121" s="263">
        <f>+C112+C114</f>
        <v>53928826</v>
      </c>
      <c r="D121" s="263">
        <f>+D112+D114</f>
        <v>0</v>
      </c>
      <c r="E121" s="263">
        <f t="shared" si="17"/>
        <v>-53928826</v>
      </c>
      <c r="F121" s="264">
        <f t="shared" si="18"/>
        <v>-1</v>
      </c>
    </row>
    <row r="122" spans="1:6" ht="20.25" customHeight="1" x14ac:dyDescent="0.3">
      <c r="A122" s="271"/>
      <c r="B122" s="284" t="s">
        <v>472</v>
      </c>
      <c r="C122" s="263">
        <f>+C113+C115</f>
        <v>18583531</v>
      </c>
      <c r="D122" s="263">
        <f>+D113+D115</f>
        <v>0</v>
      </c>
      <c r="E122" s="263">
        <f t="shared" si="17"/>
        <v>-18583531</v>
      </c>
      <c r="F122" s="264">
        <f t="shared" si="18"/>
        <v>-1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rintOptions gridLines="1"/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FILING&amp;RCT CHILDREN`S MEDICAL CENTER</oddHeader>
    <oddFooter>&amp;LREPORT 100&amp;CPAGE &amp;P of &amp;N&amp;R&amp;D, 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2579733</v>
      </c>
      <c r="D13" s="22">
        <v>3643185</v>
      </c>
      <c r="E13" s="22">
        <f t="shared" ref="E13:E22" si="0">D13-C13</f>
        <v>1063452</v>
      </c>
      <c r="F13" s="306">
        <f t="shared" ref="F13:F22" si="1">IF(C13=0,0,E13/C13)</f>
        <v>0.41223335903366742</v>
      </c>
    </row>
    <row r="14" spans="1:8" ht="24" customHeight="1" x14ac:dyDescent="0.2">
      <c r="A14" s="304">
        <v>2</v>
      </c>
      <c r="B14" s="305" t="s">
        <v>17</v>
      </c>
      <c r="C14" s="22">
        <v>15988872</v>
      </c>
      <c r="D14" s="22">
        <v>4292988</v>
      </c>
      <c r="E14" s="22">
        <f t="shared" si="0"/>
        <v>-11695884</v>
      </c>
      <c r="F14" s="306">
        <f t="shared" si="1"/>
        <v>-0.73150150929971791</v>
      </c>
    </row>
    <row r="15" spans="1:8" ht="35.1" customHeight="1" x14ac:dyDescent="0.2">
      <c r="A15" s="304">
        <v>3</v>
      </c>
      <c r="B15" s="305" t="s">
        <v>18</v>
      </c>
      <c r="C15" s="22">
        <v>36132652</v>
      </c>
      <c r="D15" s="22">
        <v>35721547</v>
      </c>
      <c r="E15" s="22">
        <f t="shared" si="0"/>
        <v>-411105</v>
      </c>
      <c r="F15" s="306">
        <f t="shared" si="1"/>
        <v>-1.1377659187595751E-2</v>
      </c>
    </row>
    <row r="16" spans="1:8" ht="35.1" customHeight="1" x14ac:dyDescent="0.2">
      <c r="A16" s="304">
        <v>4</v>
      </c>
      <c r="B16" s="305" t="s">
        <v>19</v>
      </c>
      <c r="C16" s="22">
        <v>10408581</v>
      </c>
      <c r="D16" s="22">
        <v>17008322</v>
      </c>
      <c r="E16" s="22">
        <f t="shared" si="0"/>
        <v>6599741</v>
      </c>
      <c r="F16" s="306">
        <f t="shared" si="1"/>
        <v>0.63406731426694951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4899895</v>
      </c>
      <c r="D18" s="22">
        <v>0</v>
      </c>
      <c r="E18" s="22">
        <f t="shared" si="0"/>
        <v>-4899895</v>
      </c>
      <c r="F18" s="306">
        <f t="shared" si="1"/>
        <v>-1</v>
      </c>
    </row>
    <row r="19" spans="1:11" ht="24" customHeight="1" x14ac:dyDescent="0.2">
      <c r="A19" s="304">
        <v>7</v>
      </c>
      <c r="B19" s="305" t="s">
        <v>22</v>
      </c>
      <c r="C19" s="22">
        <v>692725</v>
      </c>
      <c r="D19" s="22">
        <v>1094287</v>
      </c>
      <c r="E19" s="22">
        <f t="shared" si="0"/>
        <v>401562</v>
      </c>
      <c r="F19" s="306">
        <f t="shared" si="1"/>
        <v>0.57968457901764769</v>
      </c>
    </row>
    <row r="20" spans="1:11" ht="24" customHeight="1" x14ac:dyDescent="0.2">
      <c r="A20" s="304">
        <v>8</v>
      </c>
      <c r="B20" s="305" t="s">
        <v>23</v>
      </c>
      <c r="C20" s="22">
        <v>2399590</v>
      </c>
      <c r="D20" s="22">
        <v>2761715</v>
      </c>
      <c r="E20" s="22">
        <f t="shared" si="0"/>
        <v>362125</v>
      </c>
      <c r="F20" s="306">
        <f t="shared" si="1"/>
        <v>0.15091119732954381</v>
      </c>
    </row>
    <row r="21" spans="1:11" ht="24" customHeight="1" x14ac:dyDescent="0.2">
      <c r="A21" s="304">
        <v>9</v>
      </c>
      <c r="B21" s="305" t="s">
        <v>24</v>
      </c>
      <c r="C21" s="22">
        <v>11272563</v>
      </c>
      <c r="D21" s="22">
        <v>13747218</v>
      </c>
      <c r="E21" s="22">
        <f t="shared" si="0"/>
        <v>2474655</v>
      </c>
      <c r="F21" s="306">
        <f t="shared" si="1"/>
        <v>0.21952904587891858</v>
      </c>
    </row>
    <row r="22" spans="1:11" ht="24" customHeight="1" x14ac:dyDescent="0.25">
      <c r="A22" s="307"/>
      <c r="B22" s="308" t="s">
        <v>25</v>
      </c>
      <c r="C22" s="309">
        <f>SUM(C13:C21)</f>
        <v>84374611</v>
      </c>
      <c r="D22" s="309">
        <f>SUM(D13:D21)</f>
        <v>78269262</v>
      </c>
      <c r="E22" s="309">
        <f t="shared" si="0"/>
        <v>-6105349</v>
      </c>
      <c r="F22" s="310">
        <f t="shared" si="1"/>
        <v>-7.2360025458369226E-2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75705081</v>
      </c>
      <c r="D25" s="22">
        <v>79200328</v>
      </c>
      <c r="E25" s="22">
        <f>D25-C25</f>
        <v>3495247</v>
      </c>
      <c r="F25" s="306">
        <f>IF(C25=0,0,E25/C25)</f>
        <v>4.6169252497068193E-2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0</v>
      </c>
      <c r="D28" s="22">
        <v>0</v>
      </c>
      <c r="E28" s="22">
        <f>D28-C28</f>
        <v>0</v>
      </c>
      <c r="F28" s="306">
        <f>IF(C28=0,0,E28/C28)</f>
        <v>0</v>
      </c>
    </row>
    <row r="29" spans="1:11" ht="35.1" customHeight="1" x14ac:dyDescent="0.25">
      <c r="A29" s="307"/>
      <c r="B29" s="308" t="s">
        <v>32</v>
      </c>
      <c r="C29" s="309">
        <f>SUM(C25:C28)</f>
        <v>75705081</v>
      </c>
      <c r="D29" s="309">
        <f>SUM(D25:D28)</f>
        <v>79200328</v>
      </c>
      <c r="E29" s="309">
        <f>D29-C29</f>
        <v>3495247</v>
      </c>
      <c r="F29" s="310">
        <f>IF(C29=0,0,E29/C29)</f>
        <v>4.6169252497068193E-2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105845516</v>
      </c>
      <c r="D32" s="22">
        <v>118334089</v>
      </c>
      <c r="E32" s="22">
        <f>D32-C32</f>
        <v>12488573</v>
      </c>
      <c r="F32" s="306">
        <f>IF(C32=0,0,E32/C32)</f>
        <v>0.11798868267598601</v>
      </c>
    </row>
    <row r="33" spans="1:8" ht="24" customHeight="1" x14ac:dyDescent="0.2">
      <c r="A33" s="304">
        <v>7</v>
      </c>
      <c r="B33" s="305" t="s">
        <v>35</v>
      </c>
      <c r="C33" s="22">
        <v>35059108</v>
      </c>
      <c r="D33" s="22">
        <v>23134374</v>
      </c>
      <c r="E33" s="22">
        <f>D33-C33</f>
        <v>-11924734</v>
      </c>
      <c r="F33" s="306">
        <f>IF(C33=0,0,E33/C33)</f>
        <v>-0.34013227033614202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189947515</v>
      </c>
      <c r="D36" s="22">
        <v>208941289</v>
      </c>
      <c r="E36" s="22">
        <f>D36-C36</f>
        <v>18993774</v>
      </c>
      <c r="F36" s="306">
        <f>IF(C36=0,0,E36/C36)</f>
        <v>9.9994853841599354E-2</v>
      </c>
    </row>
    <row r="37" spans="1:8" ht="24" customHeight="1" x14ac:dyDescent="0.2">
      <c r="A37" s="304">
        <v>2</v>
      </c>
      <c r="B37" s="305" t="s">
        <v>39</v>
      </c>
      <c r="C37" s="22">
        <v>97861389</v>
      </c>
      <c r="D37" s="22">
        <v>108858277</v>
      </c>
      <c r="E37" s="22">
        <f>D37-C37</f>
        <v>10996888</v>
      </c>
      <c r="F37" s="22">
        <f>IF(C37=0,0,E37/C37)</f>
        <v>0.1123720817001688</v>
      </c>
    </row>
    <row r="38" spans="1:8" ht="24" customHeight="1" x14ac:dyDescent="0.25">
      <c r="A38" s="307"/>
      <c r="B38" s="308" t="s">
        <v>40</v>
      </c>
      <c r="C38" s="309">
        <f>C36-C37</f>
        <v>92086126</v>
      </c>
      <c r="D38" s="309">
        <f>D36-D37</f>
        <v>100083012</v>
      </c>
      <c r="E38" s="309">
        <f>D38-C38</f>
        <v>7996886</v>
      </c>
      <c r="F38" s="310">
        <f>IF(C38=0,0,E38/C38)</f>
        <v>8.68413771690211E-2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20807491</v>
      </c>
      <c r="D40" s="22">
        <v>29060602</v>
      </c>
      <c r="E40" s="22">
        <f>D40-C40</f>
        <v>8253111</v>
      </c>
      <c r="F40" s="306">
        <f>IF(C40=0,0,E40/C40)</f>
        <v>0.39664133460396545</v>
      </c>
    </row>
    <row r="41" spans="1:8" ht="24" customHeight="1" x14ac:dyDescent="0.25">
      <c r="A41" s="307"/>
      <c r="B41" s="308" t="s">
        <v>42</v>
      </c>
      <c r="C41" s="309">
        <f>+C38+C40</f>
        <v>112893617</v>
      </c>
      <c r="D41" s="309">
        <f>+D38+D40</f>
        <v>129143614</v>
      </c>
      <c r="E41" s="309">
        <f>D41-C41</f>
        <v>16249997</v>
      </c>
      <c r="F41" s="310">
        <f>IF(C41=0,0,E41/C41)</f>
        <v>0.14394079516470804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413877933</v>
      </c>
      <c r="D43" s="309">
        <f>D22+D29+D31+D32+D33+D41</f>
        <v>428081667</v>
      </c>
      <c r="E43" s="309">
        <f>D43-C43</f>
        <v>14203734</v>
      </c>
      <c r="F43" s="310">
        <f>IF(C43=0,0,E43/C43)</f>
        <v>3.4318655012708782E-2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32950531</v>
      </c>
      <c r="D49" s="22">
        <v>40018124</v>
      </c>
      <c r="E49" s="22">
        <f t="shared" ref="E49:E56" si="2">D49-C49</f>
        <v>7067593</v>
      </c>
      <c r="F49" s="306">
        <f t="shared" ref="F49:F56" si="3">IF(C49=0,0,E49/C49)</f>
        <v>0.21449101988675084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17056733</v>
      </c>
      <c r="D50" s="22">
        <v>18099416</v>
      </c>
      <c r="E50" s="22">
        <f t="shared" si="2"/>
        <v>1042683</v>
      </c>
      <c r="F50" s="306">
        <f t="shared" si="3"/>
        <v>6.1130287963116967E-2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4526428</v>
      </c>
      <c r="D51" s="22">
        <v>13394804</v>
      </c>
      <c r="E51" s="22">
        <f t="shared" si="2"/>
        <v>8868376</v>
      </c>
      <c r="F51" s="306">
        <f t="shared" si="3"/>
        <v>1.9592438010722804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1215000</v>
      </c>
      <c r="D53" s="22">
        <v>1280000</v>
      </c>
      <c r="E53" s="22">
        <f t="shared" si="2"/>
        <v>65000</v>
      </c>
      <c r="F53" s="306">
        <f t="shared" si="3"/>
        <v>5.3497942386831275E-2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3902944</v>
      </c>
      <c r="D54" s="22">
        <v>5447651</v>
      </c>
      <c r="E54" s="22">
        <f t="shared" si="2"/>
        <v>1544707</v>
      </c>
      <c r="F54" s="306">
        <f t="shared" si="3"/>
        <v>0.39577995482384581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330715</v>
      </c>
      <c r="D55" s="22">
        <v>307335</v>
      </c>
      <c r="E55" s="22">
        <f t="shared" si="2"/>
        <v>-23380</v>
      </c>
      <c r="F55" s="306">
        <f t="shared" si="3"/>
        <v>-7.0695311673192929E-2</v>
      </c>
    </row>
    <row r="56" spans="1:6" ht="24" customHeight="1" x14ac:dyDescent="0.25">
      <c r="A56" s="307"/>
      <c r="B56" s="308" t="s">
        <v>54</v>
      </c>
      <c r="C56" s="309">
        <f>SUM(C49:C55)</f>
        <v>59982351</v>
      </c>
      <c r="D56" s="309">
        <f>SUM(D49:D55)</f>
        <v>78547330</v>
      </c>
      <c r="E56" s="309">
        <f t="shared" si="2"/>
        <v>18564979</v>
      </c>
      <c r="F56" s="310">
        <f t="shared" si="3"/>
        <v>0.30950735825609771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39315000</v>
      </c>
      <c r="D59" s="22">
        <v>38035000</v>
      </c>
      <c r="E59" s="22">
        <f>D59-C59</f>
        <v>-1280000</v>
      </c>
      <c r="F59" s="306">
        <f>IF(C59=0,0,E59/C59)</f>
        <v>-3.2557548009665524E-2</v>
      </c>
    </row>
    <row r="60" spans="1:6" ht="24" customHeight="1" x14ac:dyDescent="0.2">
      <c r="A60" s="304">
        <v>2</v>
      </c>
      <c r="B60" s="305" t="s">
        <v>57</v>
      </c>
      <c r="C60" s="22">
        <v>16714138</v>
      </c>
      <c r="D60" s="22">
        <v>25226326</v>
      </c>
      <c r="E60" s="22">
        <f>D60-C60</f>
        <v>8512188</v>
      </c>
      <c r="F60" s="306">
        <f>IF(C60=0,0,E60/C60)</f>
        <v>0.50928070595085428</v>
      </c>
    </row>
    <row r="61" spans="1:6" ht="24" customHeight="1" x14ac:dyDescent="0.25">
      <c r="A61" s="307"/>
      <c r="B61" s="308" t="s">
        <v>58</v>
      </c>
      <c r="C61" s="309">
        <f>SUM(C59:C60)</f>
        <v>56029138</v>
      </c>
      <c r="D61" s="309">
        <f>SUM(D59:D60)</f>
        <v>63261326</v>
      </c>
      <c r="E61" s="309">
        <f>D61-C61</f>
        <v>7232188</v>
      </c>
      <c r="F61" s="310">
        <f>IF(C61=0,0,E61/C61)</f>
        <v>0.12907905168914074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19026898</v>
      </c>
      <c r="D63" s="22">
        <v>8357282</v>
      </c>
      <c r="E63" s="22">
        <f>D63-C63</f>
        <v>-10669616</v>
      </c>
      <c r="F63" s="306">
        <f>IF(C63=0,0,E63/C63)</f>
        <v>-0.56076487086859872</v>
      </c>
    </row>
    <row r="64" spans="1:6" ht="24" customHeight="1" x14ac:dyDescent="0.2">
      <c r="A64" s="304">
        <v>4</v>
      </c>
      <c r="B64" s="305" t="s">
        <v>60</v>
      </c>
      <c r="C64" s="22">
        <v>39289915</v>
      </c>
      <c r="D64" s="22">
        <v>32203191</v>
      </c>
      <c r="E64" s="22">
        <f>D64-C64</f>
        <v>-7086724</v>
      </c>
      <c r="F64" s="306">
        <f>IF(C64=0,0,E64/C64)</f>
        <v>-0.18037005170410778</v>
      </c>
    </row>
    <row r="65" spans="1:6" ht="24" customHeight="1" x14ac:dyDescent="0.25">
      <c r="A65" s="307"/>
      <c r="B65" s="308" t="s">
        <v>61</v>
      </c>
      <c r="C65" s="309">
        <f>SUM(C61:C64)</f>
        <v>114345951</v>
      </c>
      <c r="D65" s="309">
        <f>SUM(D61:D64)</f>
        <v>103821799</v>
      </c>
      <c r="E65" s="309">
        <f>D65-C65</f>
        <v>-10524152</v>
      </c>
      <c r="F65" s="310">
        <f>IF(C65=0,0,E65/C65)</f>
        <v>-9.2037819511422841E-2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125254332</v>
      </c>
      <c r="D70" s="22">
        <v>127634615</v>
      </c>
      <c r="E70" s="22">
        <f>D70-C70</f>
        <v>2380283</v>
      </c>
      <c r="F70" s="306">
        <f>IF(C70=0,0,E70/C70)</f>
        <v>1.9003598214870524E-2</v>
      </c>
    </row>
    <row r="71" spans="1:6" ht="24" customHeight="1" x14ac:dyDescent="0.2">
      <c r="A71" s="304">
        <v>2</v>
      </c>
      <c r="B71" s="305" t="s">
        <v>65</v>
      </c>
      <c r="C71" s="22">
        <v>21955362</v>
      </c>
      <c r="D71" s="22">
        <v>21970909</v>
      </c>
      <c r="E71" s="22">
        <f>D71-C71</f>
        <v>15547</v>
      </c>
      <c r="F71" s="306">
        <f>IF(C71=0,0,E71/C71)</f>
        <v>7.081185908025566E-4</v>
      </c>
    </row>
    <row r="72" spans="1:6" ht="24" customHeight="1" x14ac:dyDescent="0.2">
      <c r="A72" s="304">
        <v>3</v>
      </c>
      <c r="B72" s="305" t="s">
        <v>66</v>
      </c>
      <c r="C72" s="22">
        <v>92339937</v>
      </c>
      <c r="D72" s="22">
        <v>96107014</v>
      </c>
      <c r="E72" s="22">
        <f>D72-C72</f>
        <v>3767077</v>
      </c>
      <c r="F72" s="306">
        <f>IF(C72=0,0,E72/C72)</f>
        <v>4.079575016387546E-2</v>
      </c>
    </row>
    <row r="73" spans="1:6" ht="24" customHeight="1" x14ac:dyDescent="0.25">
      <c r="A73" s="304"/>
      <c r="B73" s="308" t="s">
        <v>67</v>
      </c>
      <c r="C73" s="309">
        <f>SUM(C70:C72)</f>
        <v>239549631</v>
      </c>
      <c r="D73" s="309">
        <f>SUM(D70:D72)</f>
        <v>245712538</v>
      </c>
      <c r="E73" s="309">
        <f>D73-C73</f>
        <v>6162907</v>
      </c>
      <c r="F73" s="310">
        <f>IF(C73=0,0,E73/C73)</f>
        <v>2.5727056953805116E-2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413877933</v>
      </c>
      <c r="D75" s="309">
        <f>D56+D65+D67+D73</f>
        <v>428081667</v>
      </c>
      <c r="E75" s="309">
        <f>D75-C75</f>
        <v>14203734</v>
      </c>
      <c r="F75" s="310">
        <f>IF(C75=0,0,E75/C75)</f>
        <v>3.4318655012708782E-2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FILING&amp;RCT CHILDREN`S MEDICAL CENTER</oddHeader>
    <oddFooter>&amp;LREPORT 100&amp;CPAGE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600972991</v>
      </c>
      <c r="D11" s="76">
        <v>676878020</v>
      </c>
      <c r="E11" s="76">
        <f t="shared" ref="E11:E20" si="0">D11-C11</f>
        <v>75905029</v>
      </c>
      <c r="F11" s="77">
        <f t="shared" ref="F11:F20" si="1">IF(C11=0,0,E11/C11)</f>
        <v>0.12630356128600129</v>
      </c>
    </row>
    <row r="12" spans="1:7" ht="23.1" customHeight="1" x14ac:dyDescent="0.2">
      <c r="A12" s="74">
        <v>2</v>
      </c>
      <c r="B12" s="75" t="s">
        <v>72</v>
      </c>
      <c r="C12" s="76">
        <v>317878153</v>
      </c>
      <c r="D12" s="76">
        <v>377012973</v>
      </c>
      <c r="E12" s="76">
        <f t="shared" si="0"/>
        <v>59134820</v>
      </c>
      <c r="F12" s="77">
        <f t="shared" si="1"/>
        <v>0.18602983389047187</v>
      </c>
    </row>
    <row r="13" spans="1:7" ht="23.1" customHeight="1" x14ac:dyDescent="0.2">
      <c r="A13" s="74">
        <v>3</v>
      </c>
      <c r="B13" s="75" t="s">
        <v>73</v>
      </c>
      <c r="C13" s="76">
        <v>753946</v>
      </c>
      <c r="D13" s="76">
        <v>1613807</v>
      </c>
      <c r="E13" s="76">
        <f t="shared" si="0"/>
        <v>859861</v>
      </c>
      <c r="F13" s="77">
        <f t="shared" si="1"/>
        <v>1.1404808832462803</v>
      </c>
    </row>
    <row r="14" spans="1:7" ht="23.1" customHeight="1" x14ac:dyDescent="0.2">
      <c r="A14" s="74">
        <v>4</v>
      </c>
      <c r="B14" s="75" t="s">
        <v>74</v>
      </c>
      <c r="C14" s="76">
        <v>4736137</v>
      </c>
      <c r="D14" s="76">
        <v>5803703</v>
      </c>
      <c r="E14" s="76">
        <f t="shared" si="0"/>
        <v>1067566</v>
      </c>
      <c r="F14" s="77">
        <f t="shared" si="1"/>
        <v>0.22540859776649197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277604755</v>
      </c>
      <c r="D15" s="79">
        <f>D11-D12-D13-D14</f>
        <v>292447537</v>
      </c>
      <c r="E15" s="79">
        <f t="shared" si="0"/>
        <v>14842782</v>
      </c>
      <c r="F15" s="80">
        <f t="shared" si="1"/>
        <v>5.3467319030612429E-2</v>
      </c>
    </row>
    <row r="16" spans="1:7" ht="23.1" customHeight="1" x14ac:dyDescent="0.2">
      <c r="A16" s="74">
        <v>5</v>
      </c>
      <c r="B16" s="75" t="s">
        <v>76</v>
      </c>
      <c r="C16" s="76">
        <v>0</v>
      </c>
      <c r="D16" s="76">
        <v>5933509</v>
      </c>
      <c r="E16" s="76">
        <f t="shared" si="0"/>
        <v>5933509</v>
      </c>
      <c r="F16" s="77">
        <f t="shared" si="1"/>
        <v>0</v>
      </c>
      <c r="G16" s="65"/>
    </row>
    <row r="17" spans="1:7" ht="31.5" customHeight="1" x14ac:dyDescent="0.25">
      <c r="A17" s="71"/>
      <c r="B17" s="81" t="s">
        <v>77</v>
      </c>
      <c r="C17" s="79">
        <f>C15-C16</f>
        <v>277604755</v>
      </c>
      <c r="D17" s="79">
        <f>D15-D16</f>
        <v>286514028</v>
      </c>
      <c r="E17" s="79">
        <f t="shared" si="0"/>
        <v>8909273</v>
      </c>
      <c r="F17" s="80">
        <f t="shared" si="1"/>
        <v>3.2093373184475894E-2</v>
      </c>
    </row>
    <row r="18" spans="1:7" ht="23.1" customHeight="1" x14ac:dyDescent="0.2">
      <c r="A18" s="74">
        <v>6</v>
      </c>
      <c r="B18" s="75" t="s">
        <v>78</v>
      </c>
      <c r="C18" s="76">
        <v>22929236</v>
      </c>
      <c r="D18" s="76">
        <v>21891523</v>
      </c>
      <c r="E18" s="76">
        <f t="shared" si="0"/>
        <v>-1037713</v>
      </c>
      <c r="F18" s="77">
        <f t="shared" si="1"/>
        <v>-4.5257199149592253E-2</v>
      </c>
      <c r="G18" s="65"/>
    </row>
    <row r="19" spans="1:7" ht="33" customHeight="1" x14ac:dyDescent="0.2">
      <c r="A19" s="74">
        <v>7</v>
      </c>
      <c r="B19" s="82" t="s">
        <v>79</v>
      </c>
      <c r="C19" s="76">
        <v>14391329</v>
      </c>
      <c r="D19" s="76">
        <v>16410503</v>
      </c>
      <c r="E19" s="76">
        <f t="shared" si="0"/>
        <v>2019174</v>
      </c>
      <c r="F19" s="77">
        <f t="shared" si="1"/>
        <v>0.14030490165293283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314925320</v>
      </c>
      <c r="D20" s="79">
        <f>SUM(D17:D19)</f>
        <v>324816054</v>
      </c>
      <c r="E20" s="79">
        <f t="shared" si="0"/>
        <v>9890734</v>
      </c>
      <c r="F20" s="80">
        <f t="shared" si="1"/>
        <v>3.1406601412677773E-2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156697064</v>
      </c>
      <c r="D23" s="76">
        <v>174652632</v>
      </c>
      <c r="E23" s="76">
        <f t="shared" ref="E23:E32" si="2">D23-C23</f>
        <v>17955568</v>
      </c>
      <c r="F23" s="77">
        <f t="shared" ref="F23:F32" si="3">IF(C23=0,0,E23/C23)</f>
        <v>0.114587775556535</v>
      </c>
    </row>
    <row r="24" spans="1:7" ht="23.1" customHeight="1" x14ac:dyDescent="0.2">
      <c r="A24" s="74">
        <v>2</v>
      </c>
      <c r="B24" s="75" t="s">
        <v>83</v>
      </c>
      <c r="C24" s="76">
        <v>38701831</v>
      </c>
      <c r="D24" s="76">
        <v>45276368</v>
      </c>
      <c r="E24" s="76">
        <f t="shared" si="2"/>
        <v>6574537</v>
      </c>
      <c r="F24" s="77">
        <f t="shared" si="3"/>
        <v>0.16987663968663394</v>
      </c>
    </row>
    <row r="25" spans="1:7" ht="23.1" customHeight="1" x14ac:dyDescent="0.2">
      <c r="A25" s="74">
        <v>3</v>
      </c>
      <c r="B25" s="75" t="s">
        <v>84</v>
      </c>
      <c r="C25" s="76">
        <v>9852845</v>
      </c>
      <c r="D25" s="76">
        <v>10667380</v>
      </c>
      <c r="E25" s="76">
        <f t="shared" si="2"/>
        <v>814535</v>
      </c>
      <c r="F25" s="77">
        <f t="shared" si="3"/>
        <v>8.2670030838808486E-2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20365739</v>
      </c>
      <c r="D26" s="76">
        <v>22426746</v>
      </c>
      <c r="E26" s="76">
        <f t="shared" si="2"/>
        <v>2061007</v>
      </c>
      <c r="F26" s="77">
        <f t="shared" si="3"/>
        <v>0.10119971585612483</v>
      </c>
    </row>
    <row r="27" spans="1:7" ht="23.1" customHeight="1" x14ac:dyDescent="0.2">
      <c r="A27" s="74">
        <v>5</v>
      </c>
      <c r="B27" s="75" t="s">
        <v>86</v>
      </c>
      <c r="C27" s="76">
        <v>11252462</v>
      </c>
      <c r="D27" s="76">
        <v>12798412</v>
      </c>
      <c r="E27" s="76">
        <f t="shared" si="2"/>
        <v>1545950</v>
      </c>
      <c r="F27" s="77">
        <f t="shared" si="3"/>
        <v>0.13738771124043786</v>
      </c>
    </row>
    <row r="28" spans="1:7" ht="23.1" customHeight="1" x14ac:dyDescent="0.2">
      <c r="A28" s="74">
        <v>6</v>
      </c>
      <c r="B28" s="75" t="s">
        <v>87</v>
      </c>
      <c r="C28" s="76">
        <v>5875039</v>
      </c>
      <c r="D28" s="76">
        <v>0</v>
      </c>
      <c r="E28" s="76">
        <f t="shared" si="2"/>
        <v>-5875039</v>
      </c>
      <c r="F28" s="77">
        <f t="shared" si="3"/>
        <v>-1</v>
      </c>
    </row>
    <row r="29" spans="1:7" ht="23.1" customHeight="1" x14ac:dyDescent="0.2">
      <c r="A29" s="74">
        <v>7</v>
      </c>
      <c r="B29" s="75" t="s">
        <v>88</v>
      </c>
      <c r="C29" s="76">
        <v>940592</v>
      </c>
      <c r="D29" s="76">
        <v>1314300</v>
      </c>
      <c r="E29" s="76">
        <f t="shared" si="2"/>
        <v>373708</v>
      </c>
      <c r="F29" s="77">
        <f t="shared" si="3"/>
        <v>0.39731148042934661</v>
      </c>
    </row>
    <row r="30" spans="1:7" ht="23.1" customHeight="1" x14ac:dyDescent="0.2">
      <c r="A30" s="74">
        <v>8</v>
      </c>
      <c r="B30" s="75" t="s">
        <v>89</v>
      </c>
      <c r="C30" s="76">
        <v>7639618</v>
      </c>
      <c r="D30" s="76">
        <v>3777589</v>
      </c>
      <c r="E30" s="76">
        <f t="shared" si="2"/>
        <v>-3862029</v>
      </c>
      <c r="F30" s="77">
        <f t="shared" si="3"/>
        <v>-0.50552645433318788</v>
      </c>
    </row>
    <row r="31" spans="1:7" ht="23.1" customHeight="1" x14ac:dyDescent="0.2">
      <c r="A31" s="74">
        <v>9</v>
      </c>
      <c r="B31" s="75" t="s">
        <v>90</v>
      </c>
      <c r="C31" s="76">
        <v>80950323</v>
      </c>
      <c r="D31" s="76">
        <v>87588797</v>
      </c>
      <c r="E31" s="76">
        <f t="shared" si="2"/>
        <v>6638474</v>
      </c>
      <c r="F31" s="77">
        <f t="shared" si="3"/>
        <v>8.2006763580177444E-2</v>
      </c>
    </row>
    <row r="32" spans="1:7" ht="23.1" customHeight="1" x14ac:dyDescent="0.25">
      <c r="A32" s="71"/>
      <c r="B32" s="78" t="s">
        <v>91</v>
      </c>
      <c r="C32" s="79">
        <f>SUM(C23:C31)</f>
        <v>332275513</v>
      </c>
      <c r="D32" s="79">
        <f>SUM(D23:D31)</f>
        <v>358502224</v>
      </c>
      <c r="E32" s="79">
        <f t="shared" si="2"/>
        <v>26226711</v>
      </c>
      <c r="F32" s="80">
        <f t="shared" si="3"/>
        <v>7.8930616232319228E-2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-17350193</v>
      </c>
      <c r="D34" s="79">
        <f>+D20-D32</f>
        <v>-33686170</v>
      </c>
      <c r="E34" s="79">
        <f>D34-C34</f>
        <v>-16335977</v>
      </c>
      <c r="F34" s="80">
        <f>IF(C34=0,0,E34/C34)</f>
        <v>0.94154439665310929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21492059</v>
      </c>
      <c r="D37" s="76">
        <v>10255795</v>
      </c>
      <c r="E37" s="76">
        <f>D37-C37</f>
        <v>-11236264</v>
      </c>
      <c r="F37" s="77">
        <f>IF(C37=0,0,E37/C37)</f>
        <v>-0.52281002950903865</v>
      </c>
    </row>
    <row r="38" spans="1:6" ht="23.1" customHeight="1" x14ac:dyDescent="0.2">
      <c r="A38" s="85">
        <v>2</v>
      </c>
      <c r="B38" s="75" t="s">
        <v>95</v>
      </c>
      <c r="C38" s="76">
        <v>3100947</v>
      </c>
      <c r="D38" s="76">
        <v>6356113</v>
      </c>
      <c r="E38" s="76">
        <f>D38-C38</f>
        <v>3255166</v>
      </c>
      <c r="F38" s="77">
        <f>IF(C38=0,0,E38/C38)</f>
        <v>1.0497328719258987</v>
      </c>
    </row>
    <row r="39" spans="1:6" ht="23.1" customHeight="1" x14ac:dyDescent="0.2">
      <c r="A39" s="85">
        <v>3</v>
      </c>
      <c r="B39" s="75" t="s">
        <v>96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5">
      <c r="A40" s="83"/>
      <c r="B40" s="78" t="s">
        <v>97</v>
      </c>
      <c r="C40" s="79">
        <f>SUM(C37:C39)</f>
        <v>24593006</v>
      </c>
      <c r="D40" s="79">
        <f>SUM(D37:D39)</f>
        <v>16611908</v>
      </c>
      <c r="E40" s="79">
        <f>D40-C40</f>
        <v>-7981098</v>
      </c>
      <c r="F40" s="80">
        <f>IF(C40=0,0,E40/C40)</f>
        <v>-0.32452714401810012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7242813</v>
      </c>
      <c r="D42" s="79">
        <f>D34+D40</f>
        <v>-17074262</v>
      </c>
      <c r="E42" s="79">
        <f>D42-C42</f>
        <v>-24317075</v>
      </c>
      <c r="F42" s="80">
        <f>IF(C42=0,0,E42/C42)</f>
        <v>-3.3574075431741783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0</v>
      </c>
      <c r="D47" s="79">
        <f>SUM(D45:D46)</f>
        <v>0</v>
      </c>
      <c r="E47" s="79">
        <f>D47-C47</f>
        <v>0</v>
      </c>
      <c r="F47" s="80">
        <f>IF(C47=0,0,E47/C47)</f>
        <v>0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7242813</v>
      </c>
      <c r="D49" s="79">
        <f>D42+D47</f>
        <v>-17074262</v>
      </c>
      <c r="E49" s="79">
        <f>D49-C49</f>
        <v>-24317075</v>
      </c>
      <c r="F49" s="80">
        <f>IF(C49=0,0,E49/C49)</f>
        <v>-3.3574075431741783</v>
      </c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FILING&amp;RCT CHILDREN`S MEDICAL CENTER</oddHeader>
    <oddFooter>&amp;LREPORT 100&amp;CPAGE &amp;P of &amp;N&amp;R&amp;D,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2014-10-06T19:57:52Z</cp:lastPrinted>
  <dcterms:created xsi:type="dcterms:W3CDTF">2014-10-06T18:12:57Z</dcterms:created>
  <dcterms:modified xsi:type="dcterms:W3CDTF">2014-10-09T17:26:50Z</dcterms:modified>
</cp:coreProperties>
</file>